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codeName="ThisWorkbook" defaultThemeVersion="124226"/>
  <mc:AlternateContent xmlns:mc="http://schemas.openxmlformats.org/markup-compatibility/2006">
    <mc:Choice Requires="x15">
      <x15ac:absPath xmlns:x15ac="http://schemas.microsoft.com/office/spreadsheetml/2010/11/ac" url="D:\desktop\estimates\anganwadi\Proposals\"/>
    </mc:Choice>
  </mc:AlternateContent>
  <xr:revisionPtr revIDLastSave="0" documentId="13_ncr:1_{0EF30435-B9EB-409C-9E7C-0683068FE4E7}" xr6:coauthVersionLast="47" xr6:coauthVersionMax="47" xr10:uidLastSave="{00000000-0000-0000-0000-000000000000}"/>
  <bookViews>
    <workbookView xWindow="-120" yWindow="-120" windowWidth="20730" windowHeight="11160" tabRatio="753" firstSheet="1" activeTab="2" xr2:uid="{00000000-000D-0000-FFFF-FFFF00000000}"/>
  </bookViews>
  <sheets>
    <sheet name="0000000000000" sheetId="27" state="veryHidden" r:id="rId1"/>
    <sheet name="COVER" sheetId="131" r:id="rId2"/>
    <sheet name="SPE" sheetId="141" r:id="rId3"/>
    <sheet name="ESTIMATE" sheetId="132" r:id="rId4"/>
    <sheet name="Seigneorage" sheetId="109" r:id="rId5"/>
    <sheet name="lead 24-25" sheetId="158" r:id="rId6"/>
    <sheet name="DATA 2024-25" sheetId="107" r:id="rId7"/>
    <sheet name="sani data 2024-25" sheetId="133" state="hidden" r:id="rId8"/>
    <sheet name="Ele Data 2024-25" sheetId="134" r:id="rId9"/>
    <sheet name="doors 2024-25" sheetId="190" r:id="rId10"/>
    <sheet name="CC f (2)" sheetId="212" state="hidden" r:id="rId11"/>
    <sheet name="ccbc  (2)" sheetId="213" state="hidden" r:id="rId12"/>
    <sheet name="MINI SSR 2024-25" sheetId="200" state="hidden" r:id="rId13"/>
    <sheet name="convey 24-25" sheetId="202" state="hidden" r:id="rId14"/>
    <sheet name="CS" sheetId="140" state="hidden" r:id="rId15"/>
    <sheet name="CR" sheetId="203" state="hidden" r:id="rId16"/>
    <sheet name="check slip" sheetId="211" state="hidden" r:id="rId17"/>
    <sheet name="C-1 " sheetId="204" state="hidden" r:id="rId18"/>
    <sheet name="CC f" sheetId="205" state="hidden" r:id="rId19"/>
    <sheet name="ccbc " sheetId="206" state="hidden" r:id="rId20"/>
    <sheet name="CERT" sheetId="207" state="hidden" r:id="rId21"/>
    <sheet name="Seigneorage (2)" sheetId="210" state="hidden" r:id="rId22"/>
    <sheet name="RE-DE" sheetId="209" state="hidden" r:id="rId23"/>
  </sheets>
  <externalReferences>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s>
  <definedNames>
    <definedName name="__bla1">[1]leads!$H$7</definedName>
    <definedName name="__can430">40.73</definedName>
    <definedName name="__can435">43.3</definedName>
    <definedName name="__cur1">[2]r!$F$30</definedName>
    <definedName name="__l1">[3]leads!$A$3:$E$108</definedName>
    <definedName name="__l12" localSheetId="16">#REF!</definedName>
    <definedName name="__l12">#REF!</definedName>
    <definedName name="__l2">[2]r!$F$29</definedName>
    <definedName name="__l3" localSheetId="16">#REF!</definedName>
    <definedName name="__l3">#REF!</definedName>
    <definedName name="__l4">[4]Sheet1!$W$2:$Y$103</definedName>
    <definedName name="__l5" localSheetId="16">#REF!</definedName>
    <definedName name="__l5">#REF!</definedName>
    <definedName name="__l6">[2]r!$F$4</definedName>
    <definedName name="__l7">[5]r!$F$4</definedName>
    <definedName name="__l8">[2]r!$F$2</definedName>
    <definedName name="__l9">[2]r!$F$3</definedName>
    <definedName name="__mm1">[6]r!$F$4</definedName>
    <definedName name="__mm11">[2]r!$F$4</definedName>
    <definedName name="__mm111">[5]r!$F$4</definedName>
    <definedName name="__pc2" localSheetId="16">#REF!</definedName>
    <definedName name="__pc2">#REF!</definedName>
    <definedName name="__pv2" localSheetId="16">#REF!</definedName>
    <definedName name="__pv2">#REF!</definedName>
    <definedName name="__rr3">[7]v!$A$2:$E$51</definedName>
    <definedName name="__rrr1">[7]r!$B$1:$I$145</definedName>
    <definedName name="__ss12">[8]rdamdata!$J$8</definedName>
    <definedName name="__ss20">[8]rdamdata!$J$7</definedName>
    <definedName name="__ss40">[8]rdamdata!$J$6</definedName>
    <definedName name="__var1" localSheetId="16">#REF!</definedName>
    <definedName name="__var1">#REF!</definedName>
    <definedName name="__var4" localSheetId="16">#REF!</definedName>
    <definedName name="__var4">#REF!</definedName>
    <definedName name="_3" localSheetId="17" hidden="1">'[9]final abstract'!#REF!</definedName>
    <definedName name="_3" localSheetId="16" hidden="1">'[9]final abstract'!#REF!</definedName>
    <definedName name="_3" localSheetId="15" hidden="1">'[9]final abstract'!#REF!</definedName>
    <definedName name="_3" localSheetId="14" hidden="1">'[9]final abstract'!#REF!</definedName>
    <definedName name="_3" localSheetId="9" hidden="1">'[9]final abstract'!#REF!</definedName>
    <definedName name="_3" localSheetId="3" hidden="1">'[9]final abstract'!#REF!</definedName>
    <definedName name="_3" localSheetId="21" hidden="1">'[9]final abstract'!#REF!</definedName>
    <definedName name="_3" localSheetId="2" hidden="1">'[9]final abstract'!#REF!</definedName>
    <definedName name="_3" hidden="1">'[9]final abstract'!#REF!</definedName>
    <definedName name="_bla1">[1]leads!$H$7</definedName>
    <definedName name="_can430">40.73</definedName>
    <definedName name="_can435">43.3</definedName>
    <definedName name="_cur1">[2]r!$F$30</definedName>
    <definedName name="_Fill" localSheetId="16" hidden="1">'[9]final abstract'!#REF!</definedName>
    <definedName name="_Fill" localSheetId="15" hidden="1">'[9]final abstract'!#REF!</definedName>
    <definedName name="_Fill" localSheetId="14" hidden="1">'[9]final abstract'!#REF!</definedName>
    <definedName name="_Fill" localSheetId="9" hidden="1">'[9]final abstract'!#REF!</definedName>
    <definedName name="_Fill" localSheetId="3" hidden="1">'[9]final abstract'!#REF!</definedName>
    <definedName name="_Fill" localSheetId="21" hidden="1">'[9]final abstract'!#REF!</definedName>
    <definedName name="_Fill" localSheetId="2" hidden="1">'[9]final abstract'!#REF!</definedName>
    <definedName name="_Fill" hidden="1">'[9]final abstract'!#REF!</definedName>
    <definedName name="_xlnm._FilterDatabase" localSheetId="6" hidden="1">'DATA 2024-25'!$A$5:$G$1024</definedName>
    <definedName name="_xlnm._FilterDatabase" localSheetId="9" hidden="1">'doors 2024-25'!$A$5:$H$282</definedName>
    <definedName name="_xlnm._FilterDatabase" localSheetId="8" hidden="1">'Ele Data 2024-25'!$A$3:$I$301</definedName>
    <definedName name="_xlnm._FilterDatabase" localSheetId="3" hidden="1">ESTIMATE!$A$6:$M$1711</definedName>
    <definedName name="_xlnm._FilterDatabase" localSheetId="7" hidden="1">'sani data 2024-25'!$A$3:$G$152</definedName>
    <definedName name="_xlnm._FilterDatabase" localSheetId="4" hidden="1">Seigneorage!$A$3:$U$44</definedName>
    <definedName name="_xlnm._FilterDatabase" localSheetId="21" hidden="1">'Seigneorage (2)'!$A$3:$U$44</definedName>
    <definedName name="_l1">[3]leads!$A$3:$E$108</definedName>
    <definedName name="_l12" localSheetId="16">#REF!</definedName>
    <definedName name="_l12">#REF!</definedName>
    <definedName name="_l2">[2]r!$F$29</definedName>
    <definedName name="_l3" localSheetId="16">#REF!</definedName>
    <definedName name="_l3">#REF!</definedName>
    <definedName name="_l4">[4]Sheet1!$W$2:$Y$103</definedName>
    <definedName name="_l5" localSheetId="16">#REF!</definedName>
    <definedName name="_l5">#REF!</definedName>
    <definedName name="_l6">[2]r!$F$4</definedName>
    <definedName name="_l7">[5]r!$F$4</definedName>
    <definedName name="_l8">[2]r!$F$2</definedName>
    <definedName name="_l9">[2]r!$F$3</definedName>
    <definedName name="_mm1">[6]r!$F$4</definedName>
    <definedName name="_mm11">[2]r!$F$4</definedName>
    <definedName name="_mm111">[5]r!$F$4</definedName>
    <definedName name="_pc2" localSheetId="16">#REF!</definedName>
    <definedName name="_pc2">#REF!</definedName>
    <definedName name="_pv2" localSheetId="16">#REF!</definedName>
    <definedName name="_pv2">#REF!</definedName>
    <definedName name="_rr3">[7]v!$A$2:$E$51</definedName>
    <definedName name="_rrr1">[7]r!$B$1:$I$145</definedName>
    <definedName name="_ss12">[8]rdamdata!$J$8</definedName>
    <definedName name="_ss20">[8]rdamdata!$J$7</definedName>
    <definedName name="_ss40">[8]rdamdata!$J$6</definedName>
    <definedName name="_var1" localSheetId="16">#REF!</definedName>
    <definedName name="_var1">#REF!</definedName>
    <definedName name="_var4" localSheetId="16">#REF!</definedName>
    <definedName name="_var4">#REF!</definedName>
    <definedName name="a" localSheetId="16">#REF!</definedName>
    <definedName name="a">#REF!</definedName>
    <definedName name="aa" localSheetId="16" hidden="1">'[9]final abstract'!#REF!</definedName>
    <definedName name="aa" localSheetId="1" hidden="1">'[9]final abstract'!#REF!</definedName>
    <definedName name="aa" localSheetId="15" hidden="1">'[9]final abstract'!#REF!</definedName>
    <definedName name="aa" localSheetId="14" hidden="1">'[9]final abstract'!#REF!</definedName>
    <definedName name="aa" localSheetId="9" hidden="1">'[9]final abstract'!#REF!</definedName>
    <definedName name="aa" localSheetId="3" hidden="1">'[9]final abstract'!#REF!</definedName>
    <definedName name="aa" localSheetId="21" hidden="1">'[9]final abstract'!#REF!</definedName>
    <definedName name="aa" localSheetId="2" hidden="1">'[9]final abstract'!#REF!</definedName>
    <definedName name="aa" hidden="1">'[9]final abstract'!#REF!</definedName>
    <definedName name="academic" localSheetId="16" hidden="1">'[9]final abstract'!#REF!</definedName>
    <definedName name="academic" localSheetId="15" hidden="1">'[9]final abstract'!#REF!</definedName>
    <definedName name="academic" localSheetId="14" hidden="1">'[9]final abstract'!#REF!</definedName>
    <definedName name="academic" localSheetId="9" hidden="1">'[9]final abstract'!#REF!</definedName>
    <definedName name="academic" localSheetId="3" hidden="1">'[9]final abstract'!#REF!</definedName>
    <definedName name="academic" localSheetId="21" hidden="1">'[9]final abstract'!#REF!</definedName>
    <definedName name="academic" localSheetId="2" hidden="1">'[9]final abstract'!#REF!</definedName>
    <definedName name="academic" hidden="1">'[9]final abstract'!#REF!</definedName>
    <definedName name="anscount" hidden="1">1</definedName>
    <definedName name="ASDF" localSheetId="16" hidden="1">{"'ridftotal'!$A$4:$S$27"}</definedName>
    <definedName name="ASDF" hidden="1">{"'ridftotal'!$A$4:$S$27"}</definedName>
    <definedName name="asf">#REF!</definedName>
    <definedName name="ASFDA" localSheetId="16" hidden="1">{"'ridftotal'!$A$4:$S$27"}</definedName>
    <definedName name="ASFDA" localSheetId="15" hidden="1">{"'ridftotal'!$A$4:$S$27"}</definedName>
    <definedName name="ASFDA" localSheetId="14" hidden="1">{"'ridftotal'!$A$4:$S$27"}</definedName>
    <definedName name="ASFDA" localSheetId="3" hidden="1">{"'ridftotal'!$A$4:$S$27"}</definedName>
    <definedName name="ASFDA" localSheetId="2" hidden="1">{"'ridftotal'!$A$4:$S$27"}</definedName>
    <definedName name="ASFDA" hidden="1">{"'ridftotal'!$A$4:$S$27"}</definedName>
    <definedName name="blast1">[10]r!$F$29</definedName>
    <definedName name="blast2">[10]r!$F$29</definedName>
    <definedName name="CC_1_6_10__using_40MM_OTG_Meteal_including_cost_and_conveyance_of_all_materials_and_labour_charge._etc.__Complete" localSheetId="16">#REF!</definedName>
    <definedName name="CC_1_6_10__using_40MM_OTG_Meteal_including_cost_and_conveyance_of_all_materials_and_labour_charge._etc.__Complete">#REF!</definedName>
    <definedName name="cd" localSheetId="16">#REF!</definedName>
    <definedName name="cd">#REF!</definedName>
    <definedName name="crsrate">'[8]lead-st'!$L$12</definedName>
    <definedName name="crss">[8]rdamdata!$J$10</definedName>
    <definedName name="crush">[10]r!$F$30</definedName>
    <definedName name="crust" localSheetId="16">[11]Data.F8.BTR!#REF!</definedName>
    <definedName name="crust">[11]Data.F8.BTR!#REF!</definedName>
    <definedName name="CWSUMP">'[12]DATA-BASE'!$I$6:$T$22</definedName>
    <definedName name="D" localSheetId="16">#REF!</definedName>
    <definedName name="d">#REF!</definedName>
    <definedName name="D.t" localSheetId="16">[13]data!#REF!</definedName>
    <definedName name="D.t">[13]data!#REF!</definedName>
    <definedName name="data" localSheetId="16">[14]Data!#REF!</definedName>
    <definedName name="data">[14]Data!#REF!</definedName>
    <definedName name="data1" localSheetId="16" hidden="1">#REF!</definedName>
    <definedName name="data1" localSheetId="15" hidden="1">#REF!</definedName>
    <definedName name="data1" localSheetId="14" hidden="1">#REF!</definedName>
    <definedName name="data1" localSheetId="9" hidden="1">#REF!</definedName>
    <definedName name="data1" localSheetId="3" hidden="1">#REF!</definedName>
    <definedName name="data1" localSheetId="21" hidden="1">#REF!</definedName>
    <definedName name="data1" localSheetId="2" hidden="1">#REF!</definedName>
    <definedName name="data1" hidden="1">#REF!</definedName>
    <definedName name="data2" localSheetId="16" hidden="1">#REF!</definedName>
    <definedName name="data2" localSheetId="15" hidden="1">#REF!</definedName>
    <definedName name="data2" localSheetId="14" hidden="1">#REF!</definedName>
    <definedName name="data2" localSheetId="9" hidden="1">#REF!</definedName>
    <definedName name="data2" localSheetId="3" hidden="1">#REF!</definedName>
    <definedName name="data2" localSheetId="21" hidden="1">#REF!</definedName>
    <definedName name="data2" localSheetId="2" hidden="1">#REF!</definedName>
    <definedName name="data2" hidden="1">#REF!</definedName>
    <definedName name="data3" localSheetId="16" hidden="1">#REF!</definedName>
    <definedName name="data3" localSheetId="15" hidden="1">#REF!</definedName>
    <definedName name="data3" localSheetId="14" hidden="1">#REF!</definedName>
    <definedName name="data3" localSheetId="9" hidden="1">#REF!</definedName>
    <definedName name="data3" localSheetId="3" hidden="1">#REF!</definedName>
    <definedName name="data3" localSheetId="21" hidden="1">#REF!</definedName>
    <definedName name="data3" localSheetId="2" hidden="1">#REF!</definedName>
    <definedName name="data3" hidden="1">#REF!</definedName>
    <definedName name="data4" localSheetId="16">#REF!</definedName>
    <definedName name="data4">#REF!</definedName>
    <definedName name="DATA6" localSheetId="16">#REF!</definedName>
    <definedName name="DATA6">#REF!</definedName>
    <definedName name="DD" localSheetId="16">#REF!</definedName>
    <definedName name="DD">#REF!</definedName>
    <definedName name="ddd" localSheetId="16" hidden="1">'[9]final abstract'!#REF!</definedName>
    <definedName name="ddd" localSheetId="15" hidden="1">'[9]final abstract'!#REF!</definedName>
    <definedName name="ddd" localSheetId="14" hidden="1">'[9]final abstract'!#REF!</definedName>
    <definedName name="ddd" localSheetId="9" hidden="1">'[9]final abstract'!#REF!</definedName>
    <definedName name="ddd" localSheetId="3" hidden="1">'[9]final abstract'!#REF!</definedName>
    <definedName name="ddd" localSheetId="21" hidden="1">'[9]final abstract'!#REF!</definedName>
    <definedName name="ddd" localSheetId="2" hidden="1">'[9]final abstract'!#REF!</definedName>
    <definedName name="ddd" hidden="1">'[9]final abstract'!#REF!</definedName>
    <definedName name="dfas" localSheetId="16" hidden="1">'[9]final abstract'!#REF!</definedName>
    <definedName name="dfas" localSheetId="15" hidden="1">'[9]final abstract'!#REF!</definedName>
    <definedName name="dfas" localSheetId="14" hidden="1">'[9]final abstract'!#REF!</definedName>
    <definedName name="dfas" localSheetId="9" hidden="1">'[9]final abstract'!#REF!</definedName>
    <definedName name="dfas" localSheetId="21" hidden="1">'[9]final abstract'!#REF!</definedName>
    <definedName name="dfas" localSheetId="2" hidden="1">'[9]final abstract'!#REF!</definedName>
    <definedName name="dfas" hidden="1">'[9]final abstract'!#REF!</definedName>
    <definedName name="Discount" localSheetId="16" hidden="1">#REF!</definedName>
    <definedName name="Discount" localSheetId="15" hidden="1">#REF!</definedName>
    <definedName name="Discount" localSheetId="14" hidden="1">#REF!</definedName>
    <definedName name="Discount" localSheetId="9" hidden="1">#REF!</definedName>
    <definedName name="Discount" localSheetId="3" hidden="1">#REF!</definedName>
    <definedName name="Discount" localSheetId="21" hidden="1">#REF!</definedName>
    <definedName name="Discount" localSheetId="2" hidden="1">#REF!</definedName>
    <definedName name="Discount" hidden="1">#REF!</definedName>
    <definedName name="display_area_2" localSheetId="16" hidden="1">#REF!</definedName>
    <definedName name="display_area_2" localSheetId="15" hidden="1">#REF!</definedName>
    <definedName name="display_area_2" localSheetId="14" hidden="1">#REF!</definedName>
    <definedName name="display_area_2" localSheetId="9" hidden="1">#REF!</definedName>
    <definedName name="display_area_2" localSheetId="3" hidden="1">#REF!</definedName>
    <definedName name="display_area_2" localSheetId="21" hidden="1">#REF!</definedName>
    <definedName name="display_area_2" localSheetId="2" hidden="1">#REF!</definedName>
    <definedName name="display_area_2" hidden="1">#REF!</definedName>
    <definedName name="dsf">[3]leads!$A$3:$E$108</definedName>
    <definedName name="dt" localSheetId="16">#REF!</definedName>
    <definedName name="dt">#REF!</definedName>
    <definedName name="e" localSheetId="16">#REF!</definedName>
    <definedName name="e">#REF!</definedName>
    <definedName name="ec">[15]m!$M$3</definedName>
    <definedName name="f" localSheetId="16">#REF!</definedName>
    <definedName name="f">#REF!</definedName>
    <definedName name="FCode" localSheetId="16" hidden="1">#REF!</definedName>
    <definedName name="FCode" localSheetId="15" hidden="1">#REF!</definedName>
    <definedName name="FCode" localSheetId="14" hidden="1">#REF!</definedName>
    <definedName name="FCode" localSheetId="9" hidden="1">#REF!</definedName>
    <definedName name="FCode" localSheetId="3" hidden="1">#REF!</definedName>
    <definedName name="FCode" localSheetId="21" hidden="1">#REF!</definedName>
    <definedName name="FCode" localSheetId="2" hidden="1">#REF!</definedName>
    <definedName name="FCode" hidden="1">#REF!</definedName>
    <definedName name="fd" localSheetId="16">#REF!</definedName>
    <definedName name="fd">#REF!</definedName>
    <definedName name="FGD" localSheetId="16" hidden="1">{"'ridftotal'!$A$4:$S$27"}</definedName>
    <definedName name="FGD" localSheetId="15" hidden="1">{"'ridftotal'!$A$4:$S$27"}</definedName>
    <definedName name="FGD" localSheetId="14" hidden="1">{"'ridftotal'!$A$4:$S$27"}</definedName>
    <definedName name="FGD" localSheetId="3" hidden="1">{"'ridftotal'!$A$4:$S$27"}</definedName>
    <definedName name="FGD" localSheetId="2" hidden="1">{"'ridftotal'!$A$4:$S$27"}</definedName>
    <definedName name="FGD" hidden="1">{"'ridftotal'!$A$4:$S$27"}</definedName>
    <definedName name="FGHH" localSheetId="16" hidden="1">{"'ridftotal'!$A$4:$S$27"}</definedName>
    <definedName name="FGHH" localSheetId="15" hidden="1">{"'ridftotal'!$A$4:$S$27"}</definedName>
    <definedName name="FGHH" localSheetId="14" hidden="1">{"'ridftotal'!$A$4:$S$27"}</definedName>
    <definedName name="FGHH" localSheetId="3" hidden="1">{"'ridftotal'!$A$4:$S$27"}</definedName>
    <definedName name="FGHH" localSheetId="2" hidden="1">{"'ridftotal'!$A$4:$S$27"}</definedName>
    <definedName name="FGHH" hidden="1">{"'ridftotal'!$A$4:$S$27"}</definedName>
    <definedName name="finished" localSheetId="16">#REF!</definedName>
    <definedName name="finished">#REF!</definedName>
    <definedName name="fsafasf">#REF!</definedName>
    <definedName name="g">#REF!</definedName>
    <definedName name="GHJK" localSheetId="16" hidden="1">{"'ridftotal'!$A$4:$S$27"}</definedName>
    <definedName name="GHJK" localSheetId="15" hidden="1">{"'ridftotal'!$A$4:$S$27"}</definedName>
    <definedName name="GHJK" localSheetId="14" hidden="1">{"'ridftotal'!$A$4:$S$27"}</definedName>
    <definedName name="GHJK" localSheetId="3" hidden="1">{"'ridftotal'!$A$4:$S$27"}</definedName>
    <definedName name="GHJK" localSheetId="2" hidden="1">{"'ridftotal'!$A$4:$S$27"}</definedName>
    <definedName name="GHJK" hidden="1">{"'ridftotal'!$A$4:$S$27"}</definedName>
    <definedName name="GHJKJK" localSheetId="16" hidden="1">{"'ridftotal'!$A$4:$S$27"}</definedName>
    <definedName name="GHJKJK" localSheetId="15" hidden="1">{"'ridftotal'!$A$4:$S$27"}</definedName>
    <definedName name="GHJKJK" localSheetId="14" hidden="1">{"'ridftotal'!$A$4:$S$27"}</definedName>
    <definedName name="GHJKJK" localSheetId="3" hidden="1">{"'ridftotal'!$A$4:$S$27"}</definedName>
    <definedName name="GHJKJK" localSheetId="2" hidden="1">{"'ridftotal'!$A$4:$S$27"}</definedName>
    <definedName name="GHJKJK" hidden="1">{"'ridftotal'!$A$4:$S$27"}</definedName>
    <definedName name="GN" localSheetId="16" hidden="1">{"'ridftotal'!$A$4:$S$27"}</definedName>
    <definedName name="GN" hidden="1">{"'ridftotal'!$A$4:$S$27"}</definedName>
    <definedName name="Header_Row" localSheetId="16">ROW(#REF!)</definedName>
    <definedName name="Header_Row" localSheetId="15">ROW(#REF!)</definedName>
    <definedName name="Header_Row" localSheetId="9">ROW(#REF!)</definedName>
    <definedName name="Header_Row" localSheetId="21">ROW(#REF!)</definedName>
    <definedName name="Header_Row">ROW(#REF!)</definedName>
    <definedName name="HiddenRows" localSheetId="16" hidden="1">#REF!</definedName>
    <definedName name="HiddenRows" localSheetId="15" hidden="1">#REF!</definedName>
    <definedName name="HiddenRows" localSheetId="14" hidden="1">#REF!</definedName>
    <definedName name="HiddenRows" localSheetId="9" hidden="1">#REF!</definedName>
    <definedName name="HiddenRows" localSheetId="3" hidden="1">#REF!</definedName>
    <definedName name="HiddenRows" localSheetId="21" hidden="1">#REF!</definedName>
    <definedName name="HiddenRows" localSheetId="2" hidden="1">#REF!</definedName>
    <definedName name="HiddenRows" hidden="1">#REF!</definedName>
    <definedName name="HJ" localSheetId="16" hidden="1">{"'ridftotal'!$A$4:$S$27"}</definedName>
    <definedName name="HJ" localSheetId="15" hidden="1">{"'ridftotal'!$A$4:$S$27"}</definedName>
    <definedName name="HJ" localSheetId="14" hidden="1">{"'ridftotal'!$A$4:$S$27"}</definedName>
    <definedName name="HJ" localSheetId="3" hidden="1">{"'ridftotal'!$A$4:$S$27"}</definedName>
    <definedName name="HJ" localSheetId="2" hidden="1">{"'ridftotal'!$A$4:$S$27"}</definedName>
    <definedName name="HJ" hidden="1">{"'ridftotal'!$A$4:$S$27"}</definedName>
    <definedName name="HTML_CodePage" hidden="1">1252</definedName>
    <definedName name="HTML_Control" localSheetId="16" hidden="1">{"'ridftotal'!$A$4:$S$27"}</definedName>
    <definedName name="HTML_Control" localSheetId="15" hidden="1">{"'ridftotal'!$A$4:$S$27"}</definedName>
    <definedName name="HTML_Control" localSheetId="14" hidden="1">{"'ridftotal'!$A$4:$S$27"}</definedName>
    <definedName name="HTML_Control" localSheetId="3" hidden="1">{"'ridftotal'!$A$4:$S$27"}</definedName>
    <definedName name="HTML_Control" localSheetId="2"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16" hidden="1">{"'ridftotal'!$A$4:$S$27"}</definedName>
    <definedName name="IK" localSheetId="15" hidden="1">{"'ridftotal'!$A$4:$S$27"}</definedName>
    <definedName name="IK" localSheetId="14" hidden="1">{"'ridftotal'!$A$4:$S$27"}</definedName>
    <definedName name="IK" localSheetId="3" hidden="1">{"'ridftotal'!$A$4:$S$27"}</definedName>
    <definedName name="IK" localSheetId="2" hidden="1">{"'ridftotal'!$A$4:$S$27"}</definedName>
    <definedName name="IK" hidden="1">{"'ridftotal'!$A$4:$S$27"}</definedName>
    <definedName name="Index" localSheetId="16" hidden="1">{"'ridftotal'!$A$4:$S$27"}</definedName>
    <definedName name="Index" localSheetId="15" hidden="1">{"'ridftotal'!$A$4:$S$27"}</definedName>
    <definedName name="Index" localSheetId="14" hidden="1">{"'ridftotal'!$A$4:$S$27"}</definedName>
    <definedName name="Index" localSheetId="3" hidden="1">{"'ridftotal'!$A$4:$S$27"}</definedName>
    <definedName name="Index" localSheetId="2" hidden="1">{"'ridftotal'!$A$4:$S$27"}</definedName>
    <definedName name="Index" hidden="1">{"'ridftotal'!$A$4:$S$27"}</definedName>
    <definedName name="io" localSheetId="16">DATE(YEAR([0]!Loan_Start),MONTH([0]!Loan_Start)+Payment_Number,DAY([0]!Loan_Start))</definedName>
    <definedName name="io" localSheetId="15">DATE(YEAR([0]!Loan_Start),MONTH([0]!Loan_Start)+Payment_Number,DAY([0]!Loan_Start))</definedName>
    <definedName name="io" localSheetId="9">DATE(YEAR([0]!Loan_Start),MONTH([0]!Loan_Start)+Payment_Number,DAY([0]!Loan_Start))</definedName>
    <definedName name="io" localSheetId="21">DATE(YEAR([0]!Loan_Start),MONTH([0]!Loan_Start)+Payment_Number,DAY([0]!Loan_Start))</definedName>
    <definedName name="io">DATE(YEAR([0]!Loan_Start),MONTH([0]!Loan_Start)+Payment_Number,DAY([0]!Loan_Start))</definedName>
    <definedName name="jk" localSheetId="16" hidden="1">{"'ridftotal'!$A$4:$S$27"}</definedName>
    <definedName name="jk" localSheetId="15" hidden="1">{"'ridftotal'!$A$4:$S$27"}</definedName>
    <definedName name="jk" localSheetId="14" hidden="1">{"'ridftotal'!$A$4:$S$27"}</definedName>
    <definedName name="jk" localSheetId="3" hidden="1">{"'ridftotal'!$A$4:$S$27"}</definedName>
    <definedName name="jk" localSheetId="2" hidden="1">{"'ridftotal'!$A$4:$S$27"}</definedName>
    <definedName name="jk" hidden="1">{"'ridftotal'!$A$4:$S$27"}</definedName>
    <definedName name="KADA" localSheetId="16" hidden="1">{"'ridftotal'!$A$4:$S$27"}</definedName>
    <definedName name="KADA" localSheetId="15" hidden="1">{"'ridftotal'!$A$4:$S$27"}</definedName>
    <definedName name="KADA" localSheetId="14" hidden="1">{"'ridftotal'!$A$4:$S$27"}</definedName>
    <definedName name="KADA" localSheetId="3" hidden="1">{"'ridftotal'!$A$4:$S$27"}</definedName>
    <definedName name="KADA" localSheetId="2" hidden="1">{"'ridftotal'!$A$4:$S$27"}</definedName>
    <definedName name="KADA" hidden="1">{"'ridftotal'!$A$4:$S$27"}</definedName>
    <definedName name="kADAPA" localSheetId="16" hidden="1">{"'ridftotal'!$A$4:$S$27"}</definedName>
    <definedName name="kADAPA" localSheetId="15" hidden="1">{"'ridftotal'!$A$4:$S$27"}</definedName>
    <definedName name="kADAPA" localSheetId="14" hidden="1">{"'ridftotal'!$A$4:$S$27"}</definedName>
    <definedName name="kADAPA" localSheetId="3" hidden="1">{"'ridftotal'!$A$4:$S$27"}</definedName>
    <definedName name="kADAPA" localSheetId="2" hidden="1">{"'ridftotal'!$A$4:$S$27"}</definedName>
    <definedName name="kADAPA" hidden="1">{"'ridftotal'!$A$4:$S$27"}</definedName>
    <definedName name="KJ" localSheetId="16" hidden="1">{"'ridftotal'!$A$4:$S$27"}</definedName>
    <definedName name="KJ" hidden="1">{"'ridftotal'!$A$4:$S$27"}</definedName>
    <definedName name="kjghd" localSheetId="16">OFFSET([0]!Full_Print,0,0,[16]CR!Last_Row)</definedName>
    <definedName name="kjghd" localSheetId="21">#N/A</definedName>
    <definedName name="kjghd">OFFSET([0]!Full_Print,0,0,[16]CR!Last_Row)</definedName>
    <definedName name="l">[17]Labour!$D$8</definedName>
    <definedName name="L_Bhisti">[18]Labour!$D$3</definedName>
    <definedName name="L_BitumenSprayer">[17]Labour!$D$4</definedName>
    <definedName name="L_Blacksmith">[18]Labour!$D$5</definedName>
    <definedName name="L_Blaster">[19]Labour!$D$6</definedName>
    <definedName name="L_ChipsSpreader">[17]Labour!$D$8</definedName>
    <definedName name="L_Driller">[19]Labour!$D$11</definedName>
    <definedName name="L_Mason_1stClass">[18]Labour!$D$14</definedName>
    <definedName name="L_Mason_2ndClass">[18]Labour!$D$15</definedName>
    <definedName name="L_Mate">[18]Labour!$D$16</definedName>
    <definedName name="L_Mazdoor">[18]Labour!$D$17</definedName>
    <definedName name="L_Mazdoor_Semi">[18]Labour!$D$18</definedName>
    <definedName name="L_Mazdoor_Skilled">[18]Labour!$D$19</definedName>
    <definedName name="L_Surveyor">[18]Labour!$D$22</definedName>
    <definedName name="Last_Row" localSheetId="16">IF([16]CR!Values_Entered,'check slip'!Header_Row+[16]CR!Number_of_Payments,'check slip'!Header_Row)</definedName>
    <definedName name="Last_Row" localSheetId="21">#N/A</definedName>
    <definedName name="Last_Row">IF([16]CR!Values_Entered,[0]!Header_Row+[16]CR!Number_of_Payments,[0]!Header_Row)</definedName>
    <definedName name="lead" localSheetId="16">#REF!</definedName>
    <definedName name="lead">#REF!</definedName>
    <definedName name="lead_prin" localSheetId="16">#REF!</definedName>
    <definedName name="lead_prin">#REF!</definedName>
    <definedName name="lead3" localSheetId="16">#REF!</definedName>
    <definedName name="lead3">#REF!</definedName>
    <definedName name="leadprin">#REF!</definedName>
    <definedName name="leads1">[20]leads!$A$3:$F$53</definedName>
    <definedName name="leads11">[1]leads!$A$3:$E$107</definedName>
    <definedName name="LSNO1">[21]Lead!$N$7</definedName>
    <definedName name="LSNO24">[21]Lead!$N$26</definedName>
    <definedName name="LSNO26">[21]Lead!$N$28</definedName>
    <definedName name="LSNO3">[21]Lead!$N$9</definedName>
    <definedName name="M_ACPipe_100">[19]Material!$D$3</definedName>
    <definedName name="M_Aggregate_10">[18]Material!$D$17</definedName>
    <definedName name="M_Aggregate_20">[18]Material!$D$18</definedName>
    <definedName name="M_Aggregate_375mmMaximum_224_56mm">[18]Material!$D$4</definedName>
    <definedName name="M_Aggregate_40">[18]Material!$D$19</definedName>
    <definedName name="M_Aggregate_GradeII_19mmNominal_10_5mm">[22]Material!$D$14</definedName>
    <definedName name="M_Aggregate_GradeII_19mmNominal_25_10mm">[22]Material!$D$15</definedName>
    <definedName name="M_Aggregate_GradeII_19mmNominal_5mm_below">[22]Material!$D$16</definedName>
    <definedName name="M_BindingWire">[19]Material!$D$38</definedName>
    <definedName name="M_Bitumen_CRM">[22]Material!$D$39</definedName>
    <definedName name="M_Bitumen_NRM">[22]Material!$D$40</definedName>
    <definedName name="M_Bitumen_PM">[22]Material!$D$41</definedName>
    <definedName name="M_Bitumen_S65">[17]Material!$D$42</definedName>
    <definedName name="M_Bitumen_S90">[17]Material!$D$43</definedName>
    <definedName name="M_BitumenEmulsion_RS1">[22]Material!$D$44</definedName>
    <definedName name="M_BitumenEmulsion_SS1">[18]Material!$D$45</definedName>
    <definedName name="M_BitumenSealant">[18]Material!$D$46</definedName>
    <definedName name="M_Blasted_Rubble">[19]Material!$D$47</definedName>
    <definedName name="M_BlastingMaterial">[19]Material!$D$48</definedName>
    <definedName name="M_BondStone_400_150_150mm">[19]Material!$D$49</definedName>
    <definedName name="M_Brick_1stClass">[19]Material!$D$50</definedName>
    <definedName name="M_Cement">[18]Material!$D$51</definedName>
    <definedName name="M_CompensationForEarthTakenFromPrivateLand">[17]Material!$D$54</definedName>
    <definedName name="M_CrushedSand_OR_Grit">[22]Material!$D$61</definedName>
    <definedName name="M_CrushedStoneChipping_132">[22]Material!$D$64</definedName>
    <definedName name="M_CrushedStoneChipping_67mm_100Passing_112mm">[22]Material!$D$65</definedName>
    <definedName name="M_CrushedStoneChipping_67mm_100Passing_95mm">[22]Material!$D$66</definedName>
    <definedName name="M_CrushedStoneChipping_95">[22]Material!$D$67</definedName>
    <definedName name="M_CrushedStoneCoarseAggregatePassing_53mm">[17]Material!$D$68</definedName>
    <definedName name="M_CuringCompound">[18]Material!$D$69</definedName>
    <definedName name="M_DebondingStrips">[18]Material!$D$70</definedName>
    <definedName name="M_ElastomericBearingAssembly">[19]Material!$D$73</definedName>
    <definedName name="M_ElectricDetonator">[19]Material!$D$74</definedName>
    <definedName name="M_FilterMedia">[19]Material!$D$79</definedName>
    <definedName name="M_GranularMaterial">[19]Material!$D$88</definedName>
    <definedName name="M_HandBrokenMetal_40mm">[22]Material!$D$89</definedName>
    <definedName name="M_InterlockingBlocks_60mm">[22]Material!$D$91</definedName>
    <definedName name="M_InterlockingBlocks_80mm">[22]Material!$D$92</definedName>
    <definedName name="M_JointFillerBoard">[18]Material!$D$93</definedName>
    <definedName name="M_JuteRope_12mm">[18]Material!$D$95</definedName>
    <definedName name="M_KeyAggregatesPassing_224mm">[17]Material!$D$96</definedName>
    <definedName name="M_Lime">[19]Material!$D$97</definedName>
    <definedName name="M_MSClamps">[19]Material!$D$102</definedName>
    <definedName name="M_Plasticizer">[18]Material!$D$109</definedName>
    <definedName name="M_PolytheneSheet_125">[18]Material!$D$110</definedName>
    <definedName name="M_PolytheneSheething">[18]Material!$D$111</definedName>
    <definedName name="M_RCCPipeNP3_1000mm">[18]Material!$D$114</definedName>
    <definedName name="M_RCCPipeNP3_1200mm">[18]Material!$D$113</definedName>
    <definedName name="M_RCCPipeNP3_500mm">[18]Material!$D$117</definedName>
    <definedName name="M_RCCPipeNP3_750mm">[18]Material!$D$115</definedName>
    <definedName name="M_RCCPipeNP4_1000mm">[18]Material!$D$119</definedName>
    <definedName name="M_RCCPipeNP4_1200mm">[18]Material!$D$118</definedName>
    <definedName name="M_RCCPipeNP4_500mm">[18]Material!$D$122</definedName>
    <definedName name="M_RCCPipeNP4_750mm">[18]Material!$D$120</definedName>
    <definedName name="M_Sand_Coarse">[18]Material!$D$125</definedName>
    <definedName name="M_Sand_Fine">[18]Material!$D$126</definedName>
    <definedName name="M_SteelReinforcement_HYSDBars">[19]Material!$D$129</definedName>
    <definedName name="M_SteelReinforcement_MSRoundBars">[18]Material!$D$130</definedName>
    <definedName name="M_SteelReinforcement_TMTBars">[19]Material!$D$131</definedName>
    <definedName name="M_StoneBoulder_150mm_below">[17]Material!$D$132</definedName>
    <definedName name="M_StoneChips_12mm">[22]Material!$D$133</definedName>
    <definedName name="M_StoneCrushedAggregate_112_009mm">[22]Material!$D$135</definedName>
    <definedName name="M_StoneForCoarseRubbleMasonry_1stSort">[19]Material!$D$136</definedName>
    <definedName name="M_StoneForCoarseRubbleMasonry_2ndSort">[19]Material!$D$137</definedName>
    <definedName name="M_StoneForRandomRubbleMasonry">[19]Material!$D$138</definedName>
    <definedName name="M_StoneSpalls">[17]Material!$D$144</definedName>
    <definedName name="M_Water">[18]Material!$D$146</definedName>
    <definedName name="MAN">[15]m!$B$149</definedName>
    <definedName name="metal" localSheetId="16">#REF!</definedName>
    <definedName name="metal">#REF!</definedName>
    <definedName name="metal1" localSheetId="16">#REF!</definedName>
    <definedName name="metal1">#REF!</definedName>
    <definedName name="metal11" localSheetId="16">#REF!</definedName>
    <definedName name="metal11">#REF!</definedName>
    <definedName name="metal3">#REF!</definedName>
    <definedName name="MK" localSheetId="16" hidden="1">{"'ridftotal'!$A$4:$S$27"}</definedName>
    <definedName name="MK" localSheetId="15" hidden="1">{"'ridftotal'!$A$4:$S$27"}</definedName>
    <definedName name="MK" localSheetId="14" hidden="1">{"'ridftotal'!$A$4:$S$27"}</definedName>
    <definedName name="MK" localSheetId="3" hidden="1">{"'ridftotal'!$A$4:$S$27"}</definedName>
    <definedName name="MK" localSheetId="2" hidden="1">{"'ridftotal'!$A$4:$S$27"}</definedName>
    <definedName name="MK" hidden="1">{"'ridftotal'!$A$4:$S$27"}</definedName>
    <definedName name="mm">[10]r!$F$4</definedName>
    <definedName name="mone">[10]r!$F$2</definedName>
    <definedName name="mone1">[2]r!$F$2</definedName>
    <definedName name="mtwo">[10]r!$F$3</definedName>
    <definedName name="mtwo1">[2]r!$F$3</definedName>
    <definedName name="mymax">[23]Levels!$P$5</definedName>
    <definedName name="mymin">[23]Levels!$O$5</definedName>
    <definedName name="n" localSheetId="16">#REF!</definedName>
    <definedName name="n">#REF!</definedName>
    <definedName name="newdata" localSheetId="16">#REF!</definedName>
    <definedName name="newdata">#REF!</definedName>
    <definedName name="NM" localSheetId="16" hidden="1">{"'ridftotal'!$A$4:$S$27"}</definedName>
    <definedName name="NM" localSheetId="15" hidden="1">{"'ridftotal'!$A$4:$S$27"}</definedName>
    <definedName name="NM" localSheetId="14" hidden="1">{"'ridftotal'!$A$4:$S$27"}</definedName>
    <definedName name="NM" localSheetId="3" hidden="1">{"'ridftotal'!$A$4:$S$27"}</definedName>
    <definedName name="NM" localSheetId="2" hidden="1">{"'ridftotal'!$A$4:$S$27"}</definedName>
    <definedName name="NM" hidden="1">{"'ridftotal'!$A$4:$S$27"}</definedName>
    <definedName name="nn" localSheetId="16" hidden="1">{"'ridftotal'!$A$4:$S$27"}</definedName>
    <definedName name="nn" hidden="1">{"'ridftotal'!$A$4:$S$27"}</definedName>
    <definedName name="Number_of_Payments" localSheetId="16">MATCH(0.01,[0]!End_Bal,-1)+1</definedName>
    <definedName name="Number_of_Payments" localSheetId="15">MATCH(0.01,[0]!End_Bal,-1)+1</definedName>
    <definedName name="Number_of_Payments" localSheetId="9">MATCH(0.01,[0]!End_Bal,-1)+1</definedName>
    <definedName name="Number_of_Payments" localSheetId="21">MATCH(0.01,[0]!End_Bal,-1)+1</definedName>
    <definedName name="Number_of_Payments">MATCH(0.01,[0]!End_Bal,-1)+1</definedName>
    <definedName name="nw" localSheetId="16">#REF!</definedName>
    <definedName name="nw">#REF!</definedName>
    <definedName name="OrderTable" localSheetId="16" hidden="1">#REF!</definedName>
    <definedName name="OrderTable" localSheetId="15" hidden="1">#REF!</definedName>
    <definedName name="OrderTable" localSheetId="14" hidden="1">#REF!</definedName>
    <definedName name="OrderTable" localSheetId="9" hidden="1">#REF!</definedName>
    <definedName name="OrderTable" localSheetId="3" hidden="1">#REF!</definedName>
    <definedName name="OrderTable" localSheetId="21" hidden="1">#REF!</definedName>
    <definedName name="OrderTable" localSheetId="2" hidden="1">#REF!</definedName>
    <definedName name="OrderTable" hidden="1">#REF!</definedName>
    <definedName name="Payment_Date" localSheetId="16">DATE(YEAR([0]!Loan_Start),MONTH([0]!Loan_Start)+Payment_Number,DAY([0]!Loan_Start))</definedName>
    <definedName name="Payment_Date" localSheetId="15">DATE(YEAR([0]!Loan_Start),MONTH([0]!Loan_Start)+Payment_Number,DAY([0]!Loan_Start))</definedName>
    <definedName name="Payment_Date" localSheetId="9">DATE(YEAR([0]!Loan_Start),MONTH([0]!Loan_Start)+Payment_Number,DAY([0]!Loan_Start))</definedName>
    <definedName name="Payment_Date" localSheetId="21">DATE(YEAR([0]!Loan_Start),MONTH([0]!Loan_Start)+Payment_Number,DAY([0]!Loan_Start))</definedName>
    <definedName name="Payment_Date">DATE(YEAR([0]!Loan_Start),MONTH([0]!Loan_Start)+Payment_Number,DAY([0]!Loan_Start))</definedName>
    <definedName name="pc">#REF!</definedName>
    <definedName name="pi">3.1415</definedName>
    <definedName name="PM_AirCompressor_210cfm">'[18]Plant &amp;  Machinery'!$G$4</definedName>
    <definedName name="PM_BatchMixHMP_46_60THP">'[22]Plant &amp;  Machinery'!$G$5</definedName>
    <definedName name="PM_BatchTypeHMP_30_40">'[17]Plant &amp;  Machinery'!$G$6</definedName>
    <definedName name="PM_BitumenBoilerOilFired_1000">'[17]Plant &amp;  Machinery'!$G$9</definedName>
    <definedName name="PM_BitumenBoilerOilFired_200">'[22]Plant &amp;  Machinery'!$G$8</definedName>
    <definedName name="PM_BitumenEmulsionPressureDistributor">'[22]Plant &amp;  Machinery'!$G$10</definedName>
    <definedName name="PM_ConcreteMixer">'[18]Plant &amp;  Machinery'!$G$11</definedName>
    <definedName name="PM_Dozer_D50">'[18]Plant &amp;  Machinery'!$G$13</definedName>
    <definedName name="PM_ElectricGeneratorSet_125">'[17]Plant &amp;  Machinery'!$G$15</definedName>
    <definedName name="PM_FrontEndLoader_1cum">'[17]Plant &amp;  Machinery'!$G$17</definedName>
    <definedName name="PM_HydraulicBroom">'[22]Plant &amp;  Machinery'!$G$19</definedName>
    <definedName name="PM_HydraulicExcavator_09cum">'[17]Plant &amp;  Machinery'!$G$20</definedName>
    <definedName name="PM_HydraulicSelfPropelledChipSpreader">'[22]Plant &amp;  Machinery'!$G$21</definedName>
    <definedName name="PM_JointCuttingMachine">'[18]Plant &amp;  Machinery'!$G$23</definedName>
    <definedName name="PM_Mixall_6_10t">'[22]Plant &amp;  Machinery'!$G$24</definedName>
    <definedName name="PM_MotorGrader">'[17]Plant &amp;  Machinery'!$G$25</definedName>
    <definedName name="PM_NeedleVibrator">'[18]Plant &amp;  Machinery'!$G$27</definedName>
    <definedName name="PM_PaverFinisher">'[17]Plant &amp;  Machinery'!$G$28</definedName>
    <definedName name="PM_PlateVibrator">'[18]Plant &amp;  Machinery'!$G$30</definedName>
    <definedName name="PM_ScreedVibrator">'[18]Plant &amp;  Machinery'!$G$31</definedName>
    <definedName name="PM_ThreeWheeled_80_100kN_StaticRoller">'[17]Plant &amp;  Machinery'!$G$34</definedName>
    <definedName name="PM_Tipper_55">'[17]Plant &amp;  Machinery'!$G$45</definedName>
    <definedName name="PM_Tractor_Trolley">'[18]Plant &amp;  Machinery'!$G$48</definedName>
    <definedName name="PM_VibratoryRoller_80_100kN">'[22]Plant &amp;  Machinery'!$G$51</definedName>
    <definedName name="PM_WaterTanker_6kl">'[18]Plant &amp;  Machinery'!$G$53</definedName>
    <definedName name="_xlnm.Print_Area" localSheetId="17">'C-1 '!$A$1:$G$57</definedName>
    <definedName name="_xlnm.Print_Area" localSheetId="18">'CC f'!$A$1:$J$90</definedName>
    <definedName name="_xlnm.Print_Area" localSheetId="10">'CC f (2)'!$A$1:$J$104</definedName>
    <definedName name="_xlnm.Print_Area" localSheetId="16">'check slip'!$A$1:$G$31</definedName>
    <definedName name="_xlnm.Print_Area" localSheetId="15" xml:space="preserve">          CR!$A$1:$M$56</definedName>
    <definedName name="_xlnm.Print_Area" localSheetId="14" xml:space="preserve">          CS!$A$1:$M$263</definedName>
    <definedName name="_xlnm.Print_Area" localSheetId="6">'DATA 2024-25'!$A$1:$G$1031</definedName>
    <definedName name="_xlnm.Print_Area" localSheetId="9">'doors 2024-25'!$A$1:$H$287</definedName>
    <definedName name="_xlnm.Print_Area" localSheetId="3">ESTIMATE!$A$1:$M$1727</definedName>
    <definedName name="_xlnm.Print_Area" localSheetId="5">'lead 24-25'!$A$1:$L$34</definedName>
    <definedName name="_xlnm.Print_Area" localSheetId="7">'sani data 2024-25'!$A$1:$G$157</definedName>
    <definedName name="_xlnm.Print_Area" localSheetId="4">Seigneorage!$A$1:$U$55</definedName>
    <definedName name="_xlnm.Print_Area" localSheetId="21">'Seigneorage (2)'!$A$1:$U$55</definedName>
    <definedName name="_xlnm.Print_Area" localSheetId="2">SPE!$A$1:$I$71</definedName>
    <definedName name="Print_Area_Reset" localSheetId="16">OFFSET([0]!Full_Print,0,0,'check slip'!Last_Row)</definedName>
    <definedName name="Print_Area_Reset" localSheetId="15">OFFSET([0]!Full_Print,0,0,[0]!Last_Row)</definedName>
    <definedName name="Print_Area_Reset" localSheetId="9">OFFSET([0]!Full_Print,0,0,[0]!Last_Row)</definedName>
    <definedName name="Print_Area_Reset" localSheetId="21">OFFSET([0]!Full_Print,0,0,'Seigneorage (2)'!Last_Row)</definedName>
    <definedName name="Print_Area_Reset">OFFSET([0]!Full_Print,0,0,Last_Row)</definedName>
    <definedName name="_xlnm.Print_Titles" localSheetId="18">'CC f'!$13:$14</definedName>
    <definedName name="_xlnm.Print_Titles" localSheetId="10">'CC f (2)'!$13:$14</definedName>
    <definedName name="_xlnm.Print_Titles" localSheetId="13">'convey 24-25'!$3:$4</definedName>
    <definedName name="_xlnm.Print_Titles" localSheetId="15">CR!$4:$6</definedName>
    <definedName name="_xlnm.Print_Titles" localSheetId="14">CS!$4:$6</definedName>
    <definedName name="_xlnm.Print_Titles" localSheetId="6">'DATA 2024-25'!$5:$5</definedName>
    <definedName name="_xlnm.Print_Titles" localSheetId="9">'doors 2024-25'!$5:$5</definedName>
    <definedName name="_xlnm.Print_Titles" localSheetId="8">'Ele Data 2024-25'!$2:$3</definedName>
    <definedName name="_xlnm.Print_Titles" localSheetId="3">ESTIMATE!$4:$6</definedName>
    <definedName name="_xlnm.Print_Titles" localSheetId="5">'lead 24-25'!$5:$7</definedName>
    <definedName name="_xlnm.Print_Titles" localSheetId="7">'sani data 2024-25'!$2:$3</definedName>
    <definedName name="_xlnm.Print_Titles" localSheetId="4">Seigneorage!$3:$3</definedName>
    <definedName name="_xlnm.Print_Titles" localSheetId="21">'Seigneorage (2)'!$3:$3</definedName>
    <definedName name="ProdForm" localSheetId="16" hidden="1">#REF!</definedName>
    <definedName name="ProdForm" localSheetId="15" hidden="1">#REF!</definedName>
    <definedName name="ProdForm" localSheetId="14" hidden="1">#REF!</definedName>
    <definedName name="ProdForm" localSheetId="9" hidden="1">#REF!</definedName>
    <definedName name="ProdForm" localSheetId="3" hidden="1">#REF!</definedName>
    <definedName name="ProdForm" localSheetId="21" hidden="1">#REF!</definedName>
    <definedName name="ProdForm" localSheetId="2" hidden="1">#REF!</definedName>
    <definedName name="ProdForm" hidden="1">#REF!</definedName>
    <definedName name="Product" localSheetId="16" hidden="1">#REF!</definedName>
    <definedName name="Product" localSheetId="15" hidden="1">#REF!</definedName>
    <definedName name="Product" localSheetId="14" hidden="1">#REF!</definedName>
    <definedName name="Product" localSheetId="9" hidden="1">#REF!</definedName>
    <definedName name="Product" localSheetId="3" hidden="1">#REF!</definedName>
    <definedName name="Product" localSheetId="21" hidden="1">#REF!</definedName>
    <definedName name="Product" localSheetId="2" hidden="1">#REF!</definedName>
    <definedName name="Product" hidden="1">#REF!</definedName>
    <definedName name="rate12">'[8]lead-st'!$L$9</definedName>
    <definedName name="rate20">'[8]lead-st'!$L$8</definedName>
    <definedName name="rate40">'[8]lead-st'!$L$7</definedName>
    <definedName name="ratecrs">'[8]lead-st'!$L$12</definedName>
    <definedName name="raterough">'[8]lead-st'!$L$13</definedName>
    <definedName name="raterr">'[8]lead-st'!$L$11</definedName>
    <definedName name="rates" localSheetId="16">#REF!</definedName>
    <definedName name="rates">#REF!</definedName>
    <definedName name="rates1" localSheetId="16">#REF!</definedName>
    <definedName name="rates1">#REF!</definedName>
    <definedName name="rates11" localSheetId="16">#REF!</definedName>
    <definedName name="rates11">#REF!</definedName>
    <definedName name="rates4">#REF!</definedName>
    <definedName name="ratesand">'[8]lead-st'!$L$10</definedName>
    <definedName name="RCArea" localSheetId="16" hidden="1">#REF!</definedName>
    <definedName name="RCArea" localSheetId="15" hidden="1">#REF!</definedName>
    <definedName name="RCArea" localSheetId="14" hidden="1">#REF!</definedName>
    <definedName name="RCArea" localSheetId="9" hidden="1">#REF!</definedName>
    <definedName name="RCArea" localSheetId="3" hidden="1">#REF!</definedName>
    <definedName name="RCArea" localSheetId="21" hidden="1">#REF!</definedName>
    <definedName name="RCArea" localSheetId="2" hidden="1">#REF!</definedName>
    <definedName name="RCArea" hidden="1">#REF!</definedName>
    <definedName name="road" localSheetId="16">[24]Lead!#REF!</definedName>
    <definedName name="road">[24]Lead!#REF!</definedName>
    <definedName name="rrg">[25]r!$F$7</definedName>
    <definedName name="rrrate">'[8]lead-st'!$L$11</definedName>
    <definedName name="rrs">[8]rdamdata!$J$9</definedName>
    <definedName name="rstone">[8]rdamdata!$J$11</definedName>
    <definedName name="s" localSheetId="16">#REF!</definedName>
    <definedName name="s">#REF!</definedName>
    <definedName name="S.F" localSheetId="16" hidden="1">'[9]final abstract'!#REF!</definedName>
    <definedName name="S.F" localSheetId="15" hidden="1">'[9]final abstract'!#REF!</definedName>
    <definedName name="S.F" localSheetId="14" hidden="1">'[9]final abstract'!#REF!</definedName>
    <definedName name="S.F" localSheetId="9" hidden="1">'[9]final abstract'!#REF!</definedName>
    <definedName name="S.F" localSheetId="3" hidden="1">'[9]final abstract'!#REF!</definedName>
    <definedName name="S.F" localSheetId="21" hidden="1">'[9]final abstract'!#REF!</definedName>
    <definedName name="S.F" localSheetId="2" hidden="1">'[9]final abstract'!#REF!</definedName>
    <definedName name="S.F" hidden="1">'[9]final abstract'!#REF!</definedName>
    <definedName name="sadfas" localSheetId="16">#REF!</definedName>
    <definedName name="sadfas">#REF!</definedName>
    <definedName name="sand">[8]rdamdata!$J$12</definedName>
    <definedName name="SD">[15]m!$D$149</definedName>
    <definedName name="sdfs" localSheetId="16">#REF!</definedName>
    <definedName name="sdfs">#REF!</definedName>
    <definedName name="sdfsd" localSheetId="16">[13]data!#REF!</definedName>
    <definedName name="sdfsd">[13]data!#REF!</definedName>
    <definedName name="sein" localSheetId="16">#REF!</definedName>
    <definedName name="sein">#REF!</definedName>
    <definedName name="sein1" localSheetId="16">#REF!</definedName>
    <definedName name="sein1">#REF!</definedName>
    <definedName name="sein4" localSheetId="16">#REF!</definedName>
    <definedName name="sein4">#REF!</definedName>
    <definedName name="sf">#REF!</definedName>
    <definedName name="sfsfsfsf">#REF!</definedName>
    <definedName name="shakeel">#REF!</definedName>
    <definedName name="SKDIRD" localSheetId="16" hidden="1">{"'ridftotal'!$A$4:$S$27"}</definedName>
    <definedName name="SKDIRD" localSheetId="15" hidden="1">{"'ridftotal'!$A$4:$S$27"}</definedName>
    <definedName name="SKDIRD" localSheetId="14" hidden="1">{"'ridftotal'!$A$4:$S$27"}</definedName>
    <definedName name="SKDIRD" localSheetId="3" hidden="1">{"'ridftotal'!$A$4:$S$27"}</definedName>
    <definedName name="SKDIRD" localSheetId="2" hidden="1">{"'ridftotal'!$A$4:$S$27"}</definedName>
    <definedName name="SKDIRD" hidden="1">{"'ridftotal'!$A$4:$S$27"}</definedName>
    <definedName name="SpecialPrice" localSheetId="16" hidden="1">#REF!</definedName>
    <definedName name="SpecialPrice" localSheetId="15" hidden="1">#REF!</definedName>
    <definedName name="SpecialPrice" localSheetId="14" hidden="1">#REF!</definedName>
    <definedName name="SpecialPrice" localSheetId="9" hidden="1">#REF!</definedName>
    <definedName name="SpecialPrice" localSheetId="3" hidden="1">#REF!</definedName>
    <definedName name="SpecialPrice" localSheetId="21" hidden="1">#REF!</definedName>
    <definedName name="SpecialPrice" localSheetId="2" hidden="1">#REF!</definedName>
    <definedName name="SpecialPrice" hidden="1">#REF!</definedName>
    <definedName name="ss">#REF!</definedName>
    <definedName name="sss">#REF!</definedName>
    <definedName name="stack">#REF!</definedName>
    <definedName name="stack1">#REF!</definedName>
    <definedName name="stack4">#REF!</definedName>
    <definedName name="staf" localSheetId="16">[26]v!#REF!</definedName>
    <definedName name="staf">[26]v!#REF!</definedName>
    <definedName name="tbl_ProdInfo" localSheetId="16" hidden="1">#REF!</definedName>
    <definedName name="tbl_ProdInfo" localSheetId="15" hidden="1">#REF!</definedName>
    <definedName name="tbl_ProdInfo" localSheetId="14" hidden="1">#REF!</definedName>
    <definedName name="tbl_ProdInfo" localSheetId="9" hidden="1">#REF!</definedName>
    <definedName name="tbl_ProdInfo" localSheetId="3" hidden="1">#REF!</definedName>
    <definedName name="tbl_ProdInfo" localSheetId="21" hidden="1">#REF!</definedName>
    <definedName name="tbl_ProdInfo" localSheetId="2" hidden="1">#REF!</definedName>
    <definedName name="tbl_ProdInfo" hidden="1">#REF!</definedName>
    <definedName name="temp">[6]r!$F$2</definedName>
    <definedName name="TOPDOME">'[12]DATA-ABSTRACT'!$A$11:$B$13</definedName>
    <definedName name="Values_Entered" localSheetId="16">IF([0]!Loan_Amount*[0]!Interest_Rate*[0]!Loan_Years*[0]!Loan_Start&gt;0,1,0)</definedName>
    <definedName name="Values_Entered" localSheetId="15">IF([0]!Loan_Amount*[0]!Interest_Rate*[0]!Loan_Years*[0]!Loan_Start&gt;0,1,0)</definedName>
    <definedName name="Values_Entered" localSheetId="9">IF([0]!Loan_Amount*[0]!Interest_Rate*[0]!Loan_Years*[0]!Loan_Start&gt;0,1,0)</definedName>
    <definedName name="Values_Entered" localSheetId="21">IF([0]!Loan_Amount*[0]!Interest_Rate*[0]!Loan_Years*[0]!Loan_Start&gt;0,1,0)</definedName>
    <definedName name="Values_Entered">IF([0]!Loan_Amount*[0]!Interest_Rate*[0]!Loan_Years*[0]!Loan_Start&gt;0,1,0)</definedName>
    <definedName name="var" localSheetId="16">#REF!</definedName>
    <definedName name="var">#REF!</definedName>
    <definedName name="VB" localSheetId="16" hidden="1">{"'ridftotal'!$A$4:$S$27"}</definedName>
    <definedName name="VB" localSheetId="15" hidden="1">{"'ridftotal'!$A$4:$S$27"}</definedName>
    <definedName name="VB" localSheetId="14" hidden="1">{"'ridftotal'!$A$4:$S$27"}</definedName>
    <definedName name="VB" localSheetId="3" hidden="1">{"'ridftotal'!$A$4:$S$27"}</definedName>
    <definedName name="VB" localSheetId="2" hidden="1">{"'ridftotal'!$A$4:$S$27"}</definedName>
    <definedName name="VB" hidden="1">{"'ridftotal'!$A$4:$S$27"}</definedName>
    <definedName name="wc">[10]r!$F$48</definedName>
    <definedName name="wgl" localSheetId="16" hidden="1">{"'ridftotal'!$A$4:$S$27"}</definedName>
    <definedName name="wgl" localSheetId="15" hidden="1">{"'ridftotal'!$A$4:$S$27"}</definedName>
    <definedName name="wgl" localSheetId="14" hidden="1">{"'ridftotal'!$A$4:$S$27"}</definedName>
    <definedName name="wgl" localSheetId="3" hidden="1">{"'ridftotal'!$A$4:$S$27"}</definedName>
    <definedName name="wgl" localSheetId="2" hidden="1">{"'ridftotal'!$A$4:$S$27"}</definedName>
    <definedName name="wgl" hidden="1">{"'ridftotal'!$A$4:$S$27"}</definedName>
    <definedName name="x" localSheetId="17" hidden="1">'[9]final abstract'!#REF!</definedName>
    <definedName name="x" localSheetId="16" hidden="1">'[9]final abstract'!#REF!</definedName>
    <definedName name="x" localSheetId="15" hidden="1">'[9]final abstract'!#REF!</definedName>
    <definedName name="x" localSheetId="14" hidden="1">'[9]final abstract'!#REF!</definedName>
    <definedName name="x" localSheetId="9" hidden="1">'[9]final abstract'!#REF!</definedName>
    <definedName name="x" localSheetId="3" hidden="1">'[9]final abstract'!#REF!</definedName>
    <definedName name="x" localSheetId="21" hidden="1">'[9]final abstract'!#REF!</definedName>
    <definedName name="x" localSheetId="2" hidden="1">'[9]final abstract'!#REF!</definedName>
    <definedName name="x" hidden="1">'[9]final abstract'!#REF!</definedName>
    <definedName name="xx" localSheetId="16" hidden="1">{"'ridftotal'!$A$4:$S$27"}</definedName>
    <definedName name="xx" localSheetId="15" hidden="1">{"'ridftotal'!$A$4:$S$27"}</definedName>
    <definedName name="xx" localSheetId="14" hidden="1">{"'ridftotal'!$A$4:$S$27"}</definedName>
    <definedName name="xx" localSheetId="3" hidden="1">{"'ridftotal'!$A$4:$S$27"}</definedName>
    <definedName name="xx" localSheetId="2" hidden="1">{"'ridftotal'!$A$4:$S$27"}</definedName>
    <definedName name="xx" hidden="1">{"'ridftotal'!$A$4:$S$27"}</definedName>
    <definedName name="xxxx" localSheetId="16" hidden="1">{"'ridftotal'!$A$4:$S$27"}</definedName>
    <definedName name="xxxx" localSheetId="15" hidden="1">{"'ridftotal'!$A$4:$S$27"}</definedName>
    <definedName name="xxxx" localSheetId="14" hidden="1">{"'ridftotal'!$A$4:$S$27"}</definedName>
    <definedName name="xxxx" localSheetId="3" hidden="1">{"'ridftotal'!$A$4:$S$27"}</definedName>
    <definedName name="xxxx" localSheetId="2" hidden="1">{"'ridftotal'!$A$4:$S$27"}</definedName>
    <definedName name="xxxx" hidden="1">{"'ridftotal'!$A$4:$S$27"}</definedName>
  </definedNames>
  <calcPr calcId="191029"/>
</workbook>
</file>

<file path=xl/calcChain.xml><?xml version="1.0" encoding="utf-8"?>
<calcChain xmlns="http://schemas.openxmlformats.org/spreadsheetml/2006/main">
  <c r="I297" i="134" l="1"/>
  <c r="I298" i="134" s="1"/>
  <c r="G924" i="107"/>
  <c r="F924" i="107"/>
  <c r="E924" i="107"/>
  <c r="G909" i="107"/>
  <c r="F909" i="107"/>
  <c r="E909" i="107"/>
  <c r="I218" i="132"/>
  <c r="I217" i="132"/>
  <c r="I216" i="132"/>
  <c r="I215" i="132"/>
  <c r="I214" i="132"/>
  <c r="I210" i="132"/>
  <c r="H209" i="132"/>
  <c r="I209" i="132" s="1"/>
  <c r="I208" i="132"/>
  <c r="I207" i="132"/>
  <c r="I206" i="132"/>
  <c r="I205" i="132"/>
  <c r="I204" i="132"/>
  <c r="I203" i="132"/>
  <c r="I202" i="132"/>
  <c r="I201" i="132"/>
  <c r="I200" i="132"/>
  <c r="I199" i="132"/>
  <c r="I198" i="132"/>
  <c r="I196" i="132"/>
  <c r="I195" i="132"/>
  <c r="I194" i="132"/>
  <c r="I192" i="132"/>
  <c r="I191" i="132"/>
  <c r="I190" i="132"/>
  <c r="I188" i="132"/>
  <c r="I187" i="132"/>
  <c r="I104" i="132"/>
  <c r="I103" i="132"/>
  <c r="I102" i="132"/>
  <c r="I212" i="132" l="1"/>
  <c r="I1548" i="132" l="1"/>
  <c r="I1547" i="132"/>
  <c r="I1546" i="132"/>
  <c r="I1550" i="132" l="1"/>
  <c r="I1380" i="132" l="1"/>
  <c r="I1358" i="132"/>
  <c r="I489" i="132"/>
  <c r="I488" i="132"/>
  <c r="H487" i="132"/>
  <c r="I487" i="132" s="1"/>
  <c r="I486" i="132"/>
  <c r="I485" i="132"/>
  <c r="I484" i="132"/>
  <c r="I483" i="132"/>
  <c r="I482" i="132"/>
  <c r="I481" i="132"/>
  <c r="I480" i="132"/>
  <c r="I479" i="132"/>
  <c r="I478" i="132"/>
  <c r="I477" i="132"/>
  <c r="I476" i="132"/>
  <c r="I472" i="132"/>
  <c r="I471" i="132"/>
  <c r="I470" i="132"/>
  <c r="I469" i="132"/>
  <c r="I468" i="132"/>
  <c r="I466" i="132"/>
  <c r="I465" i="132"/>
  <c r="I464" i="132"/>
  <c r="I463" i="132"/>
  <c r="I462" i="132"/>
  <c r="I461" i="132"/>
  <c r="I460" i="132"/>
  <c r="I459" i="132"/>
  <c r="I458" i="132"/>
  <c r="I457" i="132"/>
  <c r="I456" i="132"/>
  <c r="I455" i="132"/>
  <c r="I454" i="132"/>
  <c r="I453" i="132"/>
  <c r="I452" i="132"/>
  <c r="I451" i="132"/>
  <c r="I450" i="132"/>
  <c r="I344" i="132"/>
  <c r="I343" i="132"/>
  <c r="I342" i="132"/>
  <c r="I340" i="132"/>
  <c r="I339" i="132"/>
  <c r="I338" i="132"/>
  <c r="I337" i="132"/>
  <c r="I336" i="132"/>
  <c r="I335" i="132"/>
  <c r="I331" i="132"/>
  <c r="I330" i="132"/>
  <c r="I329" i="132"/>
  <c r="I328" i="132"/>
  <c r="I327" i="132"/>
  <c r="I326" i="132"/>
  <c r="I305" i="132"/>
  <c r="I304" i="132"/>
  <c r="H303" i="132"/>
  <c r="I303" i="132" s="1"/>
  <c r="I302" i="132"/>
  <c r="I301" i="132"/>
  <c r="I300" i="132"/>
  <c r="I299" i="132"/>
  <c r="I298" i="132"/>
  <c r="I297" i="132"/>
  <c r="I296" i="132"/>
  <c r="I295" i="132"/>
  <c r="I294" i="132"/>
  <c r="I293" i="132"/>
  <c r="I292" i="132"/>
  <c r="I288" i="132"/>
  <c r="I287" i="132"/>
  <c r="I286" i="132"/>
  <c r="I285" i="132"/>
  <c r="I284" i="132"/>
  <c r="I282" i="132"/>
  <c r="I281" i="132"/>
  <c r="I280" i="132"/>
  <c r="I279" i="132"/>
  <c r="I254" i="132"/>
  <c r="I253" i="132"/>
  <c r="I252" i="132"/>
  <c r="I251" i="132"/>
  <c r="I250" i="132"/>
  <c r="I249" i="132"/>
  <c r="I248" i="132"/>
  <c r="I247" i="132"/>
  <c r="I246" i="132"/>
  <c r="I245" i="132"/>
  <c r="I244" i="132"/>
  <c r="I243" i="132"/>
  <c r="I242" i="132"/>
  <c r="I241" i="132"/>
  <c r="I167" i="132"/>
  <c r="I169" i="132" s="1"/>
  <c r="I79" i="132"/>
  <c r="I78" i="132"/>
  <c r="I43" i="132"/>
  <c r="I42" i="132"/>
  <c r="I1542" i="132"/>
  <c r="I1541" i="132"/>
  <c r="I522" i="132"/>
  <c r="I163" i="132"/>
  <c r="I162" i="132"/>
  <c r="I158" i="132"/>
  <c r="I157" i="132"/>
  <c r="I156" i="132"/>
  <c r="I155" i="132"/>
  <c r="I129" i="132"/>
  <c r="I131" i="132" s="1"/>
  <c r="I119" i="132"/>
  <c r="I118" i="132"/>
  <c r="I117" i="132"/>
  <c r="I116" i="132"/>
  <c r="I115" i="132"/>
  <c r="I111" i="132"/>
  <c r="I110" i="132"/>
  <c r="I109" i="132"/>
  <c r="I108" i="132"/>
  <c r="I89" i="132"/>
  <c r="I88" i="132"/>
  <c r="I87" i="132"/>
  <c r="I86" i="132"/>
  <c r="I85" i="132"/>
  <c r="I83" i="132"/>
  <c r="I94" i="132"/>
  <c r="I93" i="132"/>
  <c r="I77" i="132"/>
  <c r="I76" i="132"/>
  <c r="I75" i="132"/>
  <c r="I74" i="132"/>
  <c r="I41" i="132"/>
  <c r="I40" i="132"/>
  <c r="I39" i="132"/>
  <c r="I31" i="132"/>
  <c r="I30" i="132"/>
  <c r="I29" i="132"/>
  <c r="I28" i="132"/>
  <c r="E104" i="212"/>
  <c r="E103" i="212"/>
  <c r="E102" i="212"/>
  <c r="L93" i="212"/>
  <c r="H94" i="212" s="1"/>
  <c r="I93" i="212"/>
  <c r="I491" i="132" l="1"/>
  <c r="I474" i="132"/>
  <c r="I346" i="132"/>
  <c r="I333" i="132"/>
  <c r="I307" i="132"/>
  <c r="I290" i="132"/>
  <c r="I256" i="132"/>
  <c r="I1544" i="132"/>
  <c r="I165" i="132"/>
  <c r="I160" i="132"/>
  <c r="I121" i="132"/>
  <c r="I81" i="132"/>
  <c r="I45" i="132"/>
  <c r="F122" i="190"/>
  <c r="F120" i="190"/>
  <c r="H120" i="190" s="1"/>
  <c r="F110" i="190"/>
  <c r="F108" i="190"/>
  <c r="I24" i="132"/>
  <c r="I23" i="132"/>
  <c r="I22" i="132"/>
  <c r="B16" i="212" s="1"/>
  <c r="O20" i="132"/>
  <c r="G59" i="107"/>
  <c r="G57" i="107"/>
  <c r="I1459" i="132"/>
  <c r="B27" i="212" s="1"/>
  <c r="I1375" i="132"/>
  <c r="B25" i="212" s="1"/>
  <c r="G122" i="190"/>
  <c r="G120" i="190"/>
  <c r="H119" i="190"/>
  <c r="H118" i="190"/>
  <c r="H117" i="190"/>
  <c r="G116" i="190"/>
  <c r="H113" i="190"/>
  <c r="H115" i="190" s="1"/>
  <c r="F116" i="190" s="1"/>
  <c r="I1371" i="132"/>
  <c r="B24" i="212" s="1"/>
  <c r="G104" i="190"/>
  <c r="G108" i="190"/>
  <c r="G240" i="190"/>
  <c r="G110" i="190"/>
  <c r="H110" i="190" s="1"/>
  <c r="H107" i="190"/>
  <c r="H106" i="190"/>
  <c r="H105" i="190"/>
  <c r="H101" i="190"/>
  <c r="H103" i="190" s="1"/>
  <c r="F104" i="190" s="1"/>
  <c r="I390" i="132"/>
  <c r="I389" i="132"/>
  <c r="I446" i="132"/>
  <c r="I445" i="132"/>
  <c r="I444" i="132"/>
  <c r="I443" i="132"/>
  <c r="I442" i="132"/>
  <c r="F399" i="132"/>
  <c r="I399" i="132" s="1"/>
  <c r="I401" i="132"/>
  <c r="I400" i="132"/>
  <c r="H116" i="190" l="1"/>
  <c r="H108" i="190"/>
  <c r="H122" i="190"/>
  <c r="H123" i="190" s="1"/>
  <c r="K1377" i="132" s="1"/>
  <c r="G60" i="107"/>
  <c r="G61" i="107" s="1"/>
  <c r="K26" i="132" s="1"/>
  <c r="H104" i="190"/>
  <c r="H111" i="190" s="1"/>
  <c r="K1373" i="132" s="1"/>
  <c r="B17" i="212"/>
  <c r="M1373" i="132" l="1"/>
  <c r="F24" i="212"/>
  <c r="H24" i="212" s="1"/>
  <c r="M1377" i="132"/>
  <c r="F25" i="212"/>
  <c r="H25" i="212" s="1"/>
  <c r="M26" i="132"/>
  <c r="F16" i="212"/>
  <c r="H16" i="212" s="1"/>
  <c r="I17" i="132"/>
  <c r="I16" i="132"/>
  <c r="I15" i="132"/>
  <c r="O13" i="132"/>
  <c r="G47" i="107"/>
  <c r="G46" i="107"/>
  <c r="G44" i="107"/>
  <c r="G48" i="107" l="1"/>
  <c r="G49" i="107" s="1"/>
  <c r="K19" i="132" s="1"/>
  <c r="M19" i="132" l="1"/>
  <c r="I1363" i="132"/>
  <c r="I1362" i="132"/>
  <c r="I388" i="132"/>
  <c r="B21" i="212" s="1"/>
  <c r="I384" i="132"/>
  <c r="B20" i="212" s="1"/>
  <c r="F216" i="190" l="1"/>
  <c r="I183" i="132"/>
  <c r="I182" i="132"/>
  <c r="I181" i="132"/>
  <c r="I180" i="132"/>
  <c r="I179" i="132"/>
  <c r="I178" i="132"/>
  <c r="I177" i="132"/>
  <c r="I98" i="132"/>
  <c r="B19" i="212" l="1"/>
  <c r="B18" i="212"/>
  <c r="E11" i="202"/>
  <c r="E12" i="202" s="1"/>
  <c r="E13" i="202" s="1"/>
  <c r="E14" i="202" s="1"/>
  <c r="E15" i="202" s="1"/>
  <c r="E16" i="202" s="1"/>
  <c r="E17" i="202" s="1"/>
  <c r="E18" i="202" s="1"/>
  <c r="E19" i="202" s="1"/>
  <c r="E20" i="202" s="1"/>
  <c r="E21" i="202" s="1"/>
  <c r="E22" i="202" s="1"/>
  <c r="E23" i="202" s="1"/>
  <c r="E24" i="202" s="1"/>
  <c r="E25" i="202" s="1"/>
  <c r="E26" i="202" s="1"/>
  <c r="E27" i="202" s="1"/>
  <c r="E28" i="202" s="1"/>
  <c r="E29" i="202" s="1"/>
  <c r="E30" i="202" s="1"/>
  <c r="E31" i="202" s="1"/>
  <c r="E32" i="202" s="1"/>
  <c r="E33" i="202" s="1"/>
  <c r="E34" i="202" s="1"/>
  <c r="E35" i="202" s="1"/>
  <c r="E36" i="202" s="1"/>
  <c r="E37" i="202" s="1"/>
  <c r="E38" i="202" s="1"/>
  <c r="E39" i="202" s="1"/>
  <c r="E40" i="202" s="1"/>
  <c r="E41" i="202" s="1"/>
  <c r="E42" i="202" s="1"/>
  <c r="E43" i="202" s="1"/>
  <c r="E44" i="202" s="1"/>
  <c r="E45" i="202" s="1"/>
  <c r="E46" i="202" s="1"/>
  <c r="E47" i="202" s="1"/>
  <c r="E48" i="202" s="1"/>
  <c r="E49" i="202" s="1"/>
  <c r="E50" i="202" s="1"/>
  <c r="E51" i="202" s="1"/>
  <c r="E52" i="202" s="1"/>
  <c r="E53" i="202" s="1"/>
  <c r="E54" i="202" s="1"/>
  <c r="E55" i="202" s="1"/>
  <c r="E56" i="202" s="1"/>
  <c r="E57" i="202" s="1"/>
  <c r="E58" i="202" s="1"/>
  <c r="E59" i="202" s="1"/>
  <c r="E60" i="202" s="1"/>
  <c r="E61" i="202" s="1"/>
  <c r="E62" i="202" s="1"/>
  <c r="E63" i="202" s="1"/>
  <c r="E64" i="202" s="1"/>
  <c r="E65" i="202" s="1"/>
  <c r="E66" i="202" s="1"/>
  <c r="E67" i="202" s="1"/>
  <c r="E68" i="202" s="1"/>
  <c r="E69" i="202" s="1"/>
  <c r="E70" i="202" s="1"/>
  <c r="E71" i="202" s="1"/>
  <c r="E72" i="202" s="1"/>
  <c r="E73" i="202" s="1"/>
  <c r="E74" i="202" s="1"/>
  <c r="E75" i="202" s="1"/>
  <c r="E76" i="202" s="1"/>
  <c r="E77" i="202" s="1"/>
  <c r="E78" i="202" s="1"/>
  <c r="E79" i="202" s="1"/>
  <c r="E80" i="202" s="1"/>
  <c r="E81" i="202" s="1"/>
  <c r="E82" i="202" s="1"/>
  <c r="E83" i="202" s="1"/>
  <c r="E84" i="202" s="1"/>
  <c r="E85" i="202" s="1"/>
  <c r="E86" i="202" s="1"/>
  <c r="E87" i="202" s="1"/>
  <c r="E88" i="202" s="1"/>
  <c r="E89" i="202" s="1"/>
  <c r="E90" i="202" s="1"/>
  <c r="E91" i="202" s="1"/>
  <c r="E92" i="202" s="1"/>
  <c r="E93" i="202" s="1"/>
  <c r="E94" i="202" s="1"/>
  <c r="E95" i="202" s="1"/>
  <c r="E96" i="202" s="1"/>
  <c r="E97" i="202" s="1"/>
  <c r="E98" i="202" s="1"/>
  <c r="E99" i="202" s="1"/>
  <c r="E100" i="202" s="1"/>
  <c r="E101" i="202" s="1"/>
  <c r="E102" i="202" s="1"/>
  <c r="E103" i="202" s="1"/>
  <c r="E104" i="202" s="1"/>
  <c r="E105" i="202" s="1"/>
  <c r="E106" i="202" s="1"/>
  <c r="E107" i="202" s="1"/>
  <c r="E108" i="202" s="1"/>
  <c r="E109" i="202" s="1"/>
  <c r="E110" i="202" s="1"/>
  <c r="E111" i="202" s="1"/>
  <c r="E112" i="202" s="1"/>
  <c r="E113" i="202" s="1"/>
  <c r="E114" i="202" s="1"/>
  <c r="E115" i="202" s="1"/>
  <c r="E116" i="202" s="1"/>
  <c r="E117" i="202" s="1"/>
  <c r="E118" i="202" s="1"/>
  <c r="E119" i="202" s="1"/>
  <c r="E120" i="202" s="1"/>
  <c r="E121" i="202" s="1"/>
  <c r="E122" i="202" s="1"/>
  <c r="E123" i="202" s="1"/>
  <c r="E124" i="202" s="1"/>
  <c r="E125" i="202" s="1"/>
  <c r="E126" i="202" s="1"/>
  <c r="E127" i="202" s="1"/>
  <c r="E128" i="202" s="1"/>
  <c r="E129" i="202" s="1"/>
  <c r="E130" i="202" s="1"/>
  <c r="E131" i="202" s="1"/>
  <c r="E132" i="202" s="1"/>
  <c r="E133" i="202" s="1"/>
  <c r="E134" i="202" s="1"/>
  <c r="E135" i="202" s="1"/>
  <c r="E136" i="202" s="1"/>
  <c r="E137" i="202" s="1"/>
  <c r="E138" i="202" s="1"/>
  <c r="E139" i="202" s="1"/>
  <c r="E140" i="202" s="1"/>
  <c r="E141" i="202" s="1"/>
  <c r="E142" i="202" s="1"/>
  <c r="E143" i="202" s="1"/>
  <c r="E144" i="202" s="1"/>
  <c r="E145" i="202" s="1"/>
  <c r="E146" i="202" s="1"/>
  <c r="E147" i="202" s="1"/>
  <c r="E148" i="202" s="1"/>
  <c r="E149" i="202" s="1"/>
  <c r="E150" i="202" s="1"/>
  <c r="E151" i="202" s="1"/>
  <c r="E152" i="202" s="1"/>
  <c r="E153" i="202" s="1"/>
  <c r="E154" i="202" s="1"/>
  <c r="E155" i="202" s="1"/>
  <c r="E156" i="202" s="1"/>
  <c r="E157" i="202" s="1"/>
  <c r="E158" i="202" s="1"/>
  <c r="E159" i="202" s="1"/>
  <c r="E160" i="202" s="1"/>
  <c r="E161" i="202" s="1"/>
  <c r="E162" i="202" s="1"/>
  <c r="E163" i="202" s="1"/>
  <c r="E164" i="202" s="1"/>
  <c r="E165" i="202" s="1"/>
  <c r="E166" i="202" s="1"/>
  <c r="E167" i="202" s="1"/>
  <c r="E168" i="202" s="1"/>
  <c r="E169" i="202" s="1"/>
  <c r="E170" i="202" s="1"/>
  <c r="E171" i="202" s="1"/>
  <c r="E172" i="202" s="1"/>
  <c r="E173" i="202" s="1"/>
  <c r="E174" i="202" s="1"/>
  <c r="E175" i="202" s="1"/>
  <c r="E176" i="202" s="1"/>
  <c r="E177" i="202" s="1"/>
  <c r="E178" i="202" s="1"/>
  <c r="E179" i="202" s="1"/>
  <c r="E180" i="202" s="1"/>
  <c r="E181" i="202" s="1"/>
  <c r="E182" i="202" s="1"/>
  <c r="E183" i="202" s="1"/>
  <c r="E184" i="202" s="1"/>
  <c r="E185" i="202" s="1"/>
  <c r="E186" i="202" s="1"/>
  <c r="E187" i="202" s="1"/>
  <c r="E188" i="202" s="1"/>
  <c r="E189" i="202" s="1"/>
  <c r="E190" i="202" s="1"/>
  <c r="E191" i="202" s="1"/>
  <c r="E192" i="202" s="1"/>
  <c r="E193" i="202" s="1"/>
  <c r="E194" i="202" s="1"/>
  <c r="E195" i="202" s="1"/>
  <c r="E196" i="202" s="1"/>
  <c r="E197" i="202" s="1"/>
  <c r="E198" i="202" s="1"/>
  <c r="E199" i="202" s="1"/>
  <c r="E200" i="202" s="1"/>
  <c r="E201" i="202" s="1"/>
  <c r="E202" i="202" s="1"/>
  <c r="E203" i="202" s="1"/>
  <c r="E204" i="202" s="1"/>
  <c r="E205" i="202" s="1"/>
  <c r="E206" i="202" s="1"/>
  <c r="E207" i="202" s="1"/>
  <c r="E208" i="202" s="1"/>
  <c r="E209" i="202" s="1"/>
  <c r="E210" i="202" s="1"/>
  <c r="E211" i="202" s="1"/>
  <c r="E212" i="202" s="1"/>
  <c r="E213" i="202" s="1"/>
  <c r="E214" i="202" s="1"/>
  <c r="E215" i="202" s="1"/>
  <c r="E216" i="202" s="1"/>
  <c r="E217" i="202" s="1"/>
  <c r="E218" i="202" s="1"/>
  <c r="E219" i="202" s="1"/>
  <c r="E220" i="202" s="1"/>
  <c r="E221" i="202" s="1"/>
  <c r="E222" i="202" s="1"/>
  <c r="E223" i="202" s="1"/>
  <c r="E224" i="202" s="1"/>
  <c r="E225" i="202" s="1"/>
  <c r="E226" i="202" s="1"/>
  <c r="E227" i="202" s="1"/>
  <c r="E228" i="202" s="1"/>
  <c r="E229" i="202" s="1"/>
  <c r="E230" i="202" s="1"/>
  <c r="E231" i="202" s="1"/>
  <c r="E232" i="202" s="1"/>
  <c r="E233" i="202" s="1"/>
  <c r="E234" i="202" s="1"/>
  <c r="E235" i="202" s="1"/>
  <c r="E236" i="202" s="1"/>
  <c r="E237" i="202" s="1"/>
  <c r="E238" i="202" s="1"/>
  <c r="E239" i="202" s="1"/>
  <c r="E240" i="202" s="1"/>
  <c r="E241" i="202" s="1"/>
  <c r="E242" i="202" s="1"/>
  <c r="E243" i="202" s="1"/>
  <c r="E244" i="202" s="1"/>
  <c r="E245" i="202" s="1"/>
  <c r="E246" i="202" s="1"/>
  <c r="E247" i="202" s="1"/>
  <c r="E248" i="202" s="1"/>
  <c r="E249" i="202" s="1"/>
  <c r="E250" i="202" s="1"/>
  <c r="E251" i="202" s="1"/>
  <c r="E252" i="202" s="1"/>
  <c r="E253" i="202" s="1"/>
  <c r="E254" i="202" s="1"/>
  <c r="E255" i="202" s="1"/>
  <c r="E256" i="202" s="1"/>
  <c r="E257" i="202" s="1"/>
  <c r="E258" i="202" s="1"/>
  <c r="E259" i="202" s="1"/>
  <c r="E260" i="202" s="1"/>
  <c r="E261" i="202" s="1"/>
  <c r="E262" i="202" s="1"/>
  <c r="E263" i="202" s="1"/>
  <c r="E264" i="202" s="1"/>
  <c r="E265" i="202" s="1"/>
  <c r="E266" i="202" s="1"/>
  <c r="E267" i="202" s="1"/>
  <c r="E268" i="202" s="1"/>
  <c r="E269" i="202" s="1"/>
  <c r="E270" i="202" s="1"/>
  <c r="E271" i="202" s="1"/>
  <c r="E272" i="202" s="1"/>
  <c r="E273" i="202" s="1"/>
  <c r="E274" i="202" s="1"/>
  <c r="E275" i="202" s="1"/>
  <c r="E276" i="202" s="1"/>
  <c r="E277" i="202" s="1"/>
  <c r="E278" i="202" s="1"/>
  <c r="E279" i="202" s="1"/>
  <c r="E280" i="202" s="1"/>
  <c r="E281" i="202" s="1"/>
  <c r="E282" i="202" s="1"/>
  <c r="E283" i="202" s="1"/>
  <c r="E284" i="202" s="1"/>
  <c r="E285" i="202" s="1"/>
  <c r="E286" i="202" s="1"/>
  <c r="E287" i="202" s="1"/>
  <c r="E288" i="202" s="1"/>
  <c r="E289" i="202" s="1"/>
  <c r="E290" i="202" s="1"/>
  <c r="E291" i="202" s="1"/>
  <c r="E292" i="202" s="1"/>
  <c r="E293" i="202" s="1"/>
  <c r="E294" i="202" s="1"/>
  <c r="E295" i="202" s="1"/>
  <c r="E296" i="202" s="1"/>
  <c r="E297" i="202" s="1"/>
  <c r="E298" i="202" s="1"/>
  <c r="E299" i="202" s="1"/>
  <c r="E300" i="202" s="1"/>
  <c r="E301" i="202" s="1"/>
  <c r="E302" i="202" s="1"/>
  <c r="E303" i="202" s="1"/>
  <c r="E304" i="202" s="1"/>
  <c r="E305" i="202" s="1"/>
  <c r="D12" i="202"/>
  <c r="D13" i="202" s="1"/>
  <c r="D14" i="202" s="1"/>
  <c r="D15" i="202" s="1"/>
  <c r="D16" i="202" s="1"/>
  <c r="D17" i="202" s="1"/>
  <c r="D18" i="202" s="1"/>
  <c r="D19" i="202" s="1"/>
  <c r="D20" i="202" s="1"/>
  <c r="D21" i="202" s="1"/>
  <c r="D22" i="202" s="1"/>
  <c r="D23" i="202" s="1"/>
  <c r="D24" i="202" s="1"/>
  <c r="D25" i="202" s="1"/>
  <c r="D26" i="202" s="1"/>
  <c r="D27" i="202" s="1"/>
  <c r="D28" i="202" s="1"/>
  <c r="D29" i="202" s="1"/>
  <c r="D30" i="202" s="1"/>
  <c r="D31" i="202" s="1"/>
  <c r="D32" i="202" s="1"/>
  <c r="D33" i="202" s="1"/>
  <c r="D34" i="202" s="1"/>
  <c r="D35" i="202" s="1"/>
  <c r="D36" i="202" s="1"/>
  <c r="D37" i="202" s="1"/>
  <c r="D38" i="202" s="1"/>
  <c r="D39" i="202" s="1"/>
  <c r="D40" i="202" s="1"/>
  <c r="D41" i="202" s="1"/>
  <c r="D42" i="202" s="1"/>
  <c r="D43" i="202" s="1"/>
  <c r="D44" i="202" s="1"/>
  <c r="D45" i="202" s="1"/>
  <c r="D46" i="202" s="1"/>
  <c r="D47" i="202" s="1"/>
  <c r="D48" i="202" s="1"/>
  <c r="D49" i="202" s="1"/>
  <c r="D50" i="202" s="1"/>
  <c r="D51" i="202" s="1"/>
  <c r="D52" i="202" s="1"/>
  <c r="D53" i="202" s="1"/>
  <c r="D54" i="202" s="1"/>
  <c r="D55" i="202" s="1"/>
  <c r="D56" i="202" s="1"/>
  <c r="D57" i="202" s="1"/>
  <c r="D58" i="202" s="1"/>
  <c r="D59" i="202" s="1"/>
  <c r="D60" i="202" s="1"/>
  <c r="D61" i="202" s="1"/>
  <c r="D62" i="202" s="1"/>
  <c r="D63" i="202" s="1"/>
  <c r="D64" i="202" s="1"/>
  <c r="D65" i="202" s="1"/>
  <c r="D66" i="202" s="1"/>
  <c r="D67" i="202" s="1"/>
  <c r="D68" i="202" s="1"/>
  <c r="D69" i="202" s="1"/>
  <c r="D70" i="202" s="1"/>
  <c r="D71" i="202" s="1"/>
  <c r="D72" i="202" s="1"/>
  <c r="D73" i="202" s="1"/>
  <c r="D74" i="202" s="1"/>
  <c r="D75" i="202" s="1"/>
  <c r="D76" i="202" s="1"/>
  <c r="D77" i="202" s="1"/>
  <c r="D78" i="202" s="1"/>
  <c r="D79" i="202" s="1"/>
  <c r="D80" i="202" s="1"/>
  <c r="D81" i="202" s="1"/>
  <c r="D82" i="202" s="1"/>
  <c r="D83" i="202" s="1"/>
  <c r="D84" i="202" s="1"/>
  <c r="D85" i="202" s="1"/>
  <c r="D86" i="202" s="1"/>
  <c r="D87" i="202" s="1"/>
  <c r="D88" i="202" s="1"/>
  <c r="D89" i="202" s="1"/>
  <c r="D90" i="202" s="1"/>
  <c r="D91" i="202" s="1"/>
  <c r="D92" i="202" s="1"/>
  <c r="D93" i="202" s="1"/>
  <c r="D94" i="202" s="1"/>
  <c r="D95" i="202" s="1"/>
  <c r="D96" i="202" s="1"/>
  <c r="D97" i="202" s="1"/>
  <c r="D98" i="202" s="1"/>
  <c r="D99" i="202" s="1"/>
  <c r="D100" i="202" s="1"/>
  <c r="D101" i="202" s="1"/>
  <c r="D102" i="202" s="1"/>
  <c r="D103" i="202" s="1"/>
  <c r="D104" i="202" s="1"/>
  <c r="D105" i="202" s="1"/>
  <c r="D106" i="202" s="1"/>
  <c r="D107" i="202" s="1"/>
  <c r="D108" i="202" s="1"/>
  <c r="D109" i="202" s="1"/>
  <c r="D110" i="202" s="1"/>
  <c r="D111" i="202" s="1"/>
  <c r="D112" i="202" s="1"/>
  <c r="D113" i="202" s="1"/>
  <c r="D114" i="202" s="1"/>
  <c r="D115" i="202" s="1"/>
  <c r="D116" i="202" s="1"/>
  <c r="D117" i="202" s="1"/>
  <c r="D118" i="202" s="1"/>
  <c r="D119" i="202" s="1"/>
  <c r="D120" i="202" s="1"/>
  <c r="D121" i="202" s="1"/>
  <c r="D122" i="202" s="1"/>
  <c r="D123" i="202" s="1"/>
  <c r="D124" i="202" s="1"/>
  <c r="D125" i="202" s="1"/>
  <c r="D126" i="202" s="1"/>
  <c r="D127" i="202" s="1"/>
  <c r="D128" i="202" s="1"/>
  <c r="D129" i="202" s="1"/>
  <c r="D130" i="202" s="1"/>
  <c r="D131" i="202" s="1"/>
  <c r="D132" i="202" s="1"/>
  <c r="D133" i="202" s="1"/>
  <c r="D134" i="202" s="1"/>
  <c r="D135" i="202" s="1"/>
  <c r="D136" i="202" s="1"/>
  <c r="D137" i="202" s="1"/>
  <c r="D138" i="202" s="1"/>
  <c r="D139" i="202" s="1"/>
  <c r="D140" i="202" s="1"/>
  <c r="D141" i="202" s="1"/>
  <c r="D142" i="202" s="1"/>
  <c r="D143" i="202" s="1"/>
  <c r="D144" i="202" s="1"/>
  <c r="D145" i="202" s="1"/>
  <c r="D146" i="202" s="1"/>
  <c r="D147" i="202" s="1"/>
  <c r="D148" i="202" s="1"/>
  <c r="D149" i="202" s="1"/>
  <c r="D150" i="202" s="1"/>
  <c r="D151" i="202" s="1"/>
  <c r="D152" i="202" s="1"/>
  <c r="D153" i="202" s="1"/>
  <c r="D154" i="202" s="1"/>
  <c r="D155" i="202" s="1"/>
  <c r="D156" i="202" s="1"/>
  <c r="D157" i="202" s="1"/>
  <c r="D158" i="202" s="1"/>
  <c r="D159" i="202" s="1"/>
  <c r="D160" i="202" s="1"/>
  <c r="D161" i="202" s="1"/>
  <c r="D162" i="202" s="1"/>
  <c r="D163" i="202" s="1"/>
  <c r="D164" i="202" s="1"/>
  <c r="D165" i="202" s="1"/>
  <c r="D166" i="202" s="1"/>
  <c r="D167" i="202" s="1"/>
  <c r="D168" i="202" s="1"/>
  <c r="D169" i="202" s="1"/>
  <c r="D170" i="202" s="1"/>
  <c r="D171" i="202" s="1"/>
  <c r="D172" i="202" s="1"/>
  <c r="D173" i="202" s="1"/>
  <c r="D174" i="202" s="1"/>
  <c r="D175" i="202" s="1"/>
  <c r="D176" i="202" s="1"/>
  <c r="D177" i="202" s="1"/>
  <c r="D178" i="202" s="1"/>
  <c r="D179" i="202" s="1"/>
  <c r="D180" i="202" s="1"/>
  <c r="D181" i="202" s="1"/>
  <c r="D182" i="202" s="1"/>
  <c r="D183" i="202" s="1"/>
  <c r="D184" i="202" s="1"/>
  <c r="D185" i="202" s="1"/>
  <c r="D186" i="202" s="1"/>
  <c r="D187" i="202" s="1"/>
  <c r="D188" i="202" s="1"/>
  <c r="D189" i="202" s="1"/>
  <c r="D190" i="202" s="1"/>
  <c r="D191" i="202" s="1"/>
  <c r="D192" i="202" s="1"/>
  <c r="D193" i="202" s="1"/>
  <c r="D194" i="202" s="1"/>
  <c r="D195" i="202" s="1"/>
  <c r="D196" i="202" s="1"/>
  <c r="D197" i="202" s="1"/>
  <c r="D198" i="202" s="1"/>
  <c r="D199" i="202" s="1"/>
  <c r="D200" i="202" s="1"/>
  <c r="D201" i="202" s="1"/>
  <c r="D202" i="202" s="1"/>
  <c r="D203" i="202" s="1"/>
  <c r="D204" i="202" s="1"/>
  <c r="D205" i="202" s="1"/>
  <c r="D206" i="202" s="1"/>
  <c r="D207" i="202" s="1"/>
  <c r="D208" i="202" s="1"/>
  <c r="D209" i="202" s="1"/>
  <c r="D210" i="202" s="1"/>
  <c r="D211" i="202" s="1"/>
  <c r="D212" i="202" s="1"/>
  <c r="D213" i="202" s="1"/>
  <c r="D214" i="202" s="1"/>
  <c r="D215" i="202" s="1"/>
  <c r="D216" i="202" s="1"/>
  <c r="D217" i="202" s="1"/>
  <c r="D218" i="202" s="1"/>
  <c r="D219" i="202" s="1"/>
  <c r="D220" i="202" s="1"/>
  <c r="D221" i="202" s="1"/>
  <c r="D222" i="202" s="1"/>
  <c r="D223" i="202" s="1"/>
  <c r="D224" i="202" s="1"/>
  <c r="D225" i="202" s="1"/>
  <c r="D226" i="202" s="1"/>
  <c r="D227" i="202" s="1"/>
  <c r="D228" i="202" s="1"/>
  <c r="D229" i="202" s="1"/>
  <c r="D230" i="202" s="1"/>
  <c r="D231" i="202" s="1"/>
  <c r="D232" i="202" s="1"/>
  <c r="D233" i="202" s="1"/>
  <c r="D234" i="202" s="1"/>
  <c r="D235" i="202" s="1"/>
  <c r="D236" i="202" s="1"/>
  <c r="D237" i="202" s="1"/>
  <c r="D238" i="202" s="1"/>
  <c r="D239" i="202" s="1"/>
  <c r="D240" i="202" s="1"/>
  <c r="D241" i="202" s="1"/>
  <c r="D242" i="202" s="1"/>
  <c r="D243" i="202" s="1"/>
  <c r="D244" i="202" s="1"/>
  <c r="D245" i="202" s="1"/>
  <c r="D246" i="202" s="1"/>
  <c r="D247" i="202" s="1"/>
  <c r="D248" i="202" s="1"/>
  <c r="D249" i="202" s="1"/>
  <c r="D250" i="202" s="1"/>
  <c r="D251" i="202" s="1"/>
  <c r="D252" i="202" s="1"/>
  <c r="D253" i="202" s="1"/>
  <c r="D254" i="202" s="1"/>
  <c r="D255" i="202" s="1"/>
  <c r="D256" i="202" s="1"/>
  <c r="D257" i="202" s="1"/>
  <c r="D258" i="202" s="1"/>
  <c r="D259" i="202" s="1"/>
  <c r="D260" i="202" s="1"/>
  <c r="D261" i="202" s="1"/>
  <c r="D262" i="202" s="1"/>
  <c r="D263" i="202" s="1"/>
  <c r="D264" i="202" s="1"/>
  <c r="D265" i="202" s="1"/>
  <c r="D266" i="202" s="1"/>
  <c r="D267" i="202" s="1"/>
  <c r="D268" i="202" s="1"/>
  <c r="D269" i="202" s="1"/>
  <c r="D270" i="202" s="1"/>
  <c r="D271" i="202" s="1"/>
  <c r="D272" i="202" s="1"/>
  <c r="D273" i="202" s="1"/>
  <c r="D274" i="202" s="1"/>
  <c r="D275" i="202" s="1"/>
  <c r="D276" i="202" s="1"/>
  <c r="D277" i="202" s="1"/>
  <c r="D278" i="202" s="1"/>
  <c r="D279" i="202" s="1"/>
  <c r="D280" i="202" s="1"/>
  <c r="D281" i="202" s="1"/>
  <c r="D282" i="202" s="1"/>
  <c r="D283" i="202" s="1"/>
  <c r="D284" i="202" s="1"/>
  <c r="D285" i="202" s="1"/>
  <c r="D286" i="202" s="1"/>
  <c r="D287" i="202" s="1"/>
  <c r="D288" i="202" s="1"/>
  <c r="D289" i="202" s="1"/>
  <c r="D290" i="202" s="1"/>
  <c r="D291" i="202" s="1"/>
  <c r="D292" i="202" s="1"/>
  <c r="D293" i="202" s="1"/>
  <c r="D294" i="202" s="1"/>
  <c r="D295" i="202" s="1"/>
  <c r="D296" i="202" s="1"/>
  <c r="D297" i="202" s="1"/>
  <c r="D298" i="202" s="1"/>
  <c r="D299" i="202" s="1"/>
  <c r="D300" i="202" s="1"/>
  <c r="D301" i="202" s="1"/>
  <c r="D302" i="202" s="1"/>
  <c r="D303" i="202" s="1"/>
  <c r="D304" i="202" s="1"/>
  <c r="D305" i="202" s="1"/>
  <c r="D11" i="202"/>
  <c r="C11" i="202"/>
  <c r="C12" i="202" s="1"/>
  <c r="C13" i="202" s="1"/>
  <c r="C14" i="202" s="1"/>
  <c r="C15" i="202" s="1"/>
  <c r="C16" i="202" s="1"/>
  <c r="C17" i="202" s="1"/>
  <c r="C18" i="202" s="1"/>
  <c r="C19" i="202" s="1"/>
  <c r="C20" i="202" s="1"/>
  <c r="C21" i="202" s="1"/>
  <c r="C22" i="202" s="1"/>
  <c r="C23" i="202" s="1"/>
  <c r="C24" i="202" s="1"/>
  <c r="C25" i="202" s="1"/>
  <c r="C26" i="202" s="1"/>
  <c r="C27" i="202" s="1"/>
  <c r="C28" i="202" s="1"/>
  <c r="C29" i="202" s="1"/>
  <c r="C30" i="202" s="1"/>
  <c r="C31" i="202" s="1"/>
  <c r="C32" i="202" s="1"/>
  <c r="C33" i="202" s="1"/>
  <c r="C34" i="202" s="1"/>
  <c r="C35" i="202" s="1"/>
  <c r="C36" i="202" s="1"/>
  <c r="C37" i="202" s="1"/>
  <c r="C38" i="202" s="1"/>
  <c r="C39" i="202" s="1"/>
  <c r="C40" i="202" s="1"/>
  <c r="C41" i="202" s="1"/>
  <c r="C42" i="202" s="1"/>
  <c r="C43" i="202" s="1"/>
  <c r="C44" i="202" s="1"/>
  <c r="C45" i="202" s="1"/>
  <c r="C46" i="202" s="1"/>
  <c r="C47" i="202" s="1"/>
  <c r="C48" i="202" s="1"/>
  <c r="C49" i="202" s="1"/>
  <c r="C50" i="202" s="1"/>
  <c r="C51" i="202" s="1"/>
  <c r="C52" i="202" s="1"/>
  <c r="C53" i="202" s="1"/>
  <c r="C54" i="202" s="1"/>
  <c r="C55" i="202" s="1"/>
  <c r="C56" i="202" s="1"/>
  <c r="C57" i="202" s="1"/>
  <c r="C58" i="202" s="1"/>
  <c r="C59" i="202" s="1"/>
  <c r="C60" i="202" s="1"/>
  <c r="C61" i="202" s="1"/>
  <c r="C62" i="202" s="1"/>
  <c r="C63" i="202" s="1"/>
  <c r="C64" i="202" s="1"/>
  <c r="C65" i="202" s="1"/>
  <c r="C66" i="202" s="1"/>
  <c r="C67" i="202" s="1"/>
  <c r="C68" i="202" s="1"/>
  <c r="C69" i="202" s="1"/>
  <c r="C70" i="202" s="1"/>
  <c r="C71" i="202" s="1"/>
  <c r="C72" i="202" s="1"/>
  <c r="C73" i="202" s="1"/>
  <c r="C74" i="202" s="1"/>
  <c r="C75" i="202" s="1"/>
  <c r="C76" i="202" s="1"/>
  <c r="C77" i="202" s="1"/>
  <c r="C78" i="202" s="1"/>
  <c r="C79" i="202" s="1"/>
  <c r="C80" i="202" s="1"/>
  <c r="C81" i="202" s="1"/>
  <c r="C82" i="202" s="1"/>
  <c r="C83" i="202" s="1"/>
  <c r="C84" i="202" s="1"/>
  <c r="C85" i="202" s="1"/>
  <c r="C86" i="202" s="1"/>
  <c r="C87" i="202" s="1"/>
  <c r="C88" i="202" s="1"/>
  <c r="C89" i="202" s="1"/>
  <c r="C90" i="202" s="1"/>
  <c r="C91" i="202" s="1"/>
  <c r="C92" i="202" s="1"/>
  <c r="C93" i="202" s="1"/>
  <c r="C94" i="202" s="1"/>
  <c r="C95" i="202" s="1"/>
  <c r="C96" i="202" s="1"/>
  <c r="C97" i="202" s="1"/>
  <c r="C98" i="202" s="1"/>
  <c r="C99" i="202" s="1"/>
  <c r="C100" i="202" s="1"/>
  <c r="C101" i="202" s="1"/>
  <c r="C102" i="202" s="1"/>
  <c r="C103" i="202" s="1"/>
  <c r="C104" i="202" s="1"/>
  <c r="C105" i="202" s="1"/>
  <c r="C106" i="202" s="1"/>
  <c r="C107" i="202" s="1"/>
  <c r="C108" i="202" s="1"/>
  <c r="C109" i="202" s="1"/>
  <c r="C110" i="202" s="1"/>
  <c r="C111" i="202" s="1"/>
  <c r="C112" i="202" s="1"/>
  <c r="C113" i="202" s="1"/>
  <c r="C114" i="202" s="1"/>
  <c r="C115" i="202" s="1"/>
  <c r="C116" i="202" s="1"/>
  <c r="C117" i="202" s="1"/>
  <c r="C118" i="202" s="1"/>
  <c r="C119" i="202" s="1"/>
  <c r="C120" i="202" s="1"/>
  <c r="C121" i="202" s="1"/>
  <c r="C122" i="202" s="1"/>
  <c r="C123" i="202" s="1"/>
  <c r="C124" i="202" s="1"/>
  <c r="C125" i="202" s="1"/>
  <c r="C126" i="202" s="1"/>
  <c r="C127" i="202" s="1"/>
  <c r="C128" i="202" s="1"/>
  <c r="C129" i="202" s="1"/>
  <c r="C130" i="202" s="1"/>
  <c r="C131" i="202" s="1"/>
  <c r="C132" i="202" s="1"/>
  <c r="C133" i="202" s="1"/>
  <c r="C134" i="202" s="1"/>
  <c r="C135" i="202" s="1"/>
  <c r="C136" i="202" s="1"/>
  <c r="C137" i="202" s="1"/>
  <c r="C138" i="202" s="1"/>
  <c r="C139" i="202" s="1"/>
  <c r="C140" i="202" s="1"/>
  <c r="C141" i="202" s="1"/>
  <c r="C142" i="202" s="1"/>
  <c r="C143" i="202" s="1"/>
  <c r="C144" i="202" s="1"/>
  <c r="C145" i="202" s="1"/>
  <c r="C146" i="202" s="1"/>
  <c r="C147" i="202" s="1"/>
  <c r="C148" i="202" s="1"/>
  <c r="C149" i="202" s="1"/>
  <c r="C150" i="202" s="1"/>
  <c r="C151" i="202" s="1"/>
  <c r="C152" i="202" s="1"/>
  <c r="C153" i="202" s="1"/>
  <c r="C154" i="202" s="1"/>
  <c r="C155" i="202" s="1"/>
  <c r="C156" i="202" s="1"/>
  <c r="C157" i="202" s="1"/>
  <c r="C158" i="202" s="1"/>
  <c r="C159" i="202" s="1"/>
  <c r="C160" i="202" s="1"/>
  <c r="C161" i="202" s="1"/>
  <c r="C162" i="202" s="1"/>
  <c r="C163" i="202" s="1"/>
  <c r="C164" i="202" s="1"/>
  <c r="C165" i="202" s="1"/>
  <c r="C166" i="202" s="1"/>
  <c r="C167" i="202" s="1"/>
  <c r="C168" i="202" s="1"/>
  <c r="C169" i="202" s="1"/>
  <c r="C170" i="202" s="1"/>
  <c r="C171" i="202" s="1"/>
  <c r="C172" i="202" s="1"/>
  <c r="C173" i="202" s="1"/>
  <c r="C174" i="202" s="1"/>
  <c r="C175" i="202" s="1"/>
  <c r="C176" i="202" s="1"/>
  <c r="C177" i="202" s="1"/>
  <c r="C178" i="202" s="1"/>
  <c r="C179" i="202" s="1"/>
  <c r="C180" i="202" s="1"/>
  <c r="C181" i="202" s="1"/>
  <c r="C182" i="202" s="1"/>
  <c r="C183" i="202" s="1"/>
  <c r="C184" i="202" s="1"/>
  <c r="C185" i="202" s="1"/>
  <c r="C186" i="202" s="1"/>
  <c r="C187" i="202" s="1"/>
  <c r="C188" i="202" s="1"/>
  <c r="C189" i="202" s="1"/>
  <c r="C190" i="202" s="1"/>
  <c r="C191" i="202" s="1"/>
  <c r="C192" i="202" s="1"/>
  <c r="C193" i="202" s="1"/>
  <c r="C194" i="202" s="1"/>
  <c r="C195" i="202" s="1"/>
  <c r="C196" i="202" s="1"/>
  <c r="C197" i="202" s="1"/>
  <c r="C198" i="202" s="1"/>
  <c r="C199" i="202" s="1"/>
  <c r="C200" i="202" s="1"/>
  <c r="C201" i="202" s="1"/>
  <c r="C202" i="202" s="1"/>
  <c r="C203" i="202" s="1"/>
  <c r="C204" i="202" s="1"/>
  <c r="C205" i="202" s="1"/>
  <c r="C206" i="202" s="1"/>
  <c r="C207" i="202" s="1"/>
  <c r="C208" i="202" s="1"/>
  <c r="C209" i="202" s="1"/>
  <c r="C210" i="202" s="1"/>
  <c r="C211" i="202" s="1"/>
  <c r="C212" i="202" s="1"/>
  <c r="C213" i="202" s="1"/>
  <c r="C214" i="202" s="1"/>
  <c r="C215" i="202" s="1"/>
  <c r="C216" i="202" s="1"/>
  <c r="C217" i="202" s="1"/>
  <c r="C218" i="202" s="1"/>
  <c r="C219" i="202" s="1"/>
  <c r="C220" i="202" s="1"/>
  <c r="C221" i="202" s="1"/>
  <c r="C222" i="202" s="1"/>
  <c r="C223" i="202" s="1"/>
  <c r="C224" i="202" s="1"/>
  <c r="C225" i="202" s="1"/>
  <c r="C226" i="202" s="1"/>
  <c r="C227" i="202" s="1"/>
  <c r="C228" i="202" s="1"/>
  <c r="C229" i="202" s="1"/>
  <c r="C230" i="202" s="1"/>
  <c r="C231" i="202" s="1"/>
  <c r="C232" i="202" s="1"/>
  <c r="C233" i="202" s="1"/>
  <c r="C234" i="202" s="1"/>
  <c r="C235" i="202" s="1"/>
  <c r="C236" i="202" s="1"/>
  <c r="C237" i="202" s="1"/>
  <c r="C238" i="202" s="1"/>
  <c r="C239" i="202" s="1"/>
  <c r="C240" i="202" s="1"/>
  <c r="C241" i="202" s="1"/>
  <c r="C242" i="202" s="1"/>
  <c r="C243" i="202" s="1"/>
  <c r="C244" i="202" s="1"/>
  <c r="C245" i="202" s="1"/>
  <c r="C246" i="202" s="1"/>
  <c r="C247" i="202" s="1"/>
  <c r="C248" i="202" s="1"/>
  <c r="C249" i="202" s="1"/>
  <c r="C250" i="202" s="1"/>
  <c r="C251" i="202" s="1"/>
  <c r="C252" i="202" s="1"/>
  <c r="C253" i="202" s="1"/>
  <c r="C254" i="202" s="1"/>
  <c r="C255" i="202" s="1"/>
  <c r="C256" i="202" s="1"/>
  <c r="C257" i="202" s="1"/>
  <c r="C258" i="202" s="1"/>
  <c r="C259" i="202" s="1"/>
  <c r="C260" i="202" s="1"/>
  <c r="C261" i="202" s="1"/>
  <c r="C262" i="202" s="1"/>
  <c r="C263" i="202" s="1"/>
  <c r="C264" i="202" s="1"/>
  <c r="C265" i="202" s="1"/>
  <c r="C266" i="202" s="1"/>
  <c r="C267" i="202" s="1"/>
  <c r="C268" i="202" s="1"/>
  <c r="C269" i="202" s="1"/>
  <c r="C270" i="202" s="1"/>
  <c r="C271" i="202" s="1"/>
  <c r="C272" i="202" s="1"/>
  <c r="C273" i="202" s="1"/>
  <c r="C274" i="202" s="1"/>
  <c r="C275" i="202" s="1"/>
  <c r="C276" i="202" s="1"/>
  <c r="C277" i="202" s="1"/>
  <c r="C278" i="202" s="1"/>
  <c r="C279" i="202" s="1"/>
  <c r="C280" i="202" s="1"/>
  <c r="C281" i="202" s="1"/>
  <c r="C282" i="202" s="1"/>
  <c r="C283" i="202" s="1"/>
  <c r="C284" i="202" s="1"/>
  <c r="C285" i="202" s="1"/>
  <c r="C286" i="202" s="1"/>
  <c r="C287" i="202" s="1"/>
  <c r="C288" i="202" s="1"/>
  <c r="C289" i="202" s="1"/>
  <c r="C290" i="202" s="1"/>
  <c r="C291" i="202" s="1"/>
  <c r="C292" i="202" s="1"/>
  <c r="C293" i="202" s="1"/>
  <c r="C294" i="202" s="1"/>
  <c r="C295" i="202" s="1"/>
  <c r="C296" i="202" s="1"/>
  <c r="C297" i="202" s="1"/>
  <c r="C298" i="202" s="1"/>
  <c r="C299" i="202" s="1"/>
  <c r="C300" i="202" s="1"/>
  <c r="C301" i="202" s="1"/>
  <c r="C302" i="202" s="1"/>
  <c r="C303" i="202" s="1"/>
  <c r="C304" i="202" s="1"/>
  <c r="C305" i="202" s="1"/>
  <c r="B11" i="202"/>
  <c r="B12" i="202" s="1"/>
  <c r="B13" i="202" s="1"/>
  <c r="B14" i="202" s="1"/>
  <c r="B15" i="202" s="1"/>
  <c r="B16" i="202" s="1"/>
  <c r="B17" i="202" s="1"/>
  <c r="B18" i="202" s="1"/>
  <c r="B19" i="202" s="1"/>
  <c r="B20" i="202" s="1"/>
  <c r="B21" i="202" s="1"/>
  <c r="B22" i="202" s="1"/>
  <c r="B23" i="202" s="1"/>
  <c r="B24" i="202" s="1"/>
  <c r="B25" i="202" s="1"/>
  <c r="B26" i="202" s="1"/>
  <c r="B27" i="202" s="1"/>
  <c r="B28" i="202" s="1"/>
  <c r="B29" i="202" s="1"/>
  <c r="B30" i="202" s="1"/>
  <c r="B31" i="202" s="1"/>
  <c r="B32" i="202" s="1"/>
  <c r="B33" i="202" s="1"/>
  <c r="B34" i="202" s="1"/>
  <c r="B35" i="202" s="1"/>
  <c r="B36" i="202" s="1"/>
  <c r="B37" i="202" s="1"/>
  <c r="B38" i="202" s="1"/>
  <c r="B39" i="202" s="1"/>
  <c r="B40" i="202" s="1"/>
  <c r="B41" i="202" s="1"/>
  <c r="B42" i="202" s="1"/>
  <c r="B43" i="202" s="1"/>
  <c r="B44" i="202" s="1"/>
  <c r="B45" i="202" s="1"/>
  <c r="B46" i="202" s="1"/>
  <c r="B47" i="202" s="1"/>
  <c r="B48" i="202" s="1"/>
  <c r="B49" i="202" s="1"/>
  <c r="B50" i="202" s="1"/>
  <c r="B51" i="202" s="1"/>
  <c r="B52" i="202" s="1"/>
  <c r="B53" i="202" s="1"/>
  <c r="B54" i="202" s="1"/>
  <c r="B55" i="202" s="1"/>
  <c r="B56" i="202" s="1"/>
  <c r="B57" i="202" s="1"/>
  <c r="B58" i="202" s="1"/>
  <c r="B59" i="202" s="1"/>
  <c r="B60" i="202" s="1"/>
  <c r="B61" i="202" s="1"/>
  <c r="B62" i="202" s="1"/>
  <c r="B63" i="202" s="1"/>
  <c r="B64" i="202" s="1"/>
  <c r="B65" i="202" s="1"/>
  <c r="B66" i="202" s="1"/>
  <c r="B67" i="202" s="1"/>
  <c r="B68" i="202" s="1"/>
  <c r="B69" i="202" s="1"/>
  <c r="B70" i="202" s="1"/>
  <c r="B71" i="202" s="1"/>
  <c r="B72" i="202" s="1"/>
  <c r="B73" i="202" s="1"/>
  <c r="B74" i="202" s="1"/>
  <c r="B75" i="202" s="1"/>
  <c r="B76" i="202" s="1"/>
  <c r="B77" i="202" s="1"/>
  <c r="B78" i="202" s="1"/>
  <c r="B79" i="202" s="1"/>
  <c r="B80" i="202" s="1"/>
  <c r="B81" i="202" s="1"/>
  <c r="B82" i="202" s="1"/>
  <c r="B83" i="202" s="1"/>
  <c r="B84" i="202" s="1"/>
  <c r="B85" i="202" s="1"/>
  <c r="B86" i="202" s="1"/>
  <c r="B87" i="202" s="1"/>
  <c r="B88" i="202" s="1"/>
  <c r="B89" i="202" s="1"/>
  <c r="B90" i="202" s="1"/>
  <c r="B91" i="202" s="1"/>
  <c r="B92" i="202" s="1"/>
  <c r="B93" i="202" s="1"/>
  <c r="B94" i="202" s="1"/>
  <c r="B95" i="202" s="1"/>
  <c r="B96" i="202" s="1"/>
  <c r="B97" i="202" s="1"/>
  <c r="B98" i="202" s="1"/>
  <c r="B99" i="202" s="1"/>
  <c r="B100" i="202" s="1"/>
  <c r="B101" i="202" s="1"/>
  <c r="B102" i="202" s="1"/>
  <c r="B103" i="202" s="1"/>
  <c r="B104" i="202" s="1"/>
  <c r="B105" i="202" s="1"/>
  <c r="B106" i="202" s="1"/>
  <c r="B107" i="202" s="1"/>
  <c r="B108" i="202" s="1"/>
  <c r="B109" i="202" s="1"/>
  <c r="B110" i="202" s="1"/>
  <c r="B111" i="202" s="1"/>
  <c r="B112" i="202" s="1"/>
  <c r="B113" i="202" s="1"/>
  <c r="B114" i="202" s="1"/>
  <c r="B115" i="202" s="1"/>
  <c r="B116" i="202" s="1"/>
  <c r="B117" i="202" s="1"/>
  <c r="B118" i="202" s="1"/>
  <c r="B119" i="202" s="1"/>
  <c r="B120" i="202" s="1"/>
  <c r="B121" i="202" s="1"/>
  <c r="B122" i="202" s="1"/>
  <c r="B123" i="202" s="1"/>
  <c r="B124" i="202" s="1"/>
  <c r="B125" i="202" s="1"/>
  <c r="B126" i="202" s="1"/>
  <c r="B127" i="202" s="1"/>
  <c r="B128" i="202" s="1"/>
  <c r="B129" i="202" s="1"/>
  <c r="B130" i="202" s="1"/>
  <c r="B131" i="202" s="1"/>
  <c r="B132" i="202" s="1"/>
  <c r="B133" i="202" s="1"/>
  <c r="B134" i="202" s="1"/>
  <c r="B135" i="202" s="1"/>
  <c r="B136" i="202" s="1"/>
  <c r="B137" i="202" s="1"/>
  <c r="B138" i="202" s="1"/>
  <c r="B139" i="202" s="1"/>
  <c r="B140" i="202" s="1"/>
  <c r="B141" i="202" s="1"/>
  <c r="B142" i="202" s="1"/>
  <c r="B143" i="202" s="1"/>
  <c r="B144" i="202" s="1"/>
  <c r="B145" i="202" s="1"/>
  <c r="B146" i="202" s="1"/>
  <c r="B147" i="202" s="1"/>
  <c r="B148" i="202" s="1"/>
  <c r="B149" i="202" s="1"/>
  <c r="B150" i="202" s="1"/>
  <c r="B151" i="202" s="1"/>
  <c r="B152" i="202" s="1"/>
  <c r="B153" i="202" s="1"/>
  <c r="B154" i="202" s="1"/>
  <c r="B155" i="202" s="1"/>
  <c r="B156" i="202" s="1"/>
  <c r="B157" i="202" s="1"/>
  <c r="B158" i="202" s="1"/>
  <c r="B159" i="202" s="1"/>
  <c r="B160" i="202" s="1"/>
  <c r="B161" i="202" s="1"/>
  <c r="B162" i="202" s="1"/>
  <c r="B163" i="202" s="1"/>
  <c r="B164" i="202" s="1"/>
  <c r="B165" i="202" s="1"/>
  <c r="B166" i="202" s="1"/>
  <c r="B167" i="202" s="1"/>
  <c r="B168" i="202" s="1"/>
  <c r="B169" i="202" s="1"/>
  <c r="B170" i="202" s="1"/>
  <c r="B171" i="202" s="1"/>
  <c r="B172" i="202" s="1"/>
  <c r="B173" i="202" s="1"/>
  <c r="B174" i="202" s="1"/>
  <c r="B175" i="202" s="1"/>
  <c r="B176" i="202" s="1"/>
  <c r="B177" i="202" s="1"/>
  <c r="B178" i="202" s="1"/>
  <c r="B179" i="202" s="1"/>
  <c r="B180" i="202" s="1"/>
  <c r="B181" i="202" s="1"/>
  <c r="B182" i="202" s="1"/>
  <c r="B183" i="202" s="1"/>
  <c r="B184" i="202" s="1"/>
  <c r="B185" i="202" s="1"/>
  <c r="B186" i="202" s="1"/>
  <c r="B187" i="202" s="1"/>
  <c r="B188" i="202" s="1"/>
  <c r="B189" i="202" s="1"/>
  <c r="B190" i="202" s="1"/>
  <c r="B191" i="202" s="1"/>
  <c r="B192" i="202" s="1"/>
  <c r="B193" i="202" s="1"/>
  <c r="B194" i="202" s="1"/>
  <c r="B195" i="202" s="1"/>
  <c r="B196" i="202" s="1"/>
  <c r="B197" i="202" s="1"/>
  <c r="B198" i="202" s="1"/>
  <c r="B199" i="202" s="1"/>
  <c r="B200" i="202" s="1"/>
  <c r="B201" i="202" s="1"/>
  <c r="B202" i="202" s="1"/>
  <c r="B203" i="202" s="1"/>
  <c r="B204" i="202" s="1"/>
  <c r="B205" i="202" s="1"/>
  <c r="B206" i="202" s="1"/>
  <c r="B207" i="202" s="1"/>
  <c r="B208" i="202" s="1"/>
  <c r="B209" i="202" s="1"/>
  <c r="B210" i="202" s="1"/>
  <c r="B211" i="202" s="1"/>
  <c r="B212" i="202" s="1"/>
  <c r="B213" i="202" s="1"/>
  <c r="B214" i="202" s="1"/>
  <c r="B215" i="202" s="1"/>
  <c r="B216" i="202" s="1"/>
  <c r="B217" i="202" s="1"/>
  <c r="B218" i="202" s="1"/>
  <c r="B219" i="202" s="1"/>
  <c r="B220" i="202" s="1"/>
  <c r="B221" i="202" s="1"/>
  <c r="B222" i="202" s="1"/>
  <c r="B223" i="202" s="1"/>
  <c r="B224" i="202" s="1"/>
  <c r="B225" i="202" s="1"/>
  <c r="B226" i="202" s="1"/>
  <c r="B227" i="202" s="1"/>
  <c r="B228" i="202" s="1"/>
  <c r="B229" i="202" s="1"/>
  <c r="B230" i="202" s="1"/>
  <c r="B231" i="202" s="1"/>
  <c r="B232" i="202" s="1"/>
  <c r="B233" i="202" s="1"/>
  <c r="B234" i="202" s="1"/>
  <c r="B235" i="202" s="1"/>
  <c r="B236" i="202" s="1"/>
  <c r="B237" i="202" s="1"/>
  <c r="B238" i="202" s="1"/>
  <c r="B239" i="202" s="1"/>
  <c r="B240" i="202" s="1"/>
  <c r="B241" i="202" s="1"/>
  <c r="B242" i="202" s="1"/>
  <c r="B243" i="202" s="1"/>
  <c r="B244" i="202" s="1"/>
  <c r="B245" i="202" s="1"/>
  <c r="B246" i="202" s="1"/>
  <c r="B247" i="202" s="1"/>
  <c r="B248" i="202" s="1"/>
  <c r="B249" i="202" s="1"/>
  <c r="B250" i="202" s="1"/>
  <c r="B251" i="202" s="1"/>
  <c r="B252" i="202" s="1"/>
  <c r="B253" i="202" s="1"/>
  <c r="B254" i="202" s="1"/>
  <c r="B255" i="202" s="1"/>
  <c r="B256" i="202" s="1"/>
  <c r="B257" i="202" s="1"/>
  <c r="B258" i="202" s="1"/>
  <c r="B259" i="202" s="1"/>
  <c r="B260" i="202" s="1"/>
  <c r="B261" i="202" s="1"/>
  <c r="B262" i="202" s="1"/>
  <c r="B263" i="202" s="1"/>
  <c r="B264" i="202" s="1"/>
  <c r="B265" i="202" s="1"/>
  <c r="B266" i="202" s="1"/>
  <c r="B267" i="202" s="1"/>
  <c r="B268" i="202" s="1"/>
  <c r="B269" i="202" s="1"/>
  <c r="B270" i="202" s="1"/>
  <c r="B271" i="202" s="1"/>
  <c r="B272" i="202" s="1"/>
  <c r="B273" i="202" s="1"/>
  <c r="B274" i="202" s="1"/>
  <c r="B275" i="202" s="1"/>
  <c r="B276" i="202" s="1"/>
  <c r="B277" i="202" s="1"/>
  <c r="B278" i="202" s="1"/>
  <c r="B279" i="202" s="1"/>
  <c r="B280" i="202" s="1"/>
  <c r="B281" i="202" s="1"/>
  <c r="B282" i="202" s="1"/>
  <c r="B283" i="202" s="1"/>
  <c r="B284" i="202" s="1"/>
  <c r="B285" i="202" s="1"/>
  <c r="B286" i="202" s="1"/>
  <c r="B287" i="202" s="1"/>
  <c r="B288" i="202" s="1"/>
  <c r="B289" i="202" s="1"/>
  <c r="B290" i="202" s="1"/>
  <c r="B291" i="202" s="1"/>
  <c r="B292" i="202" s="1"/>
  <c r="B293" i="202" s="1"/>
  <c r="B294" i="202" s="1"/>
  <c r="B295" i="202" s="1"/>
  <c r="B296" i="202" s="1"/>
  <c r="B297" i="202" s="1"/>
  <c r="B298" i="202" s="1"/>
  <c r="B299" i="202" s="1"/>
  <c r="B300" i="202" s="1"/>
  <c r="B301" i="202" s="1"/>
  <c r="B302" i="202" s="1"/>
  <c r="B303" i="202" s="1"/>
  <c r="B304" i="202" s="1"/>
  <c r="B305" i="202" s="1"/>
  <c r="O349" i="132" l="1"/>
  <c r="P349" i="132"/>
  <c r="O350" i="132"/>
  <c r="P350" i="132"/>
  <c r="O351" i="132"/>
  <c r="P351" i="132"/>
  <c r="P348" i="132"/>
  <c r="O348" i="132"/>
  <c r="Q351" i="132" l="1"/>
  <c r="Q350" i="132"/>
  <c r="Q349" i="132"/>
  <c r="Q348" i="132"/>
  <c r="I1322" i="132" l="1"/>
  <c r="I1324" i="132" s="1"/>
  <c r="I1306" i="132"/>
  <c r="I1302" i="132"/>
  <c r="G84" i="190"/>
  <c r="F84" i="190"/>
  <c r="G82" i="190"/>
  <c r="H82" i="190" s="1"/>
  <c r="G81" i="190"/>
  <c r="H79" i="190"/>
  <c r="H78" i="190"/>
  <c r="F49" i="190"/>
  <c r="F36" i="190"/>
  <c r="G36" i="190"/>
  <c r="G34" i="190"/>
  <c r="H34" i="190" s="1"/>
  <c r="G33" i="190"/>
  <c r="H31" i="190"/>
  <c r="H30" i="190"/>
  <c r="G26" i="190"/>
  <c r="F26" i="190"/>
  <c r="G24" i="190"/>
  <c r="H24" i="190" s="1"/>
  <c r="G23" i="190"/>
  <c r="H23" i="190" s="1"/>
  <c r="G22" i="190"/>
  <c r="H22" i="190" s="1"/>
  <c r="G21" i="190"/>
  <c r="H21" i="190" s="1"/>
  <c r="G20" i="190"/>
  <c r="H20" i="190" s="1"/>
  <c r="G19" i="190"/>
  <c r="F17" i="190"/>
  <c r="E17" i="190"/>
  <c r="I351" i="132"/>
  <c r="H84" i="190" l="1"/>
  <c r="H80" i="190"/>
  <c r="F81" i="190" s="1"/>
  <c r="H81" i="190" s="1"/>
  <c r="H36" i="190"/>
  <c r="H32" i="190"/>
  <c r="F33" i="190" s="1"/>
  <c r="H33" i="190" s="1"/>
  <c r="H26" i="190"/>
  <c r="H17" i="190"/>
  <c r="H18" i="190" s="1"/>
  <c r="F19" i="190" s="1"/>
  <c r="H19" i="190" s="1"/>
  <c r="I358" i="132"/>
  <c r="I350" i="132"/>
  <c r="H86" i="190" l="1"/>
  <c r="K1324" i="132" s="1"/>
  <c r="M1324" i="132" s="1"/>
  <c r="H28" i="190"/>
  <c r="K1304" i="132" s="1"/>
  <c r="M1304" i="132" s="1"/>
  <c r="H38" i="190"/>
  <c r="K1308" i="132" s="1"/>
  <c r="M1308" i="132" s="1"/>
  <c r="I357" i="132"/>
  <c r="F40" i="190"/>
  <c r="I356" i="132"/>
  <c r="I355" i="132"/>
  <c r="I349" i="132"/>
  <c r="I348" i="132"/>
  <c r="F69" i="107"/>
  <c r="G69" i="107" s="1"/>
  <c r="G70" i="107" s="1"/>
  <c r="G71" i="107" l="1"/>
  <c r="G72" i="107" s="1"/>
  <c r="K33" i="132" s="1"/>
  <c r="I275" i="132" l="1"/>
  <c r="I274" i="132"/>
  <c r="I270" i="132"/>
  <c r="I269" i="132"/>
  <c r="I268" i="132"/>
  <c r="I267" i="132"/>
  <c r="I266" i="132"/>
  <c r="I264" i="132"/>
  <c r="I263" i="132"/>
  <c r="I262" i="132"/>
  <c r="I261" i="132"/>
  <c r="I260" i="132"/>
  <c r="I259" i="132"/>
  <c r="I258" i="132"/>
  <c r="I1314" i="132" l="1"/>
  <c r="I1316" i="132" s="1"/>
  <c r="F61" i="190"/>
  <c r="G61" i="190"/>
  <c r="G59" i="190"/>
  <c r="H59" i="190" s="1"/>
  <c r="G58" i="190"/>
  <c r="H56" i="190"/>
  <c r="H55" i="190"/>
  <c r="H92" i="190"/>
  <c r="H93" i="190"/>
  <c r="H94" i="190"/>
  <c r="F97" i="190"/>
  <c r="H69" i="190"/>
  <c r="H70" i="190"/>
  <c r="H71" i="190"/>
  <c r="F74" i="190"/>
  <c r="H61" i="190" l="1"/>
  <c r="H57" i="190"/>
  <c r="F58" i="190" s="1"/>
  <c r="H58" i="190" s="1"/>
  <c r="I493" i="132" l="1"/>
  <c r="B23" i="212" s="1"/>
  <c r="G49" i="190"/>
  <c r="G13" i="190"/>
  <c r="G74" i="190"/>
  <c r="H74" i="190" s="1"/>
  <c r="G97" i="190"/>
  <c r="I1326" i="132"/>
  <c r="I1318" i="132"/>
  <c r="G91" i="190"/>
  <c r="H88" i="190"/>
  <c r="H90" i="190" s="1"/>
  <c r="F91" i="190" s="1"/>
  <c r="H91" i="190" l="1"/>
  <c r="H97" i="190"/>
  <c r="G68" i="190" l="1"/>
  <c r="H65" i="190"/>
  <c r="H67" i="190" s="1"/>
  <c r="I1310" i="132"/>
  <c r="G42" i="190"/>
  <c r="G10" i="190"/>
  <c r="H49" i="190"/>
  <c r="G47" i="190"/>
  <c r="H47" i="190" s="1"/>
  <c r="G46" i="190"/>
  <c r="H46" i="190" s="1"/>
  <c r="G45" i="190"/>
  <c r="H45" i="190" s="1"/>
  <c r="G44" i="190"/>
  <c r="H44" i="190" s="1"/>
  <c r="G43" i="190"/>
  <c r="H43" i="190" s="1"/>
  <c r="E40" i="190"/>
  <c r="F13" i="190"/>
  <c r="H13" i="190" s="1"/>
  <c r="G11" i="190"/>
  <c r="H11" i="190" s="1"/>
  <c r="G140" i="190"/>
  <c r="G138" i="190"/>
  <c r="G137" i="190"/>
  <c r="G136" i="190"/>
  <c r="G135" i="190"/>
  <c r="G134" i="190"/>
  <c r="G133" i="190"/>
  <c r="F68" i="190" l="1"/>
  <c r="H68" i="190" s="1"/>
  <c r="H40" i="190"/>
  <c r="H41" i="190" s="1"/>
  <c r="F42" i="190" s="1"/>
  <c r="H42" i="190" s="1"/>
  <c r="H51" i="190" l="1"/>
  <c r="K1312" i="132" l="1"/>
  <c r="M1312" i="132" s="1"/>
  <c r="I1598" i="132"/>
  <c r="I1600" i="132" s="1"/>
  <c r="I1468" i="132"/>
  <c r="I1415" i="132"/>
  <c r="F267" i="190" l="1"/>
  <c r="I1416" i="132"/>
  <c r="I1417" i="132"/>
  <c r="G253" i="190" l="1"/>
  <c r="G266" i="190" s="1"/>
  <c r="G252" i="190"/>
  <c r="G265" i="190" s="1"/>
  <c r="H253" i="190"/>
  <c r="H252" i="190" l="1"/>
  <c r="I517" i="132"/>
  <c r="I366" i="132" l="1"/>
  <c r="I364" i="132"/>
  <c r="I363" i="132"/>
  <c r="I365" i="132"/>
  <c r="I362" i="132"/>
  <c r="G178" i="190" l="1"/>
  <c r="G176" i="190"/>
  <c r="G175" i="190"/>
  <c r="H175" i="190" s="1"/>
  <c r="G174" i="190"/>
  <c r="H174" i="190" s="1"/>
  <c r="G172" i="190"/>
  <c r="H172" i="190" s="1"/>
  <c r="G171" i="190"/>
  <c r="G170" i="190"/>
  <c r="G169" i="190"/>
  <c r="F178" i="190"/>
  <c r="H176" i="190"/>
  <c r="H173" i="190"/>
  <c r="H171" i="190"/>
  <c r="H167" i="190"/>
  <c r="H168" i="190" s="1"/>
  <c r="F170" i="190" s="1"/>
  <c r="H165" i="190"/>
  <c r="H164" i="190"/>
  <c r="H170" i="190" l="1"/>
  <c r="H166" i="190"/>
  <c r="F169" i="190" s="1"/>
  <c r="H169" i="190" s="1"/>
  <c r="H178" i="190"/>
  <c r="H179" i="190" l="1"/>
  <c r="K1341" i="132" s="1"/>
  <c r="I1339" i="132"/>
  <c r="I1298" i="132"/>
  <c r="I1300" i="132" s="1"/>
  <c r="I497" i="132"/>
  <c r="I441" i="132"/>
  <c r="I440" i="132"/>
  <c r="F395" i="132"/>
  <c r="I395" i="132" s="1"/>
  <c r="F394" i="132"/>
  <c r="I394" i="132" s="1"/>
  <c r="I322" i="132"/>
  <c r="I321" i="132"/>
  <c r="I320" i="132"/>
  <c r="I319" i="132"/>
  <c r="I318" i="132"/>
  <c r="I317" i="132"/>
  <c r="I316" i="132"/>
  <c r="I315" i="132"/>
  <c r="I314" i="132"/>
  <c r="I313" i="132"/>
  <c r="I312" i="132"/>
  <c r="I311" i="132"/>
  <c r="I310" i="132"/>
  <c r="I309" i="132"/>
  <c r="B22" i="212" l="1"/>
  <c r="M1341" i="132"/>
  <c r="I1367" i="132" l="1"/>
  <c r="E1024" i="107"/>
  <c r="G1020" i="107" l="1"/>
  <c r="G1021" i="107"/>
  <c r="G1022" i="107"/>
  <c r="G1023" i="107"/>
  <c r="G1024" i="107"/>
  <c r="G1019" i="107"/>
  <c r="I1568" i="132"/>
  <c r="E16" i="211"/>
  <c r="E10" i="211"/>
  <c r="E9" i="211"/>
  <c r="E8" i="211"/>
  <c r="G1026" i="107" l="1"/>
  <c r="K1369" i="132" s="1"/>
  <c r="R55" i="210"/>
  <c r="M55" i="210"/>
  <c r="R54" i="210"/>
  <c r="M54" i="210"/>
  <c r="R53" i="210"/>
  <c r="M53" i="210"/>
  <c r="J46" i="210"/>
  <c r="J48" i="210" s="1"/>
  <c r="E44" i="210"/>
  <c r="D44" i="210"/>
  <c r="C44" i="210"/>
  <c r="E43" i="210"/>
  <c r="E42" i="210"/>
  <c r="E41" i="210"/>
  <c r="D41" i="210"/>
  <c r="C41" i="210"/>
  <c r="E40" i="210"/>
  <c r="D40" i="210"/>
  <c r="E39" i="210"/>
  <c r="D39" i="210"/>
  <c r="C39" i="210"/>
  <c r="E38" i="210"/>
  <c r="D38" i="210"/>
  <c r="C38" i="210"/>
  <c r="E37" i="210"/>
  <c r="E36" i="210"/>
  <c r="E35" i="210"/>
  <c r="D35" i="210"/>
  <c r="C35" i="210"/>
  <c r="E34" i="210"/>
  <c r="D34" i="210"/>
  <c r="C34" i="210"/>
  <c r="E33" i="210"/>
  <c r="C33" i="210"/>
  <c r="E32" i="210"/>
  <c r="D32" i="210"/>
  <c r="C32" i="210"/>
  <c r="E31" i="210"/>
  <c r="D31" i="210"/>
  <c r="E30" i="210"/>
  <c r="D30" i="210"/>
  <c r="C30" i="210"/>
  <c r="D29" i="210"/>
  <c r="C29" i="210"/>
  <c r="E28" i="210"/>
  <c r="D28" i="210"/>
  <c r="C28" i="210"/>
  <c r="E27" i="210"/>
  <c r="D27" i="210"/>
  <c r="C27" i="210"/>
  <c r="E26" i="210"/>
  <c r="D26" i="210"/>
  <c r="E25" i="210"/>
  <c r="D25" i="210"/>
  <c r="C25" i="210"/>
  <c r="C24" i="210"/>
  <c r="F24" i="210" s="1"/>
  <c r="E23" i="210"/>
  <c r="D23" i="210"/>
  <c r="C23" i="210"/>
  <c r="E22" i="210"/>
  <c r="C22" i="210"/>
  <c r="E21" i="210"/>
  <c r="D21" i="210"/>
  <c r="C21" i="210"/>
  <c r="E20" i="210"/>
  <c r="D20" i="210"/>
  <c r="C20" i="210"/>
  <c r="E19" i="210"/>
  <c r="D19" i="210"/>
  <c r="C19" i="210"/>
  <c r="E18" i="210"/>
  <c r="D18" i="210"/>
  <c r="C18" i="210"/>
  <c r="E17" i="210"/>
  <c r="D17" i="210"/>
  <c r="C17" i="210"/>
  <c r="E16" i="210"/>
  <c r="D16" i="210"/>
  <c r="C16" i="210"/>
  <c r="E15" i="210"/>
  <c r="D15" i="210"/>
  <c r="C15" i="210"/>
  <c r="E14" i="210"/>
  <c r="D14" i="210"/>
  <c r="C14" i="210"/>
  <c r="C13" i="210"/>
  <c r="F13" i="210" s="1"/>
  <c r="E12" i="210"/>
  <c r="D12" i="210"/>
  <c r="C12" i="210"/>
  <c r="C11" i="210"/>
  <c r="F11" i="210" s="1"/>
  <c r="T10" i="210"/>
  <c r="T35" i="210" s="1"/>
  <c r="C10" i="210"/>
  <c r="F10" i="210" s="1"/>
  <c r="L10" i="210" s="1"/>
  <c r="C9" i="210"/>
  <c r="F9" i="210" s="1"/>
  <c r="C8" i="210"/>
  <c r="F8" i="210" s="1"/>
  <c r="C7" i="210"/>
  <c r="F7" i="210" s="1"/>
  <c r="R7" i="210" s="1"/>
  <c r="C6" i="210"/>
  <c r="F6" i="210" s="1"/>
  <c r="P6" i="210" s="1"/>
  <c r="P46" i="210" s="1"/>
  <c r="P48" i="210" s="1"/>
  <c r="C5" i="210"/>
  <c r="F5" i="210" s="1"/>
  <c r="O5" i="210" s="1"/>
  <c r="O46" i="210" s="1"/>
  <c r="O48" i="210" s="1"/>
  <c r="F4" i="210"/>
  <c r="R4" i="210" s="1"/>
  <c r="A2" i="210"/>
  <c r="G19" i="207"/>
  <c r="G18" i="207"/>
  <c r="G17" i="207"/>
  <c r="C2" i="207"/>
  <c r="C1" i="207"/>
  <c r="E90" i="205"/>
  <c r="E89" i="205"/>
  <c r="E88" i="205"/>
  <c r="B4" i="205"/>
  <c r="E9" i="204"/>
  <c r="E11" i="211" s="1"/>
  <c r="E7" i="204"/>
  <c r="E6" i="211" s="1"/>
  <c r="C3" i="207"/>
  <c r="L79" i="205"/>
  <c r="H80" i="205" s="1"/>
  <c r="G2" i="205"/>
  <c r="F12" i="210" l="1"/>
  <c r="I12" i="210" s="1"/>
  <c r="F14" i="210"/>
  <c r="I14" i="210" s="1"/>
  <c r="F16" i="210"/>
  <c r="I16" i="210" s="1"/>
  <c r="F18" i="210"/>
  <c r="I18" i="210" s="1"/>
  <c r="F20" i="210"/>
  <c r="I20" i="210" s="1"/>
  <c r="F34" i="210"/>
  <c r="S34" i="210" s="1"/>
  <c r="F38" i="210"/>
  <c r="S38" i="210" s="1"/>
  <c r="F44" i="210"/>
  <c r="S44" i="210" s="1"/>
  <c r="E16" i="204"/>
  <c r="R46" i="210"/>
  <c r="R48" i="210" s="1"/>
  <c r="F27" i="210"/>
  <c r="S27" i="210" s="1"/>
  <c r="F28" i="210"/>
  <c r="Q28" i="210" s="1"/>
  <c r="F15" i="210"/>
  <c r="L15" i="210" s="1"/>
  <c r="F17" i="210"/>
  <c r="L17" i="210" s="1"/>
  <c r="F19" i="210"/>
  <c r="I19" i="210" s="1"/>
  <c r="F21" i="210"/>
  <c r="L21" i="210" s="1"/>
  <c r="F23" i="210"/>
  <c r="N23" i="210" s="1"/>
  <c r="F25" i="210"/>
  <c r="S25" i="210" s="1"/>
  <c r="F29" i="210"/>
  <c r="S29" i="210" s="1"/>
  <c r="F30" i="210"/>
  <c r="N30" i="210" s="1"/>
  <c r="F32" i="210"/>
  <c r="S32" i="210" s="1"/>
  <c r="F35" i="210"/>
  <c r="S35" i="210" s="1"/>
  <c r="F39" i="210"/>
  <c r="M39" i="210" s="1"/>
  <c r="F41" i="210"/>
  <c r="S41" i="210" s="1"/>
  <c r="S9" i="210"/>
  <c r="H9" i="210"/>
  <c r="L9" i="210"/>
  <c r="L11" i="210"/>
  <c r="I11" i="210"/>
  <c r="L13" i="210"/>
  <c r="I13" i="210"/>
  <c r="I17" i="210"/>
  <c r="S23" i="210"/>
  <c r="L8" i="210"/>
  <c r="S8" i="210"/>
  <c r="H8" i="210"/>
  <c r="M24" i="210"/>
  <c r="S24" i="210"/>
  <c r="K24" i="210"/>
  <c r="K46" i="210" s="1"/>
  <c r="K48" i="210" s="1"/>
  <c r="I10" i="210"/>
  <c r="S10" i="210"/>
  <c r="T11" i="210"/>
  <c r="S11" i="210" s="1"/>
  <c r="T12" i="210"/>
  <c r="T13" i="210"/>
  <c r="S13" i="210" s="1"/>
  <c r="T14" i="210"/>
  <c r="T20" i="210"/>
  <c r="T21" i="210" s="1"/>
  <c r="M25" i="210" l="1"/>
  <c r="L12" i="210"/>
  <c r="S12" i="210"/>
  <c r="M44" i="210"/>
  <c r="L20" i="210"/>
  <c r="M38" i="210"/>
  <c r="L16" i="210"/>
  <c r="M27" i="210"/>
  <c r="L35" i="210"/>
  <c r="N29" i="210"/>
  <c r="L14" i="210"/>
  <c r="M41" i="210"/>
  <c r="N34" i="210"/>
  <c r="S28" i="210"/>
  <c r="L18" i="210"/>
  <c r="S39" i="210"/>
  <c r="N32" i="210"/>
  <c r="L19" i="210"/>
  <c r="I15" i="210"/>
  <c r="M28" i="210"/>
  <c r="S21" i="210"/>
  <c r="Q27" i="210"/>
  <c r="H46" i="210"/>
  <c r="H48" i="210" s="1"/>
  <c r="I35" i="210"/>
  <c r="S30" i="210"/>
  <c r="I21" i="210"/>
  <c r="Q25" i="210"/>
  <c r="T16" i="210"/>
  <c r="T15" i="210"/>
  <c r="S15" i="210" s="1"/>
  <c r="S20" i="210"/>
  <c r="S14" i="210"/>
  <c r="I79" i="205"/>
  <c r="I46" i="210" l="1"/>
  <c r="I48" i="210" s="1"/>
  <c r="L46" i="210"/>
  <c r="L48" i="210" s="1"/>
  <c r="T17" i="210"/>
  <c r="S16" i="210"/>
  <c r="K56" i="203"/>
  <c r="H56" i="203"/>
  <c r="K55" i="203"/>
  <c r="H55" i="203"/>
  <c r="K54" i="203"/>
  <c r="H54" i="203"/>
  <c r="N48" i="203"/>
  <c r="U48" i="203"/>
  <c r="X47" i="203"/>
  <c r="N47" i="203"/>
  <c r="N46" i="203"/>
  <c r="N45" i="203"/>
  <c r="X44" i="203"/>
  <c r="N44" i="203"/>
  <c r="X7" i="203"/>
  <c r="N7" i="203"/>
  <c r="J7" i="203"/>
  <c r="U7" i="203" s="1"/>
  <c r="K3" i="203"/>
  <c r="A2" i="203"/>
  <c r="N23" i="140"/>
  <c r="N34" i="140"/>
  <c r="K54" i="140"/>
  <c r="L54" i="140"/>
  <c r="N54" i="140"/>
  <c r="N55" i="140"/>
  <c r="N63" i="140"/>
  <c r="K64" i="140"/>
  <c r="L64" i="140"/>
  <c r="N64" i="140"/>
  <c r="N69" i="140"/>
  <c r="N70" i="140"/>
  <c r="N108" i="140"/>
  <c r="K144" i="140"/>
  <c r="L144" i="140"/>
  <c r="N144" i="140"/>
  <c r="N152" i="140"/>
  <c r="N158" i="140"/>
  <c r="N164" i="140"/>
  <c r="N177" i="140"/>
  <c r="N183" i="140"/>
  <c r="N185" i="140"/>
  <c r="N186" i="140"/>
  <c r="N199" i="140"/>
  <c r="K200" i="140"/>
  <c r="L200" i="140"/>
  <c r="N200" i="140"/>
  <c r="N238" i="140"/>
  <c r="N239" i="140"/>
  <c r="N242" i="140"/>
  <c r="N243" i="140"/>
  <c r="N244" i="140"/>
  <c r="K245" i="140"/>
  <c r="L245" i="140"/>
  <c r="N245" i="140"/>
  <c r="K246" i="140"/>
  <c r="L246" i="140"/>
  <c r="N246" i="140"/>
  <c r="K247" i="140"/>
  <c r="L247" i="140"/>
  <c r="N247" i="140"/>
  <c r="K248" i="140"/>
  <c r="L248" i="140"/>
  <c r="N248" i="140"/>
  <c r="N249" i="140"/>
  <c r="N250" i="140"/>
  <c r="N251" i="140"/>
  <c r="N252" i="140"/>
  <c r="K253" i="140"/>
  <c r="L253" i="140"/>
  <c r="N253" i="140"/>
  <c r="K254" i="140"/>
  <c r="L254" i="140"/>
  <c r="N254" i="140"/>
  <c r="N255" i="140"/>
  <c r="F232" i="140"/>
  <c r="F228" i="140"/>
  <c r="F226" i="140"/>
  <c r="F224" i="140"/>
  <c r="F218" i="140"/>
  <c r="F205" i="140"/>
  <c r="F182" i="140"/>
  <c r="F180" i="140"/>
  <c r="F159" i="140"/>
  <c r="F156" i="140"/>
  <c r="F154" i="140"/>
  <c r="F106" i="140"/>
  <c r="T18" i="210" l="1"/>
  <c r="S17" i="210"/>
  <c r="K7" i="203"/>
  <c r="L7" i="203"/>
  <c r="T19" i="210" l="1"/>
  <c r="S19" i="210" s="1"/>
  <c r="S18" i="210"/>
  <c r="F103" i="140" l="1"/>
  <c r="F100" i="140"/>
  <c r="F99" i="140"/>
  <c r="I904" i="132" l="1"/>
  <c r="I1687" i="132" l="1"/>
  <c r="I1357" i="132"/>
  <c r="I1360" i="132" s="1"/>
  <c r="I882" i="132"/>
  <c r="I912" i="132"/>
  <c r="I911" i="132"/>
  <c r="I906" i="132"/>
  <c r="I905" i="132"/>
  <c r="I903" i="132"/>
  <c r="I902" i="132"/>
  <c r="I901" i="132"/>
  <c r="I900" i="132"/>
  <c r="I899" i="132"/>
  <c r="I898" i="132"/>
  <c r="I897" i="132"/>
  <c r="I896" i="132"/>
  <c r="I895" i="132"/>
  <c r="I894" i="132"/>
  <c r="I893" i="132"/>
  <c r="I892" i="132"/>
  <c r="I891" i="132"/>
  <c r="I890" i="132"/>
  <c r="I889" i="132"/>
  <c r="I888" i="132"/>
  <c r="I887" i="132"/>
  <c r="I886" i="132"/>
  <c r="I914" i="132"/>
  <c r="I913" i="132"/>
  <c r="I885" i="132"/>
  <c r="I884" i="132"/>
  <c r="I883" i="132"/>
  <c r="I881" i="132"/>
  <c r="I880" i="132"/>
  <c r="I920" i="132"/>
  <c r="I919" i="132"/>
  <c r="G1015" i="107"/>
  <c r="G1014" i="107"/>
  <c r="G1012" i="107"/>
  <c r="G1011" i="107"/>
  <c r="G1010" i="107"/>
  <c r="G1009" i="107"/>
  <c r="G1008" i="107"/>
  <c r="G1007" i="107"/>
  <c r="G1006" i="107"/>
  <c r="G1004" i="107"/>
  <c r="G1003" i="107"/>
  <c r="G1002" i="107"/>
  <c r="G1001" i="107"/>
  <c r="G1000" i="107"/>
  <c r="G999" i="107"/>
  <c r="G998" i="107"/>
  <c r="G996" i="107"/>
  <c r="G994" i="107"/>
  <c r="G992" i="107"/>
  <c r="G991" i="107"/>
  <c r="G989" i="107"/>
  <c r="I1689" i="132" l="1"/>
  <c r="B32" i="212" s="1"/>
  <c r="I907" i="132"/>
  <c r="G17" i="203"/>
  <c r="G106" i="140"/>
  <c r="G16" i="203"/>
  <c r="G15" i="203"/>
  <c r="F1016" i="107"/>
  <c r="G1016" i="107" s="1"/>
  <c r="G1017" i="107" s="1"/>
  <c r="G43" i="203" l="1"/>
  <c r="C43" i="203" s="1"/>
  <c r="B25" i="205"/>
  <c r="C17" i="203"/>
  <c r="B24" i="205"/>
  <c r="X16" i="203"/>
  <c r="C16" i="203"/>
  <c r="B23" i="205"/>
  <c r="C15" i="203"/>
  <c r="X15" i="203"/>
  <c r="K922" i="132"/>
  <c r="M922" i="132" s="1"/>
  <c r="I810" i="132"/>
  <c r="I875" i="132"/>
  <c r="I874" i="132"/>
  <c r="I873" i="132"/>
  <c r="I872" i="132"/>
  <c r="I871" i="132"/>
  <c r="I870" i="132"/>
  <c r="I869" i="132"/>
  <c r="I868" i="132"/>
  <c r="I867" i="132"/>
  <c r="I866" i="132"/>
  <c r="I865" i="132"/>
  <c r="I864" i="132"/>
  <c r="I863" i="132"/>
  <c r="I862" i="132"/>
  <c r="I861" i="132"/>
  <c r="I860" i="132"/>
  <c r="I859" i="132"/>
  <c r="I586" i="132"/>
  <c r="I585" i="132"/>
  <c r="I752" i="132"/>
  <c r="I753" i="132"/>
  <c r="I754" i="132"/>
  <c r="I755" i="132"/>
  <c r="I756" i="132"/>
  <c r="I757" i="132"/>
  <c r="I758" i="132"/>
  <c r="I759" i="132"/>
  <c r="I760" i="132"/>
  <c r="I761" i="132"/>
  <c r="I744" i="132"/>
  <c r="I745" i="132"/>
  <c r="I746" i="132"/>
  <c r="I724" i="132"/>
  <c r="I723" i="132"/>
  <c r="I719" i="132"/>
  <c r="I718" i="132"/>
  <c r="I712" i="132"/>
  <c r="I711" i="132"/>
  <c r="I708" i="132"/>
  <c r="I707" i="132"/>
  <c r="I706" i="132"/>
  <c r="I714" i="132"/>
  <c r="I715" i="132"/>
  <c r="I716" i="132"/>
  <c r="I717" i="132"/>
  <c r="I720" i="132"/>
  <c r="I721" i="132"/>
  <c r="I722" i="132"/>
  <c r="I713" i="132"/>
  <c r="I705" i="132"/>
  <c r="I709" i="132"/>
  <c r="I710" i="132"/>
  <c r="B51" i="205" l="1"/>
  <c r="X43" i="203"/>
  <c r="D22" i="210"/>
  <c r="F22" i="210" s="1"/>
  <c r="G8" i="203"/>
  <c r="I17" i="203"/>
  <c r="I106" i="140"/>
  <c r="G14" i="203"/>
  <c r="B22" i="205" l="1"/>
  <c r="C14" i="203"/>
  <c r="X14" i="203"/>
  <c r="S22" i="210"/>
  <c r="N22" i="210"/>
  <c r="B16" i="205"/>
  <c r="X8" i="203"/>
  <c r="C8" i="203"/>
  <c r="F25" i="205"/>
  <c r="H25" i="205" s="1"/>
  <c r="E17" i="203"/>
  <c r="J17" i="203"/>
  <c r="N106" i="140"/>
  <c r="J106" i="140"/>
  <c r="L3" i="132"/>
  <c r="K106" i="140" l="1"/>
  <c r="L106" i="140"/>
  <c r="N17" i="203"/>
  <c r="F17" i="203"/>
  <c r="K17" i="203" s="1"/>
  <c r="I1554" i="132"/>
  <c r="I1555" i="132"/>
  <c r="I1556" i="132"/>
  <c r="I1560" i="132"/>
  <c r="I1564" i="132"/>
  <c r="I1566" i="132" s="1"/>
  <c r="I1573" i="132"/>
  <c r="I1574" i="132"/>
  <c r="I1575" i="132"/>
  <c r="I1576" i="132"/>
  <c r="I1580" i="132"/>
  <c r="I1583" i="132"/>
  <c r="I1587" i="132"/>
  <c r="I1590" i="132"/>
  <c r="I1592" i="132" s="1"/>
  <c r="I1594" i="132"/>
  <c r="I1596" i="132" s="1"/>
  <c r="I1602" i="132"/>
  <c r="I1606" i="132"/>
  <c r="I1607" i="132" s="1"/>
  <c r="I1609" i="132"/>
  <c r="I1613" i="132"/>
  <c r="I1615" i="132" s="1"/>
  <c r="I1617" i="132"/>
  <c r="I1622" i="132"/>
  <c r="I1625" i="132"/>
  <c r="I1629" i="132"/>
  <c r="I1633" i="132"/>
  <c r="I1637" i="132"/>
  <c r="I1639" i="132" s="1"/>
  <c r="I1641" i="132"/>
  <c r="I1644" i="132"/>
  <c r="I1646" i="132" s="1"/>
  <c r="I1648" i="132"/>
  <c r="I1650" i="132" s="1"/>
  <c r="I1652" i="132"/>
  <c r="I1654" i="132" s="1"/>
  <c r="I1656" i="132"/>
  <c r="I1658" i="132" s="1"/>
  <c r="I1660" i="132"/>
  <c r="B30" i="212" s="1"/>
  <c r="I1665" i="132"/>
  <c r="I1666" i="132"/>
  <c r="I1667" i="132"/>
  <c r="I1668" i="132"/>
  <c r="I1669" i="132"/>
  <c r="I1670" i="132"/>
  <c r="I1671" i="132"/>
  <c r="I1672" i="132"/>
  <c r="I1673" i="132"/>
  <c r="I1677" i="132"/>
  <c r="B31" i="212" s="1"/>
  <c r="I1681" i="132"/>
  <c r="I1682" i="132"/>
  <c r="I1683" i="132"/>
  <c r="I1691" i="132"/>
  <c r="I1695" i="132"/>
  <c r="I1698" i="132"/>
  <c r="I1700" i="132" s="1"/>
  <c r="I1702" i="132"/>
  <c r="I1704" i="132" s="1"/>
  <c r="I1706" i="132"/>
  <c r="I1707" i="132" s="1"/>
  <c r="I1434" i="132"/>
  <c r="I1437" i="132"/>
  <c r="I1442" i="132"/>
  <c r="I1443" i="132"/>
  <c r="I1448" i="132"/>
  <c r="I1451" i="132"/>
  <c r="I1455" i="132"/>
  <c r="B26" i="212" s="1"/>
  <c r="F1464" i="132"/>
  <c r="I1464" i="132" s="1"/>
  <c r="I1467" i="132"/>
  <c r="I1473" i="132"/>
  <c r="I1476" i="132"/>
  <c r="I1480" i="132"/>
  <c r="I1481" i="132"/>
  <c r="I1485" i="132"/>
  <c r="B28" i="212" s="1"/>
  <c r="I1490" i="132"/>
  <c r="I1494" i="132"/>
  <c r="I1497" i="132"/>
  <c r="B29" i="212" s="1"/>
  <c r="I1501" i="132"/>
  <c r="I1504" i="132"/>
  <c r="I1508" i="132"/>
  <c r="I1509" i="132"/>
  <c r="I1510" i="132"/>
  <c r="I1513" i="132"/>
  <c r="I1516" i="132"/>
  <c r="I1519" i="132"/>
  <c r="I1522" i="132"/>
  <c r="I1525" i="132"/>
  <c r="I1528" i="132"/>
  <c r="I1531" i="132"/>
  <c r="I1534" i="132"/>
  <c r="I1537" i="132"/>
  <c r="I1331" i="132"/>
  <c r="I1335" i="132"/>
  <c r="I1344" i="132"/>
  <c r="I1348" i="132"/>
  <c r="I1352" i="132"/>
  <c r="I1354" i="132"/>
  <c r="G18" i="203"/>
  <c r="I1379" i="132"/>
  <c r="I1382" i="132" s="1"/>
  <c r="I1384" i="132"/>
  <c r="G19" i="203" s="1"/>
  <c r="I1388" i="132"/>
  <c r="I1389" i="132"/>
  <c r="I1393" i="132"/>
  <c r="G20" i="203" s="1"/>
  <c r="I1397" i="132"/>
  <c r="I1401" i="132"/>
  <c r="I1405" i="132"/>
  <c r="I1410" i="132"/>
  <c r="I1414" i="132"/>
  <c r="I1423" i="132"/>
  <c r="I1424" i="132"/>
  <c r="I1425" i="132"/>
  <c r="I1427" i="132"/>
  <c r="I1428" i="132"/>
  <c r="I931" i="132"/>
  <c r="I936" i="132"/>
  <c r="I937" i="132"/>
  <c r="I942" i="132"/>
  <c r="I943" i="132"/>
  <c r="I945" i="132"/>
  <c r="I950" i="132"/>
  <c r="I955" i="132"/>
  <c r="I960" i="132"/>
  <c r="I961" i="132"/>
  <c r="I963" i="132"/>
  <c r="I965" i="132"/>
  <c r="I966" i="132"/>
  <c r="I971" i="132"/>
  <c r="I972" i="132"/>
  <c r="I974" i="132"/>
  <c r="I976" i="132"/>
  <c r="I977" i="132"/>
  <c r="I982" i="132"/>
  <c r="I983" i="132"/>
  <c r="I984" i="132"/>
  <c r="I985" i="132"/>
  <c r="I990" i="132"/>
  <c r="I995" i="132"/>
  <c r="I1000" i="132"/>
  <c r="I1001" i="132"/>
  <c r="I1006" i="132"/>
  <c r="I1007" i="132"/>
  <c r="I1008" i="132"/>
  <c r="I1009" i="132"/>
  <c r="I1010" i="132"/>
  <c r="I1012" i="132"/>
  <c r="I1013" i="132"/>
  <c r="I1014" i="132"/>
  <c r="H1015" i="132"/>
  <c r="I1015" i="132" s="1"/>
  <c r="I1016" i="132"/>
  <c r="I1017" i="132"/>
  <c r="I1018" i="132"/>
  <c r="I1023" i="132"/>
  <c r="I1024" i="132"/>
  <c r="I1025" i="132"/>
  <c r="I1027" i="132"/>
  <c r="I1032" i="132"/>
  <c r="I1037" i="132"/>
  <c r="I1038" i="132"/>
  <c r="I1039" i="132"/>
  <c r="I1040" i="132"/>
  <c r="I1041" i="132"/>
  <c r="I1042" i="132"/>
  <c r="I1043" i="132"/>
  <c r="I1048" i="132"/>
  <c r="I1049" i="132"/>
  <c r="I1050" i="132"/>
  <c r="I1051" i="132"/>
  <c r="I1052" i="132"/>
  <c r="I1053" i="132"/>
  <c r="I1058" i="132"/>
  <c r="I1059" i="132"/>
  <c r="I1060" i="132"/>
  <c r="I1061" i="132"/>
  <c r="I1062" i="132"/>
  <c r="I1063" i="132"/>
  <c r="I1064" i="132"/>
  <c r="I1065" i="132"/>
  <c r="I1066" i="132"/>
  <c r="I1067" i="132"/>
  <c r="I1068" i="132"/>
  <c r="I1069" i="132"/>
  <c r="I1070" i="132"/>
  <c r="I1071" i="132"/>
  <c r="I1072" i="132"/>
  <c r="I1073" i="132"/>
  <c r="I1074" i="132"/>
  <c r="I1075" i="132"/>
  <c r="I1076" i="132"/>
  <c r="I1077" i="132"/>
  <c r="I1078" i="132"/>
  <c r="I1079" i="132"/>
  <c r="I1080" i="132"/>
  <c r="I1081" i="132"/>
  <c r="I1082" i="132"/>
  <c r="I1083" i="132"/>
  <c r="I1084" i="132"/>
  <c r="I1085" i="132"/>
  <c r="I1086" i="132"/>
  <c r="I1087" i="132"/>
  <c r="I1088" i="132"/>
  <c r="I1089" i="132"/>
  <c r="I1091" i="132"/>
  <c r="I1092" i="132"/>
  <c r="I1093" i="132"/>
  <c r="I1094" i="132"/>
  <c r="I1099" i="132"/>
  <c r="I1104" i="132"/>
  <c r="I1105" i="132"/>
  <c r="I1106" i="132"/>
  <c r="I1111" i="132"/>
  <c r="I1112" i="132"/>
  <c r="I1113" i="132"/>
  <c r="I1114" i="132"/>
  <c r="I1115" i="132"/>
  <c r="I1120" i="132"/>
  <c r="I1122" i="132"/>
  <c r="I1126" i="132"/>
  <c r="I1127" i="132"/>
  <c r="I1128" i="132"/>
  <c r="I1129" i="132"/>
  <c r="I1130" i="132"/>
  <c r="I1131" i="132"/>
  <c r="I1136" i="132"/>
  <c r="I1137" i="132"/>
  <c r="I1138" i="132"/>
  <c r="I1139" i="132"/>
  <c r="I1140" i="132"/>
  <c r="I1145" i="132"/>
  <c r="I1146" i="132"/>
  <c r="I1147" i="132"/>
  <c r="I1148" i="132"/>
  <c r="I1149" i="132"/>
  <c r="I1150" i="132"/>
  <c r="I1151" i="132"/>
  <c r="I1156" i="132"/>
  <c r="I1157" i="132"/>
  <c r="I1158" i="132"/>
  <c r="I1159" i="132"/>
  <c r="I1160" i="132"/>
  <c r="I1165" i="132"/>
  <c r="I1166" i="132"/>
  <c r="I1167" i="132"/>
  <c r="I1168" i="132"/>
  <c r="I1169" i="132"/>
  <c r="I1170" i="132"/>
  <c r="I1171" i="132"/>
  <c r="I1172" i="132"/>
  <c r="I1173" i="132"/>
  <c r="I1174" i="132"/>
  <c r="I1175" i="132"/>
  <c r="I1180" i="132"/>
  <c r="I1181" i="132"/>
  <c r="I1182" i="132"/>
  <c r="I1183" i="132"/>
  <c r="I1184" i="132"/>
  <c r="I1185" i="132"/>
  <c r="I1190" i="132"/>
  <c r="I1191" i="132"/>
  <c r="I1192" i="132"/>
  <c r="I1193" i="132"/>
  <c r="I1194" i="132"/>
  <c r="I1195" i="132"/>
  <c r="I1196" i="132"/>
  <c r="I1197" i="132"/>
  <c r="I1198" i="132"/>
  <c r="I1199" i="132"/>
  <c r="I1204" i="132"/>
  <c r="I1205" i="132"/>
  <c r="I1210" i="132"/>
  <c r="I1211" i="132"/>
  <c r="I1212" i="132"/>
  <c r="I1213" i="132"/>
  <c r="I1218" i="132"/>
  <c r="I1219" i="132"/>
  <c r="I1220" i="132"/>
  <c r="I1221" i="132"/>
  <c r="I1222" i="132"/>
  <c r="I1223" i="132"/>
  <c r="I1224" i="132"/>
  <c r="I1225" i="132"/>
  <c r="I1226" i="132"/>
  <c r="I1227" i="132"/>
  <c r="I1228" i="132"/>
  <c r="I1229" i="132"/>
  <c r="I1230" i="132"/>
  <c r="I1232" i="132"/>
  <c r="I1233" i="132"/>
  <c r="I1234" i="132"/>
  <c r="I1235" i="132"/>
  <c r="I1236" i="132"/>
  <c r="I1237" i="132"/>
  <c r="I1238" i="132"/>
  <c r="I1239" i="132"/>
  <c r="I1240" i="132"/>
  <c r="I1241" i="132"/>
  <c r="I1242" i="132"/>
  <c r="I1243" i="132"/>
  <c r="I1245" i="132"/>
  <c r="I1246" i="132"/>
  <c r="I1247" i="132"/>
  <c r="I1248" i="132"/>
  <c r="I1253" i="132"/>
  <c r="I1254" i="132"/>
  <c r="I1255" i="132"/>
  <c r="I1256" i="132"/>
  <c r="I1257" i="132"/>
  <c r="I1258" i="132"/>
  <c r="I1259" i="132"/>
  <c r="I1260" i="132"/>
  <c r="I1261" i="132"/>
  <c r="I1262" i="132"/>
  <c r="I1263" i="132"/>
  <c r="I1264" i="132"/>
  <c r="I1269" i="132"/>
  <c r="I1270" i="132"/>
  <c r="I1271" i="132"/>
  <c r="I1272" i="132"/>
  <c r="I1273" i="132"/>
  <c r="I1274" i="132"/>
  <c r="I1275" i="132"/>
  <c r="I1276" i="132"/>
  <c r="I1277" i="132"/>
  <c r="I1282" i="132"/>
  <c r="I1283" i="132"/>
  <c r="I1284" i="132"/>
  <c r="I1285" i="132"/>
  <c r="I1286" i="132"/>
  <c r="I1287" i="132"/>
  <c r="I1288" i="132"/>
  <c r="I1294" i="132"/>
  <c r="I525" i="132"/>
  <c r="I526" i="132"/>
  <c r="I530" i="132"/>
  <c r="I531" i="132"/>
  <c r="I532" i="132"/>
  <c r="I537" i="132"/>
  <c r="I539" i="132"/>
  <c r="I540" i="132"/>
  <c r="I544" i="132"/>
  <c r="I549" i="132"/>
  <c r="I554" i="132"/>
  <c r="I555" i="132"/>
  <c r="I557" i="132"/>
  <c r="I559" i="132"/>
  <c r="I560" i="132"/>
  <c r="I565" i="132"/>
  <c r="I566" i="132"/>
  <c r="I568" i="132"/>
  <c r="I570" i="132"/>
  <c r="I571" i="132"/>
  <c r="I575" i="132"/>
  <c r="I576" i="132"/>
  <c r="I580" i="132"/>
  <c r="I591" i="132"/>
  <c r="I592" i="132"/>
  <c r="I596" i="132"/>
  <c r="I597" i="132"/>
  <c r="I599" i="132"/>
  <c r="I600" i="132"/>
  <c r="I601" i="132"/>
  <c r="I602" i="132"/>
  <c r="I603" i="132"/>
  <c r="I604" i="132"/>
  <c r="I609" i="132"/>
  <c r="I610" i="132"/>
  <c r="I611" i="132"/>
  <c r="I612" i="132"/>
  <c r="I613" i="132"/>
  <c r="I614" i="132"/>
  <c r="I615" i="132"/>
  <c r="I616" i="132"/>
  <c r="I617" i="132"/>
  <c r="I618" i="132"/>
  <c r="I619" i="132"/>
  <c r="I621" i="132"/>
  <c r="I622" i="132"/>
  <c r="I623" i="132"/>
  <c r="I624" i="132"/>
  <c r="I625" i="132"/>
  <c r="I626" i="132"/>
  <c r="I627" i="132"/>
  <c r="I628" i="132"/>
  <c r="I629" i="132"/>
  <c r="I634" i="132"/>
  <c r="I635" i="132"/>
  <c r="I636" i="132"/>
  <c r="I637" i="132"/>
  <c r="I638" i="132"/>
  <c r="I639" i="132"/>
  <c r="I640" i="132"/>
  <c r="I641" i="132"/>
  <c r="I642" i="132"/>
  <c r="I643" i="132"/>
  <c r="I645" i="132"/>
  <c r="I646" i="132"/>
  <c r="I647" i="132"/>
  <c r="I648" i="132"/>
  <c r="I649" i="132"/>
  <c r="I650" i="132"/>
  <c r="I651" i="132"/>
  <c r="I652" i="132"/>
  <c r="I653" i="132"/>
  <c r="I654" i="132"/>
  <c r="I656" i="132"/>
  <c r="I661" i="132"/>
  <c r="I662" i="132"/>
  <c r="I663" i="132"/>
  <c r="I664" i="132"/>
  <c r="I665" i="132"/>
  <c r="I666" i="132"/>
  <c r="I667" i="132"/>
  <c r="I672" i="132"/>
  <c r="I673" i="132"/>
  <c r="I677" i="132"/>
  <c r="I678" i="132"/>
  <c r="I679" i="132"/>
  <c r="I680" i="132"/>
  <c r="I681" i="132"/>
  <c r="I685" i="132"/>
  <c r="I686" i="132"/>
  <c r="I688" i="132"/>
  <c r="I689" i="132"/>
  <c r="I690" i="132"/>
  <c r="I691" i="132"/>
  <c r="I695" i="132"/>
  <c r="I696" i="132"/>
  <c r="I697" i="132"/>
  <c r="I698" i="132"/>
  <c r="I699" i="132"/>
  <c r="I704" i="132"/>
  <c r="I728" i="132"/>
  <c r="I729" i="132"/>
  <c r="I730" i="132"/>
  <c r="I731" i="132"/>
  <c r="I732" i="132"/>
  <c r="I737" i="132"/>
  <c r="I739" i="132"/>
  <c r="I743" i="132"/>
  <c r="I751" i="132"/>
  <c r="I766" i="132"/>
  <c r="I767" i="132"/>
  <c r="I768" i="132"/>
  <c r="I773" i="132"/>
  <c r="I774" i="132"/>
  <c r="I779" i="132"/>
  <c r="I780" i="132"/>
  <c r="I781" i="132"/>
  <c r="I782" i="132"/>
  <c r="I783" i="132"/>
  <c r="I784" i="132"/>
  <c r="I785" i="132"/>
  <c r="I786" i="132"/>
  <c r="I787" i="132"/>
  <c r="I788" i="132"/>
  <c r="I789" i="132"/>
  <c r="I794" i="132"/>
  <c r="I795" i="132"/>
  <c r="I796" i="132"/>
  <c r="I797" i="132"/>
  <c r="I798" i="132"/>
  <c r="I799" i="132"/>
  <c r="I804" i="132"/>
  <c r="I809" i="132"/>
  <c r="I815" i="132"/>
  <c r="I816" i="132"/>
  <c r="I817" i="132"/>
  <c r="I818" i="132"/>
  <c r="I823" i="132"/>
  <c r="I824" i="132"/>
  <c r="I825" i="132"/>
  <c r="I826" i="132"/>
  <c r="I827" i="132"/>
  <c r="I828" i="132"/>
  <c r="I829" i="132"/>
  <c r="I830" i="132"/>
  <c r="I831" i="132"/>
  <c r="I832" i="132"/>
  <c r="I833" i="132"/>
  <c r="I834" i="132"/>
  <c r="I835" i="132"/>
  <c r="I837" i="132"/>
  <c r="I838" i="132"/>
  <c r="I839" i="132"/>
  <c r="I840" i="132"/>
  <c r="I841" i="132"/>
  <c r="I842" i="132"/>
  <c r="I843" i="132"/>
  <c r="I844" i="132"/>
  <c r="I845" i="132"/>
  <c r="I846" i="132"/>
  <c r="I847" i="132"/>
  <c r="I848" i="132"/>
  <c r="I850" i="132"/>
  <c r="I851" i="132"/>
  <c r="I852" i="132"/>
  <c r="I853" i="132"/>
  <c r="I927" i="132"/>
  <c r="G42" i="203" l="1"/>
  <c r="G35" i="203"/>
  <c r="G30" i="203"/>
  <c r="G21" i="203"/>
  <c r="G24" i="203"/>
  <c r="G38" i="203"/>
  <c r="G36" i="203"/>
  <c r="G31" i="203"/>
  <c r="G29" i="203"/>
  <c r="G22" i="203"/>
  <c r="G28" i="203"/>
  <c r="G26" i="203"/>
  <c r="G25" i="203"/>
  <c r="G23" i="203"/>
  <c r="G39" i="203"/>
  <c r="G37" i="203"/>
  <c r="G34" i="203"/>
  <c r="D42" i="210"/>
  <c r="G12" i="203"/>
  <c r="D36" i="210"/>
  <c r="G10" i="203"/>
  <c r="D33" i="210"/>
  <c r="F33" i="210" s="1"/>
  <c r="G9" i="203"/>
  <c r="B28" i="205"/>
  <c r="C20" i="203"/>
  <c r="X20" i="203"/>
  <c r="B26" i="205"/>
  <c r="C18" i="203"/>
  <c r="X18" i="203"/>
  <c r="L17" i="203"/>
  <c r="D43" i="210"/>
  <c r="G13" i="203"/>
  <c r="D37" i="210"/>
  <c r="G11" i="203"/>
  <c r="B27" i="205"/>
  <c r="C19" i="203"/>
  <c r="G41" i="203"/>
  <c r="G40" i="203"/>
  <c r="G33" i="203"/>
  <c r="G32" i="203"/>
  <c r="G27" i="203"/>
  <c r="I60" i="132"/>
  <c r="I224" i="132"/>
  <c r="I223" i="132"/>
  <c r="I59" i="132"/>
  <c r="B50" i="205" l="1"/>
  <c r="C42" i="203"/>
  <c r="X42" i="203"/>
  <c r="X35" i="203"/>
  <c r="B43" i="205"/>
  <c r="C35" i="203"/>
  <c r="B38" i="205"/>
  <c r="C30" i="203"/>
  <c r="X30" i="203"/>
  <c r="B29" i="205"/>
  <c r="X21" i="203"/>
  <c r="C21" i="203"/>
  <c r="B32" i="205"/>
  <c r="X24" i="203"/>
  <c r="C24" i="203"/>
  <c r="C26" i="210"/>
  <c r="F26" i="210" s="1"/>
  <c r="Q26" i="210" s="1"/>
  <c r="Q46" i="210" s="1"/>
  <c r="Q48" i="210" s="1"/>
  <c r="B46" i="205"/>
  <c r="C38" i="203"/>
  <c r="X38" i="203"/>
  <c r="B44" i="205"/>
  <c r="C36" i="203"/>
  <c r="X36" i="203"/>
  <c r="X31" i="203"/>
  <c r="B39" i="205"/>
  <c r="C31" i="203"/>
  <c r="B37" i="205"/>
  <c r="C29" i="203"/>
  <c r="X29" i="203"/>
  <c r="B30" i="205"/>
  <c r="X22" i="203"/>
  <c r="C22" i="203"/>
  <c r="C28" i="203"/>
  <c r="B36" i="205"/>
  <c r="X28" i="203"/>
  <c r="B34" i="205"/>
  <c r="C26" i="203"/>
  <c r="X26" i="203"/>
  <c r="B33" i="205"/>
  <c r="C25" i="203"/>
  <c r="X25" i="203"/>
  <c r="X23" i="203"/>
  <c r="B31" i="205"/>
  <c r="C23" i="203"/>
  <c r="B47" i="205"/>
  <c r="C39" i="203"/>
  <c r="X39" i="203"/>
  <c r="C37" i="203"/>
  <c r="B45" i="205"/>
  <c r="X37" i="203"/>
  <c r="C34" i="203"/>
  <c r="X34" i="203"/>
  <c r="B42" i="205"/>
  <c r="B35" i="205"/>
  <c r="C27" i="203"/>
  <c r="X27" i="203"/>
  <c r="C33" i="203"/>
  <c r="B41" i="205"/>
  <c r="X33" i="203"/>
  <c r="C41" i="203"/>
  <c r="B49" i="205"/>
  <c r="X41" i="203"/>
  <c r="B19" i="205"/>
  <c r="C11" i="203"/>
  <c r="X11" i="203"/>
  <c r="B21" i="205"/>
  <c r="C13" i="203"/>
  <c r="X13" i="203"/>
  <c r="N33" i="210"/>
  <c r="S33" i="210"/>
  <c r="B40" i="205"/>
  <c r="C32" i="203"/>
  <c r="X32" i="203"/>
  <c r="B48" i="205"/>
  <c r="C40" i="203"/>
  <c r="X40" i="203"/>
  <c r="B17" i="205"/>
  <c r="C9" i="203"/>
  <c r="X9" i="203"/>
  <c r="B18" i="205"/>
  <c r="C10" i="203"/>
  <c r="X10" i="203"/>
  <c r="B20" i="205"/>
  <c r="X12" i="203"/>
  <c r="C12" i="203"/>
  <c r="F60" i="140"/>
  <c r="F36" i="140"/>
  <c r="F160" i="140"/>
  <c r="F161" i="140"/>
  <c r="F157" i="140"/>
  <c r="F107" i="140"/>
  <c r="F83" i="140"/>
  <c r="F68" i="140"/>
  <c r="F50" i="140"/>
  <c r="F32" i="140"/>
  <c r="F12" i="140"/>
  <c r="F11" i="140"/>
  <c r="F10" i="140"/>
  <c r="F8" i="140"/>
  <c r="M26" i="210" l="1"/>
  <c r="S26" i="210"/>
  <c r="C31" i="210"/>
  <c r="F31" i="210" s="1"/>
  <c r="S31" i="210" l="1"/>
  <c r="N31" i="210"/>
  <c r="N46" i="210" s="1"/>
  <c r="N48" i="210" s="1"/>
  <c r="E13" i="158"/>
  <c r="F13" i="158" s="1"/>
  <c r="F26" i="158"/>
  <c r="F25" i="158"/>
  <c r="F15" i="158"/>
  <c r="I54" i="132" l="1"/>
  <c r="I51" i="132"/>
  <c r="I48" i="132"/>
  <c r="I9" i="132"/>
  <c r="F281" i="190"/>
  <c r="F278" i="190"/>
  <c r="F276" i="190"/>
  <c r="G259" i="190"/>
  <c r="G272" i="190" s="1"/>
  <c r="H272" i="190" s="1"/>
  <c r="G258" i="190"/>
  <c r="G271" i="190" s="1"/>
  <c r="H271" i="190" s="1"/>
  <c r="G257" i="190"/>
  <c r="G270" i="190" s="1"/>
  <c r="H270" i="190" s="1"/>
  <c r="G256" i="190"/>
  <c r="G269" i="190" s="1"/>
  <c r="H269" i="190" s="1"/>
  <c r="G255" i="190"/>
  <c r="G268" i="190" s="1"/>
  <c r="H268" i="190" s="1"/>
  <c r="G254" i="190"/>
  <c r="G267" i="190" s="1"/>
  <c r="H267" i="190" s="1"/>
  <c r="F247" i="190"/>
  <c r="F246" i="190"/>
  <c r="F245" i="190"/>
  <c r="F244" i="190"/>
  <c r="G238" i="190"/>
  <c r="G235" i="190"/>
  <c r="G233" i="190"/>
  <c r="G232" i="190"/>
  <c r="G231" i="190"/>
  <c r="G230" i="190"/>
  <c r="G229" i="190"/>
  <c r="G228" i="190"/>
  <c r="G227" i="190"/>
  <c r="G226" i="190"/>
  <c r="G225" i="190"/>
  <c r="G216" i="190"/>
  <c r="G214" i="190"/>
  <c r="G213" i="190"/>
  <c r="G212" i="190"/>
  <c r="G211" i="190"/>
  <c r="G210" i="190"/>
  <c r="G209" i="190"/>
  <c r="G208" i="190"/>
  <c r="G207" i="190"/>
  <c r="G197" i="190"/>
  <c r="G195" i="190"/>
  <c r="G194" i="190"/>
  <c r="G193" i="190"/>
  <c r="G192" i="190"/>
  <c r="G191" i="190"/>
  <c r="G190" i="190"/>
  <c r="G189" i="190"/>
  <c r="G188" i="190"/>
  <c r="G159" i="190"/>
  <c r="G157" i="190"/>
  <c r="G156" i="190"/>
  <c r="G155" i="190"/>
  <c r="G154" i="190"/>
  <c r="G153" i="190"/>
  <c r="G152" i="190"/>
  <c r="G151" i="190"/>
  <c r="G150" i="190"/>
  <c r="G132" i="190"/>
  <c r="G131" i="190"/>
  <c r="G130" i="190"/>
  <c r="H300" i="134"/>
  <c r="I300" i="134" s="1"/>
  <c r="H295" i="134"/>
  <c r="I295" i="134" s="1"/>
  <c r="H294" i="134"/>
  <c r="I294" i="134" s="1"/>
  <c r="H293" i="134"/>
  <c r="I293" i="134" s="1"/>
  <c r="H292" i="134"/>
  <c r="I292" i="134" s="1"/>
  <c r="H291" i="134"/>
  <c r="I291" i="134" s="1"/>
  <c r="H290" i="134"/>
  <c r="I290" i="134" s="1"/>
  <c r="H289" i="134"/>
  <c r="I289" i="134" s="1"/>
  <c r="H288" i="134"/>
  <c r="I288" i="134" s="1"/>
  <c r="H287" i="134"/>
  <c r="I287" i="134" s="1"/>
  <c r="H286" i="134"/>
  <c r="I286" i="134" s="1"/>
  <c r="H285" i="134"/>
  <c r="I285" i="134" s="1"/>
  <c r="H273" i="134"/>
  <c r="I273" i="134" s="1"/>
  <c r="H272" i="134"/>
  <c r="I272" i="134" s="1"/>
  <c r="H271" i="134"/>
  <c r="I271" i="134" s="1"/>
  <c r="H266" i="134"/>
  <c r="I266" i="134" s="1"/>
  <c r="H265" i="134"/>
  <c r="I265" i="134" s="1"/>
  <c r="H264" i="134"/>
  <c r="I264" i="134" s="1"/>
  <c r="H254" i="134"/>
  <c r="I254" i="134" s="1"/>
  <c r="H253" i="134"/>
  <c r="I253" i="134" s="1"/>
  <c r="H243" i="134"/>
  <c r="I243" i="134" s="1"/>
  <c r="H240" i="134"/>
  <c r="I240" i="134" s="1"/>
  <c r="H234" i="134"/>
  <c r="I234" i="134" s="1"/>
  <c r="H225" i="134"/>
  <c r="I225" i="134" s="1"/>
  <c r="H221" i="134"/>
  <c r="I221" i="134" s="1"/>
  <c r="H216" i="134"/>
  <c r="I216" i="134" s="1"/>
  <c r="H215" i="134"/>
  <c r="I215" i="134" s="1"/>
  <c r="H214" i="134"/>
  <c r="I214" i="134" s="1"/>
  <c r="H204" i="134"/>
  <c r="I204" i="134" s="1"/>
  <c r="H203" i="134"/>
  <c r="I203" i="134" s="1"/>
  <c r="H193" i="134"/>
  <c r="I193" i="134" s="1"/>
  <c r="H192" i="134"/>
  <c r="I192" i="134" s="1"/>
  <c r="H191" i="134"/>
  <c r="I191" i="134" s="1"/>
  <c r="H182" i="134"/>
  <c r="I182" i="134" s="1"/>
  <c r="H171" i="134"/>
  <c r="I171" i="134" s="1"/>
  <c r="H161" i="134"/>
  <c r="I161" i="134" s="1"/>
  <c r="H153" i="134"/>
  <c r="I153" i="134" s="1"/>
  <c r="H152" i="134"/>
  <c r="I152" i="134" s="1"/>
  <c r="H151" i="134"/>
  <c r="I151" i="134" s="1"/>
  <c r="H150" i="134"/>
  <c r="I150" i="134" s="1"/>
  <c r="H142" i="134"/>
  <c r="I142" i="134" s="1"/>
  <c r="H124" i="134"/>
  <c r="I124" i="134" s="1"/>
  <c r="H141" i="134"/>
  <c r="I141" i="134" s="1"/>
  <c r="H134" i="134"/>
  <c r="I134" i="134" s="1"/>
  <c r="H133" i="134"/>
  <c r="I133" i="134" s="1"/>
  <c r="H132" i="134"/>
  <c r="I132" i="134" s="1"/>
  <c r="H123" i="134"/>
  <c r="I123" i="134" s="1"/>
  <c r="H114" i="134"/>
  <c r="I114" i="134" s="1"/>
  <c r="H113" i="134"/>
  <c r="I113" i="134" s="1"/>
  <c r="H112" i="134"/>
  <c r="I112" i="134" s="1"/>
  <c r="H100" i="134"/>
  <c r="I100" i="134" s="1"/>
  <c r="H99" i="134"/>
  <c r="I99" i="134" s="1"/>
  <c r="H89" i="134"/>
  <c r="I89" i="134" s="1"/>
  <c r="H85" i="134"/>
  <c r="I85" i="134" s="1"/>
  <c r="H81" i="134"/>
  <c r="I81" i="134" s="1"/>
  <c r="H74" i="134"/>
  <c r="I74" i="134" s="1"/>
  <c r="H71" i="134"/>
  <c r="H78" i="134" s="1"/>
  <c r="I78" i="134" s="1"/>
  <c r="H67" i="134"/>
  <c r="I67" i="134" s="1"/>
  <c r="I68" i="134" s="1"/>
  <c r="H64" i="134"/>
  <c r="H77" i="134" s="1"/>
  <c r="I77" i="134" s="1"/>
  <c r="H61" i="134"/>
  <c r="I61" i="134" s="1"/>
  <c r="H50" i="134"/>
  <c r="H58" i="134" s="1"/>
  <c r="I58" i="134" s="1"/>
  <c r="H47" i="134"/>
  <c r="H54" i="134" s="1"/>
  <c r="I54" i="134" s="1"/>
  <c r="H43" i="134"/>
  <c r="I43" i="134" s="1"/>
  <c r="H40" i="134"/>
  <c r="H53" i="134" s="1"/>
  <c r="H57" i="134" s="1"/>
  <c r="I57" i="134" s="1"/>
  <c r="H37" i="134"/>
  <c r="I37" i="134" s="1"/>
  <c r="H29" i="134"/>
  <c r="I29" i="134" s="1"/>
  <c r="H28" i="134"/>
  <c r="I28" i="134" s="1"/>
  <c r="H27" i="134"/>
  <c r="I27" i="134" s="1"/>
  <c r="H26" i="134"/>
  <c r="I26" i="134" s="1"/>
  <c r="H13" i="134"/>
  <c r="I13" i="134" s="1"/>
  <c r="H12" i="134"/>
  <c r="I12" i="134" s="1"/>
  <c r="H11" i="134"/>
  <c r="I11" i="134" s="1"/>
  <c r="H283" i="134"/>
  <c r="I283" i="134" s="1"/>
  <c r="H277" i="134"/>
  <c r="I277" i="134" s="1"/>
  <c r="H262" i="134"/>
  <c r="I262" i="134" s="1"/>
  <c r="H238" i="134"/>
  <c r="I238" i="134" s="1"/>
  <c r="H232" i="134"/>
  <c r="I232" i="134" s="1"/>
  <c r="H212" i="134"/>
  <c r="I212" i="134" s="1"/>
  <c r="H201" i="134"/>
  <c r="I201" i="134" s="1"/>
  <c r="H189" i="134"/>
  <c r="I189" i="134" s="1"/>
  <c r="H180" i="134"/>
  <c r="I180" i="134" s="1"/>
  <c r="H169" i="134"/>
  <c r="I169" i="134" s="1"/>
  <c r="H160" i="134"/>
  <c r="I160" i="134" s="1"/>
  <c r="H148" i="134"/>
  <c r="I148" i="134" s="1"/>
  <c r="H139" i="134"/>
  <c r="I139" i="134" s="1"/>
  <c r="H130" i="134"/>
  <c r="I130" i="134" s="1"/>
  <c r="H121" i="134"/>
  <c r="I121" i="134" s="1"/>
  <c r="H110" i="134"/>
  <c r="I110" i="134" s="1"/>
  <c r="H97" i="134"/>
  <c r="I97" i="134" s="1"/>
  <c r="H24" i="134"/>
  <c r="I24" i="134" s="1"/>
  <c r="H23" i="134"/>
  <c r="I23" i="134" s="1"/>
  <c r="H251" i="134"/>
  <c r="I251" i="134" s="1"/>
  <c r="H261" i="134"/>
  <c r="I261" i="134" s="1"/>
  <c r="H282" i="134"/>
  <c r="I282" i="134" s="1"/>
  <c r="H276" i="134"/>
  <c r="I276" i="134" s="1"/>
  <c r="H245" i="134"/>
  <c r="I245" i="134" s="1"/>
  <c r="H244" i="134"/>
  <c r="I244" i="134" s="1"/>
  <c r="H226" i="134"/>
  <c r="I226" i="134" s="1"/>
  <c r="H188" i="134"/>
  <c r="I188" i="134" s="1"/>
  <c r="H179" i="134"/>
  <c r="I179" i="134" s="1"/>
  <c r="H168" i="134"/>
  <c r="I168" i="134" s="1"/>
  <c r="H159" i="134"/>
  <c r="I159" i="134" s="1"/>
  <c r="H109" i="134"/>
  <c r="I109" i="134" s="1"/>
  <c r="H96" i="134"/>
  <c r="I96" i="134" s="1"/>
  <c r="H22" i="134"/>
  <c r="I22" i="134" s="1"/>
  <c r="H275" i="134"/>
  <c r="I275" i="134" s="1"/>
  <c r="H260" i="134"/>
  <c r="I260" i="134" s="1"/>
  <c r="I267" i="134" s="1"/>
  <c r="H250" i="134"/>
  <c r="I250" i="134" s="1"/>
  <c r="I255" i="134" s="1"/>
  <c r="H231" i="134"/>
  <c r="I231" i="134" s="1"/>
  <c r="H211" i="134"/>
  <c r="I211" i="134" s="1"/>
  <c r="H200" i="134"/>
  <c r="I200" i="134" s="1"/>
  <c r="H187" i="134"/>
  <c r="I187" i="134" s="1"/>
  <c r="I194" i="134" s="1"/>
  <c r="H178" i="134"/>
  <c r="I178" i="134" s="1"/>
  <c r="H167" i="134"/>
  <c r="I167" i="134" s="1"/>
  <c r="I172" i="134" s="1"/>
  <c r="H158" i="134"/>
  <c r="I158" i="134" s="1"/>
  <c r="H147" i="134"/>
  <c r="I147" i="134" s="1"/>
  <c r="H138" i="134"/>
  <c r="I138" i="134" s="1"/>
  <c r="H129" i="134"/>
  <c r="I129" i="134" s="1"/>
  <c r="H120" i="134"/>
  <c r="I120" i="134" s="1"/>
  <c r="H108" i="134"/>
  <c r="I108" i="134" s="1"/>
  <c r="H95" i="134"/>
  <c r="I95" i="134" s="1"/>
  <c r="H21" i="134"/>
  <c r="I21" i="134" s="1"/>
  <c r="I246" i="134" l="1"/>
  <c r="I247" i="134" s="1"/>
  <c r="I278" i="134"/>
  <c r="I279" i="134" s="1"/>
  <c r="I86" i="134"/>
  <c r="I87" i="134"/>
  <c r="I101" i="134"/>
  <c r="I102" i="134" s="1"/>
  <c r="I115" i="134"/>
  <c r="I125" i="134"/>
  <c r="I205" i="134"/>
  <c r="I206" i="134" s="1"/>
  <c r="I44" i="134"/>
  <c r="I45" i="134" s="1"/>
  <c r="I268" i="134"/>
  <c r="I256" i="134"/>
  <c r="I126" i="134"/>
  <c r="I69" i="134"/>
  <c r="I195" i="134"/>
  <c r="I173" i="134"/>
  <c r="I116" i="134"/>
  <c r="H273" i="190"/>
  <c r="H274" i="190" s="1"/>
  <c r="K1365" i="132" s="1"/>
  <c r="M1365" i="132" s="1"/>
  <c r="I162" i="134"/>
  <c r="I163" i="134" s="1"/>
  <c r="I50" i="134"/>
  <c r="I64" i="134"/>
  <c r="I71" i="134"/>
  <c r="I40" i="134"/>
  <c r="I47" i="134"/>
  <c r="I53" i="134"/>
  <c r="E111" i="200"/>
  <c r="E110" i="200"/>
  <c r="C111" i="200"/>
  <c r="C110" i="200"/>
  <c r="H9" i="134"/>
  <c r="I9" i="134" s="1"/>
  <c r="H8" i="134"/>
  <c r="I8" i="134" s="1"/>
  <c r="H7" i="134"/>
  <c r="I7" i="134" s="1"/>
  <c r="I14" i="134" s="1"/>
  <c r="F147" i="133"/>
  <c r="F144" i="133"/>
  <c r="F141" i="133"/>
  <c r="F138" i="133"/>
  <c r="F135" i="133"/>
  <c r="F132" i="133"/>
  <c r="F129" i="133"/>
  <c r="F126" i="133"/>
  <c r="F123" i="133"/>
  <c r="F120" i="133"/>
  <c r="I15" i="134" l="1"/>
  <c r="I16" i="134" s="1"/>
  <c r="F117" i="133"/>
  <c r="F115" i="133"/>
  <c r="F113" i="133"/>
  <c r="F107" i="133"/>
  <c r="F106" i="133"/>
  <c r="F105" i="133"/>
  <c r="F104" i="133"/>
  <c r="F103" i="133"/>
  <c r="F102" i="133"/>
  <c r="F97" i="133"/>
  <c r="F93" i="133"/>
  <c r="F89" i="133"/>
  <c r="F85" i="133"/>
  <c r="F82" i="133"/>
  <c r="F79" i="133"/>
  <c r="F76" i="133"/>
  <c r="F71" i="133"/>
  <c r="F70" i="133"/>
  <c r="F66" i="133"/>
  <c r="F62" i="133"/>
  <c r="F58" i="133"/>
  <c r="F54" i="133"/>
  <c r="F49" i="133"/>
  <c r="F43" i="133"/>
  <c r="F37" i="133"/>
  <c r="F32" i="133"/>
  <c r="F27" i="133"/>
  <c r="F26" i="133"/>
  <c r="F21" i="133"/>
  <c r="F20" i="133"/>
  <c r="F19" i="133"/>
  <c r="F18" i="133"/>
  <c r="F15" i="133"/>
  <c r="F12" i="133"/>
  <c r="F7" i="133"/>
  <c r="F6" i="133"/>
  <c r="F5" i="133"/>
  <c r="F982" i="107"/>
  <c r="F973" i="107"/>
  <c r="F978" i="107" s="1"/>
  <c r="F964" i="107"/>
  <c r="F969" i="107" s="1"/>
  <c r="F961" i="107"/>
  <c r="F954" i="107"/>
  <c r="F953" i="107"/>
  <c r="F952" i="107"/>
  <c r="F951" i="107"/>
  <c r="F950" i="107"/>
  <c r="F941" i="107"/>
  <c r="F940" i="107"/>
  <c r="F938" i="107"/>
  <c r="F934" i="107"/>
  <c r="F933" i="107"/>
  <c r="F931" i="107"/>
  <c r="F919" i="107"/>
  <c r="F918" i="107"/>
  <c r="F917" i="107"/>
  <c r="F915" i="107"/>
  <c r="F904" i="107"/>
  <c r="F903" i="107"/>
  <c r="F901" i="107"/>
  <c r="F892" i="107"/>
  <c r="F891" i="107"/>
  <c r="F889" i="107"/>
  <c r="F882" i="107"/>
  <c r="F881" i="107"/>
  <c r="F867" i="107"/>
  <c r="F866" i="107"/>
  <c r="F879" i="107"/>
  <c r="F868" i="107"/>
  <c r="F864" i="107"/>
  <c r="F853" i="107"/>
  <c r="F852" i="107"/>
  <c r="F850" i="107"/>
  <c r="F824" i="107"/>
  <c r="F840" i="107" s="1"/>
  <c r="G840" i="107" s="1"/>
  <c r="F823" i="107"/>
  <c r="F839" i="107" s="1"/>
  <c r="G839" i="107" s="1"/>
  <c r="F822" i="107"/>
  <c r="F838" i="107" s="1"/>
  <c r="G838" i="107" s="1"/>
  <c r="F810" i="107"/>
  <c r="F809" i="107"/>
  <c r="F796" i="107"/>
  <c r="F795" i="107"/>
  <c r="F793" i="107"/>
  <c r="F789" i="107"/>
  <c r="F779" i="107"/>
  <c r="F778" i="107"/>
  <c r="F777" i="107"/>
  <c r="F774" i="107"/>
  <c r="F771" i="107"/>
  <c r="F752" i="107"/>
  <c r="F760" i="107"/>
  <c r="F759" i="107"/>
  <c r="F758" i="107"/>
  <c r="F756" i="107"/>
  <c r="F740" i="107"/>
  <c r="F739" i="107"/>
  <c r="F738" i="107"/>
  <c r="F731" i="107"/>
  <c r="F721" i="107"/>
  <c r="F720" i="107"/>
  <c r="F719" i="107"/>
  <c r="F717" i="107"/>
  <c r="F713" i="107"/>
  <c r="F703" i="107"/>
  <c r="F702" i="107"/>
  <c r="F701" i="107"/>
  <c r="F695" i="107"/>
  <c r="F690" i="107"/>
  <c r="F676" i="107"/>
  <c r="F680" i="107"/>
  <c r="F679" i="107"/>
  <c r="F678" i="107"/>
  <c r="F660" i="107"/>
  <c r="F659" i="107"/>
  <c r="F658" i="107"/>
  <c r="F638" i="107"/>
  <c r="F622" i="107"/>
  <c r="F642" i="107"/>
  <c r="F641" i="107"/>
  <c r="F640" i="107"/>
  <c r="F626" i="107"/>
  <c r="F625" i="107"/>
  <c r="F624" i="107"/>
  <c r="F614" i="107"/>
  <c r="E614" i="107"/>
  <c r="E613" i="107"/>
  <c r="F613" i="107" s="1"/>
  <c r="F609" i="107"/>
  <c r="F607" i="107"/>
  <c r="F606" i="107"/>
  <c r="F601" i="107"/>
  <c r="G593" i="107"/>
  <c r="F593" i="107"/>
  <c r="E593" i="107"/>
  <c r="E592" i="107"/>
  <c r="F592" i="107" s="1"/>
  <c r="F588" i="107"/>
  <c r="F587" i="107"/>
  <c r="F586" i="107"/>
  <c r="G572" i="107"/>
  <c r="F572" i="107"/>
  <c r="E572" i="107"/>
  <c r="E571" i="107"/>
  <c r="F571" i="107" s="1"/>
  <c r="F567" i="107"/>
  <c r="F566" i="107"/>
  <c r="F565" i="107"/>
  <c r="G552" i="107"/>
  <c r="F552" i="107"/>
  <c r="E552" i="107"/>
  <c r="E551" i="107"/>
  <c r="F551" i="107" s="1"/>
  <c r="F547" i="107"/>
  <c r="F546" i="107"/>
  <c r="F545" i="107"/>
  <c r="F530" i="107"/>
  <c r="F529" i="107"/>
  <c r="F528" i="107"/>
  <c r="E534" i="107"/>
  <c r="F534" i="107" s="1"/>
  <c r="G535" i="107"/>
  <c r="F535" i="107"/>
  <c r="E535" i="107"/>
  <c r="G518" i="107"/>
  <c r="F518" i="107"/>
  <c r="E518" i="107"/>
  <c r="E517" i="107"/>
  <c r="F517" i="107" s="1"/>
  <c r="F513" i="107"/>
  <c r="F512" i="107"/>
  <c r="F511" i="107"/>
  <c r="G501" i="107"/>
  <c r="F501" i="107"/>
  <c r="E501" i="107"/>
  <c r="E500" i="107"/>
  <c r="F496" i="107"/>
  <c r="F495" i="107"/>
  <c r="F494" i="107"/>
  <c r="G486" i="107"/>
  <c r="F486" i="107"/>
  <c r="E486" i="107"/>
  <c r="E485" i="107"/>
  <c r="F481" i="107"/>
  <c r="F480" i="107"/>
  <c r="F479" i="107"/>
  <c r="F478" i="107"/>
  <c r="F475" i="107"/>
  <c r="G468" i="107"/>
  <c r="F468" i="107"/>
  <c r="E468" i="107"/>
  <c r="E467" i="107"/>
  <c r="F844" i="107" l="1"/>
  <c r="G844" i="107"/>
  <c r="G592" i="107"/>
  <c r="G571" i="107"/>
  <c r="G551" i="107"/>
  <c r="G534" i="107"/>
  <c r="G517" i="107"/>
  <c r="F463" i="107" l="1"/>
  <c r="F462" i="107"/>
  <c r="F461" i="107"/>
  <c r="G450" i="107"/>
  <c r="F450" i="107"/>
  <c r="E450" i="107"/>
  <c r="E449" i="107"/>
  <c r="F449" i="107" s="1"/>
  <c r="G449" i="107" s="1"/>
  <c r="F445" i="107"/>
  <c r="F444" i="107"/>
  <c r="F443" i="107"/>
  <c r="G432" i="107"/>
  <c r="F432" i="107"/>
  <c r="E432" i="107"/>
  <c r="E431" i="107"/>
  <c r="F431" i="107" s="1"/>
  <c r="G431" i="107" s="1"/>
  <c r="F426" i="107"/>
  <c r="F427" i="107"/>
  <c r="F425" i="107"/>
  <c r="F416" i="107"/>
  <c r="F415" i="107"/>
  <c r="F404" i="107"/>
  <c r="F403" i="107"/>
  <c r="F402" i="107"/>
  <c r="F389" i="107"/>
  <c r="F388" i="107"/>
  <c r="F387" i="107"/>
  <c r="F379" i="107"/>
  <c r="F378" i="107"/>
  <c r="F377" i="107"/>
  <c r="F370" i="107"/>
  <c r="F369" i="107"/>
  <c r="F355" i="107"/>
  <c r="F354" i="107"/>
  <c r="F346" i="107"/>
  <c r="F345" i="107"/>
  <c r="F344" i="107"/>
  <c r="F343" i="107"/>
  <c r="F341" i="107"/>
  <c r="F340" i="107"/>
  <c r="F329" i="107"/>
  <c r="F328" i="107"/>
  <c r="F326" i="107"/>
  <c r="E317" i="107"/>
  <c r="E316" i="107"/>
  <c r="F312" i="107"/>
  <c r="F311" i="107"/>
  <c r="F310" i="107"/>
  <c r="F308" i="107"/>
  <c r="F307" i="107"/>
  <c r="F282" i="107"/>
  <c r="F281" i="107"/>
  <c r="F279" i="107"/>
  <c r="F278" i="107"/>
  <c r="F277" i="107"/>
  <c r="G266" i="107"/>
  <c r="F266" i="107"/>
  <c r="E266" i="107"/>
  <c r="E265" i="107"/>
  <c r="F265" i="107" s="1"/>
  <c r="G265" i="107" s="1"/>
  <c r="G257" i="107"/>
  <c r="F257" i="107"/>
  <c r="E257" i="107"/>
  <c r="E256" i="107"/>
  <c r="F256" i="107" s="1"/>
  <c r="G256" i="107" s="1"/>
  <c r="G249" i="107"/>
  <c r="F249" i="107"/>
  <c r="E249" i="107"/>
  <c r="E248" i="107"/>
  <c r="G241" i="107"/>
  <c r="F241" i="107"/>
  <c r="E241" i="107"/>
  <c r="E240" i="107"/>
  <c r="G233" i="107"/>
  <c r="F233" i="107"/>
  <c r="E233" i="107"/>
  <c r="E232" i="107"/>
  <c r="G225" i="107"/>
  <c r="F225" i="107"/>
  <c r="E225" i="107"/>
  <c r="E224" i="107"/>
  <c r="G217" i="107"/>
  <c r="F217" i="107"/>
  <c r="E217" i="107"/>
  <c r="E216" i="107"/>
  <c r="F212" i="107"/>
  <c r="F211" i="107"/>
  <c r="F210" i="107"/>
  <c r="F208" i="107"/>
  <c r="F207" i="107"/>
  <c r="F206" i="107"/>
  <c r="G195" i="107"/>
  <c r="F195" i="107"/>
  <c r="E195" i="107"/>
  <c r="E194" i="107"/>
  <c r="G188" i="107"/>
  <c r="F188" i="107"/>
  <c r="E188" i="107"/>
  <c r="E187" i="107" l="1"/>
  <c r="F183" i="107"/>
  <c r="F182" i="107"/>
  <c r="F181" i="107"/>
  <c r="F179" i="107"/>
  <c r="F178" i="107"/>
  <c r="F177" i="107"/>
  <c r="F166" i="107"/>
  <c r="G166" i="107" s="1"/>
  <c r="F165" i="107"/>
  <c r="G165" i="107" s="1"/>
  <c r="F159" i="107"/>
  <c r="F158" i="107"/>
  <c r="G158" i="107" s="1"/>
  <c r="F152" i="107"/>
  <c r="G152" i="107" s="1"/>
  <c r="F151" i="107"/>
  <c r="G151" i="107" s="1"/>
  <c r="G159" i="107"/>
  <c r="F147" i="107"/>
  <c r="F146" i="107"/>
  <c r="F145" i="107"/>
  <c r="F143" i="107"/>
  <c r="F142" i="107"/>
  <c r="F141" i="107"/>
  <c r="F132" i="107"/>
  <c r="F131" i="107"/>
  <c r="F129" i="107"/>
  <c r="F127" i="107"/>
  <c r="F118" i="107"/>
  <c r="F117" i="107"/>
  <c r="F115" i="107"/>
  <c r="F113" i="107"/>
  <c r="F103" i="107"/>
  <c r="F102" i="107"/>
  <c r="F98" i="107"/>
  <c r="F95" i="107"/>
  <c r="F90" i="107"/>
  <c r="F87" i="107"/>
  <c r="F77" i="107"/>
  <c r="G65" i="107"/>
  <c r="F29" i="107"/>
  <c r="F24" i="107"/>
  <c r="F19" i="107"/>
  <c r="F14" i="107"/>
  <c r="F9" i="107"/>
  <c r="K16" i="158"/>
  <c r="J16" i="158"/>
  <c r="G26" i="158"/>
  <c r="G25" i="158"/>
  <c r="G24" i="158"/>
  <c r="G23" i="158"/>
  <c r="G22" i="158"/>
  <c r="G21" i="158"/>
  <c r="G20" i="158"/>
  <c r="G19" i="158"/>
  <c r="G18" i="158"/>
  <c r="G17" i="158"/>
  <c r="G16" i="158"/>
  <c r="G12" i="158"/>
  <c r="G9" i="158"/>
  <c r="H9" i="158" s="1"/>
  <c r="L10" i="158" l="1"/>
  <c r="F325" i="107" s="1"/>
  <c r="F35" i="140"/>
  <c r="F199" i="140"/>
  <c r="F198" i="140"/>
  <c r="F197" i="140"/>
  <c r="F196" i="140"/>
  <c r="F195" i="140"/>
  <c r="F194" i="140"/>
  <c r="F193" i="140"/>
  <c r="F192" i="140"/>
  <c r="F191" i="140"/>
  <c r="F190" i="140"/>
  <c r="F187" i="140"/>
  <c r="F186" i="140"/>
  <c r="F185" i="140"/>
  <c r="F184" i="140"/>
  <c r="F183" i="140"/>
  <c r="F178" i="140"/>
  <c r="F177" i="140"/>
  <c r="F176" i="140"/>
  <c r="F175" i="140"/>
  <c r="F174" i="140"/>
  <c r="F173" i="140"/>
  <c r="F172" i="140"/>
  <c r="F171" i="140"/>
  <c r="F170" i="140"/>
  <c r="F168" i="140"/>
  <c r="F167" i="140"/>
  <c r="F166" i="140"/>
  <c r="F165" i="140"/>
  <c r="G168" i="140"/>
  <c r="X168" i="140" s="1"/>
  <c r="I168" i="140"/>
  <c r="N168" i="140" s="1"/>
  <c r="F244" i="140"/>
  <c r="F243" i="140"/>
  <c r="F242" i="140"/>
  <c r="F241" i="140"/>
  <c r="F239" i="140"/>
  <c r="F238" i="140"/>
  <c r="F237" i="140"/>
  <c r="F234" i="140"/>
  <c r="F233" i="140"/>
  <c r="F231" i="140"/>
  <c r="F230" i="140"/>
  <c r="F229" i="140"/>
  <c r="F227" i="140"/>
  <c r="F223" i="140"/>
  <c r="F216" i="140"/>
  <c r="F215" i="140"/>
  <c r="F214" i="140"/>
  <c r="F213" i="140"/>
  <c r="F212" i="140"/>
  <c r="F211" i="140"/>
  <c r="F203" i="140"/>
  <c r="F202" i="140"/>
  <c r="F201" i="140"/>
  <c r="I213" i="140"/>
  <c r="N213" i="140" s="1"/>
  <c r="G213" i="140"/>
  <c r="F84" i="140"/>
  <c r="F105" i="140"/>
  <c r="F104" i="140"/>
  <c r="F101" i="140"/>
  <c r="F94" i="140"/>
  <c r="F93" i="140"/>
  <c r="F91" i="140"/>
  <c r="F90" i="140"/>
  <c r="F87" i="140"/>
  <c r="F82" i="140"/>
  <c r="F80" i="140"/>
  <c r="F79" i="140"/>
  <c r="F78" i="140"/>
  <c r="F75" i="140"/>
  <c r="F73" i="140"/>
  <c r="F72" i="140"/>
  <c r="F71" i="140"/>
  <c r="F152" i="140"/>
  <c r="F151" i="140"/>
  <c r="F150" i="140"/>
  <c r="F61" i="140"/>
  <c r="F153" i="140"/>
  <c r="F149" i="140"/>
  <c r="F145" i="140"/>
  <c r="F69" i="140"/>
  <c r="F63" i="140"/>
  <c r="F62" i="140"/>
  <c r="F59" i="140"/>
  <c r="F58" i="140"/>
  <c r="F55" i="140"/>
  <c r="F45" i="140"/>
  <c r="F44" i="140"/>
  <c r="F43" i="140"/>
  <c r="F42" i="140"/>
  <c r="F39" i="140"/>
  <c r="F33" i="140"/>
  <c r="F28" i="140"/>
  <c r="F27" i="140"/>
  <c r="F22" i="140"/>
  <c r="F21" i="140"/>
  <c r="F20" i="140"/>
  <c r="F19" i="140"/>
  <c r="F18" i="140"/>
  <c r="F17" i="140"/>
  <c r="F16" i="140"/>
  <c r="F15" i="140"/>
  <c r="F14" i="140"/>
  <c r="F9" i="140"/>
  <c r="K239" i="140" l="1"/>
  <c r="L239" i="140"/>
  <c r="K242" i="140"/>
  <c r="L242" i="140"/>
  <c r="L244" i="140"/>
  <c r="K244" i="140"/>
  <c r="L238" i="140"/>
  <c r="K238" i="140"/>
  <c r="K243" i="140"/>
  <c r="L243" i="140"/>
  <c r="L183" i="140"/>
  <c r="K183" i="140"/>
  <c r="L185" i="140"/>
  <c r="K185" i="140"/>
  <c r="K199" i="140"/>
  <c r="L199" i="140"/>
  <c r="L186" i="140"/>
  <c r="K186" i="140"/>
  <c r="K177" i="140"/>
  <c r="L177" i="140"/>
  <c r="L152" i="140"/>
  <c r="K152" i="140"/>
  <c r="L69" i="140"/>
  <c r="K69" i="140"/>
  <c r="L55" i="140"/>
  <c r="K55" i="140"/>
  <c r="L63" i="140"/>
  <c r="K63" i="140"/>
  <c r="J168" i="140"/>
  <c r="J213" i="140"/>
  <c r="X213" i="140"/>
  <c r="K213" i="140" l="1"/>
  <c r="L213" i="140"/>
  <c r="L168" i="140"/>
  <c r="K168" i="140"/>
  <c r="U168" i="140"/>
  <c r="U213" i="140"/>
  <c r="E1031" i="107"/>
  <c r="E1030" i="107"/>
  <c r="E1029" i="107"/>
  <c r="I514" i="132" l="1"/>
  <c r="I510" i="132"/>
  <c r="I502" i="132"/>
  <c r="C37" i="210"/>
  <c r="F37" i="210" s="1"/>
  <c r="C36" i="210"/>
  <c r="F36" i="210" s="1"/>
  <c r="I125" i="132"/>
  <c r="I124" i="132"/>
  <c r="I123" i="132"/>
  <c r="M37" i="210" l="1"/>
  <c r="S37" i="210"/>
  <c r="M36" i="210"/>
  <c r="S36" i="210"/>
  <c r="I10" i="132"/>
  <c r="I11" i="132" l="1"/>
  <c r="G147" i="140"/>
  <c r="G146" i="140"/>
  <c r="G167" i="140"/>
  <c r="F197" i="190"/>
  <c r="H197" i="190" s="1"/>
  <c r="H195" i="190"/>
  <c r="H194" i="190"/>
  <c r="H193" i="190"/>
  <c r="H192" i="190"/>
  <c r="H191" i="190"/>
  <c r="H190" i="190"/>
  <c r="H186" i="190"/>
  <c r="H187" i="190" s="1"/>
  <c r="F189" i="190" s="1"/>
  <c r="H189" i="190" s="1"/>
  <c r="H184" i="190"/>
  <c r="H183" i="190"/>
  <c r="F159" i="190"/>
  <c r="H159" i="190" s="1"/>
  <c r="H157" i="190"/>
  <c r="H156" i="190"/>
  <c r="H155" i="190"/>
  <c r="H154" i="190"/>
  <c r="H153" i="190"/>
  <c r="H152" i="190"/>
  <c r="H148" i="190"/>
  <c r="H149" i="190" s="1"/>
  <c r="F151" i="190" s="1"/>
  <c r="H151" i="190" s="1"/>
  <c r="H146" i="190"/>
  <c r="H145" i="190"/>
  <c r="H147" i="190" l="1"/>
  <c r="F150" i="190" s="1"/>
  <c r="H150" i="190" s="1"/>
  <c r="H160" i="190" s="1"/>
  <c r="X167" i="140"/>
  <c r="H185" i="190"/>
  <c r="F188" i="190" s="1"/>
  <c r="H188" i="190" s="1"/>
  <c r="H198" i="190" s="1"/>
  <c r="K1346" i="132" l="1"/>
  <c r="M1346" i="132" s="1"/>
  <c r="K1337" i="132"/>
  <c r="M1337" i="132" s="1"/>
  <c r="I146" i="140" l="1"/>
  <c r="N146" i="140" s="1"/>
  <c r="I147" i="140"/>
  <c r="N147" i="140" s="1"/>
  <c r="G232" i="140"/>
  <c r="X232" i="140" s="1"/>
  <c r="J146" i="140" l="1"/>
  <c r="J147" i="140"/>
  <c r="K1658" i="132"/>
  <c r="M1658" i="132" l="1"/>
  <c r="I42" i="203"/>
  <c r="K146" i="140"/>
  <c r="L146" i="140"/>
  <c r="K147" i="140"/>
  <c r="L147" i="140"/>
  <c r="I232" i="140"/>
  <c r="N232" i="140" s="1"/>
  <c r="T10" i="109"/>
  <c r="F50" i="205" l="1"/>
  <c r="H50" i="205" s="1"/>
  <c r="E42" i="203"/>
  <c r="J42" i="203"/>
  <c r="J232" i="140"/>
  <c r="U42" i="203" l="1"/>
  <c r="L232" i="140"/>
  <c r="K232" i="140"/>
  <c r="F42" i="203"/>
  <c r="K42" i="203" s="1"/>
  <c r="N42" i="203"/>
  <c r="U232" i="140"/>
  <c r="G123" i="133"/>
  <c r="G124" i="133" s="1"/>
  <c r="K1517" i="132" s="1"/>
  <c r="M1517" i="132" s="1"/>
  <c r="L42" i="203" l="1"/>
  <c r="E24" i="158" l="1"/>
  <c r="F24" i="158" s="1"/>
  <c r="I173" i="132" l="1"/>
  <c r="I172" i="132"/>
  <c r="G209" i="140"/>
  <c r="I232" i="132"/>
  <c r="I231" i="132"/>
  <c r="I230" i="132"/>
  <c r="I229" i="132"/>
  <c r="I140" i="132"/>
  <c r="I139" i="132"/>
  <c r="G172" i="140"/>
  <c r="G171" i="140"/>
  <c r="G169" i="140"/>
  <c r="G166" i="140"/>
  <c r="G165" i="140"/>
  <c r="J158" i="140"/>
  <c r="G142" i="140"/>
  <c r="G141" i="140"/>
  <c r="G140" i="140"/>
  <c r="G139" i="140"/>
  <c r="G138" i="140"/>
  <c r="G137" i="140"/>
  <c r="G136" i="140"/>
  <c r="G135" i="140"/>
  <c r="G134" i="140"/>
  <c r="G133" i="140"/>
  <c r="G132" i="140"/>
  <c r="G131" i="140"/>
  <c r="G130" i="140"/>
  <c r="G129" i="140"/>
  <c r="G128" i="140"/>
  <c r="G126" i="140"/>
  <c r="G125" i="140"/>
  <c r="G123" i="140"/>
  <c r="G121" i="140"/>
  <c r="G119" i="140"/>
  <c r="G118" i="140"/>
  <c r="G117" i="140"/>
  <c r="G116" i="140"/>
  <c r="G115" i="140"/>
  <c r="G114" i="140"/>
  <c r="G113" i="140"/>
  <c r="G112" i="140"/>
  <c r="G105" i="140"/>
  <c r="G104" i="140"/>
  <c r="G103" i="140"/>
  <c r="G102" i="140"/>
  <c r="G101" i="140"/>
  <c r="G98" i="140"/>
  <c r="G97" i="140"/>
  <c r="G96" i="140"/>
  <c r="G95" i="140"/>
  <c r="G92" i="140"/>
  <c r="G91" i="140"/>
  <c r="G89" i="140"/>
  <c r="G88" i="140"/>
  <c r="G86" i="140"/>
  <c r="G85" i="140"/>
  <c r="G82" i="140"/>
  <c r="G81" i="140"/>
  <c r="X81" i="140" s="1"/>
  <c r="G80" i="140"/>
  <c r="G77" i="140"/>
  <c r="X77" i="140" s="1"/>
  <c r="G76" i="140"/>
  <c r="G74" i="140"/>
  <c r="U245" i="140"/>
  <c r="X245" i="140"/>
  <c r="G143" i="140"/>
  <c r="K158" i="140" l="1"/>
  <c r="L158" i="140"/>
  <c r="I59" i="134"/>
  <c r="K1577" i="132" s="1"/>
  <c r="M1577" i="132" s="1"/>
  <c r="X209" i="140"/>
  <c r="G145" i="140"/>
  <c r="X114" i="140"/>
  <c r="X118" i="140"/>
  <c r="X126" i="140"/>
  <c r="X132" i="140"/>
  <c r="X134" i="140"/>
  <c r="X137" i="140"/>
  <c r="X112" i="140"/>
  <c r="X116" i="140"/>
  <c r="X128" i="140"/>
  <c r="X131" i="140"/>
  <c r="X133" i="140"/>
  <c r="X135" i="140"/>
  <c r="X142" i="140"/>
  <c r="X113" i="140"/>
  <c r="X115" i="140"/>
  <c r="X117" i="140"/>
  <c r="X119" i="140"/>
  <c r="X121" i="140"/>
  <c r="X125" i="140"/>
  <c r="X129" i="140"/>
  <c r="X130" i="140"/>
  <c r="X136" i="140"/>
  <c r="X139" i="140"/>
  <c r="X140" i="140"/>
  <c r="X141" i="140"/>
  <c r="X143" i="140"/>
  <c r="X92" i="140"/>
  <c r="I209" i="140" l="1"/>
  <c r="N209" i="140" s="1"/>
  <c r="J209" i="140" l="1"/>
  <c r="K209" i="140" l="1"/>
  <c r="L209" i="140"/>
  <c r="U209" i="140"/>
  <c r="E44" i="109"/>
  <c r="E43" i="109"/>
  <c r="E42" i="109"/>
  <c r="E41" i="109"/>
  <c r="E40" i="109"/>
  <c r="E39" i="109"/>
  <c r="E38" i="109"/>
  <c r="E37" i="109"/>
  <c r="E36" i="109"/>
  <c r="E35" i="109"/>
  <c r="E34" i="109"/>
  <c r="E32" i="109"/>
  <c r="E31" i="109"/>
  <c r="E28" i="109"/>
  <c r="E25" i="109"/>
  <c r="E23" i="109"/>
  <c r="E22" i="109"/>
  <c r="E21" i="109"/>
  <c r="E20" i="109"/>
  <c r="E19" i="109"/>
  <c r="E18" i="109"/>
  <c r="E17" i="109"/>
  <c r="E15" i="109"/>
  <c r="D44" i="109"/>
  <c r="D41" i="109"/>
  <c r="D40" i="109"/>
  <c r="D39" i="109"/>
  <c r="D38" i="109"/>
  <c r="D35" i="109"/>
  <c r="D34" i="109"/>
  <c r="D32" i="109"/>
  <c r="D31" i="109"/>
  <c r="D29" i="109"/>
  <c r="D28" i="109"/>
  <c r="D26" i="109"/>
  <c r="D23" i="109"/>
  <c r="D22" i="109"/>
  <c r="D19" i="109"/>
  <c r="D18" i="109"/>
  <c r="D17" i="109"/>
  <c r="E30" i="109"/>
  <c r="D36" i="109"/>
  <c r="D30" i="109"/>
  <c r="D20" i="109"/>
  <c r="G100" i="140" l="1"/>
  <c r="D43" i="109"/>
  <c r="G99" i="140"/>
  <c r="D42" i="109"/>
  <c r="G94" i="140"/>
  <c r="D37" i="109"/>
  <c r="G93" i="140"/>
  <c r="G120" i="140"/>
  <c r="X120" i="140" s="1"/>
  <c r="E26" i="109"/>
  <c r="G109" i="140"/>
  <c r="X109" i="140" s="1"/>
  <c r="E12" i="109"/>
  <c r="G124" i="140"/>
  <c r="X124" i="140" s="1"/>
  <c r="G90" i="140"/>
  <c r="D33" i="109"/>
  <c r="G87" i="140"/>
  <c r="G111" i="140"/>
  <c r="X111" i="140" s="1"/>
  <c r="E16" i="109"/>
  <c r="G122" i="140"/>
  <c r="X122" i="140" s="1"/>
  <c r="E27" i="109"/>
  <c r="G78" i="140"/>
  <c r="G84" i="140"/>
  <c r="D27" i="109"/>
  <c r="G75" i="140"/>
  <c r="G107" i="140"/>
  <c r="G71" i="140" l="1"/>
  <c r="D12" i="109"/>
  <c r="G72" i="140"/>
  <c r="D14" i="109"/>
  <c r="G110" i="140"/>
  <c r="X110" i="140" s="1"/>
  <c r="E14" i="109"/>
  <c r="E33" i="109"/>
  <c r="G127" i="140"/>
  <c r="X127" i="140" s="1"/>
  <c r="G79" i="140"/>
  <c r="D21" i="109"/>
  <c r="D25" i="109"/>
  <c r="G83" i="140"/>
  <c r="D15" i="109"/>
  <c r="D16" i="109"/>
  <c r="G73" i="140"/>
  <c r="G154" i="140"/>
  <c r="G287" i="190"/>
  <c r="G286" i="190"/>
  <c r="G285" i="190"/>
  <c r="F235" i="190"/>
  <c r="H235" i="190" s="1"/>
  <c r="H233" i="190"/>
  <c r="H232" i="190"/>
  <c r="H231" i="190"/>
  <c r="H230" i="190"/>
  <c r="H229" i="190"/>
  <c r="H228" i="190"/>
  <c r="H223" i="190"/>
  <c r="H222" i="190"/>
  <c r="H214" i="190"/>
  <c r="H213" i="190"/>
  <c r="H212" i="190"/>
  <c r="H211" i="190"/>
  <c r="H210" i="190"/>
  <c r="H209" i="190"/>
  <c r="H205" i="190"/>
  <c r="H206" i="190" s="1"/>
  <c r="F208" i="190" s="1"/>
  <c r="H208" i="190" s="1"/>
  <c r="H203" i="190"/>
  <c r="H202" i="190"/>
  <c r="F140" i="190"/>
  <c r="H140" i="190" s="1"/>
  <c r="H128" i="190"/>
  <c r="H127" i="190"/>
  <c r="H8" i="190"/>
  <c r="H7" i="190"/>
  <c r="D287" i="190"/>
  <c r="D286" i="190"/>
  <c r="D285" i="190"/>
  <c r="H281" i="190"/>
  <c r="H282" i="190" s="1"/>
  <c r="M1369" i="132" s="1"/>
  <c r="H278" i="190"/>
  <c r="H276" i="190"/>
  <c r="H259" i="190"/>
  <c r="H258" i="190"/>
  <c r="H257" i="190"/>
  <c r="H256" i="190"/>
  <c r="H255" i="190"/>
  <c r="F254" i="190"/>
  <c r="H254" i="190" s="1"/>
  <c r="H247" i="190"/>
  <c r="H246" i="190"/>
  <c r="H245" i="190"/>
  <c r="H244" i="190"/>
  <c r="L242" i="190"/>
  <c r="H240" i="190"/>
  <c r="H238" i="190"/>
  <c r="L236" i="190"/>
  <c r="F226" i="190"/>
  <c r="F227" i="190" s="1"/>
  <c r="H227" i="190" s="1"/>
  <c r="H216" i="190"/>
  <c r="H138" i="190"/>
  <c r="H137" i="190"/>
  <c r="H136" i="190"/>
  <c r="H135" i="190"/>
  <c r="H134" i="190"/>
  <c r="H133" i="190"/>
  <c r="F132" i="190"/>
  <c r="H132" i="190" s="1"/>
  <c r="F131" i="190"/>
  <c r="H131" i="190" s="1"/>
  <c r="F3" i="190"/>
  <c r="A2" i="190"/>
  <c r="H260" i="190" l="1"/>
  <c r="H261" i="190" s="1"/>
  <c r="H262" i="190" s="1"/>
  <c r="H277" i="190"/>
  <c r="H279" i="190"/>
  <c r="H280" i="190" s="1"/>
  <c r="K1382" i="132" s="1"/>
  <c r="M1382" i="132" s="1"/>
  <c r="H248" i="190"/>
  <c r="H249" i="190" s="1"/>
  <c r="K1386" i="132"/>
  <c r="I154" i="140" s="1"/>
  <c r="N154" i="140" s="1"/>
  <c r="K1390" i="132"/>
  <c r="M1390" i="132" s="1"/>
  <c r="G65" i="140"/>
  <c r="H9" i="190"/>
  <c r="F10" i="190" s="1"/>
  <c r="H10" i="190" s="1"/>
  <c r="H129" i="190"/>
  <c r="F130" i="190" s="1"/>
  <c r="H130" i="190" s="1"/>
  <c r="H141" i="190" s="1"/>
  <c r="H224" i="190"/>
  <c r="F225" i="190" s="1"/>
  <c r="H225" i="190" s="1"/>
  <c r="H204" i="190"/>
  <c r="F207" i="190" s="1"/>
  <c r="H207" i="190" s="1"/>
  <c r="H217" i="190" s="1"/>
  <c r="H226" i="190"/>
  <c r="H15" i="190" l="1"/>
  <c r="I153" i="140"/>
  <c r="N153" i="140" s="1"/>
  <c r="I155" i="140"/>
  <c r="N155" i="140" s="1"/>
  <c r="K1349" i="132"/>
  <c r="M1349" i="132" s="1"/>
  <c r="K1399" i="132"/>
  <c r="M1399" i="132" s="1"/>
  <c r="M1386" i="132"/>
  <c r="I19" i="203"/>
  <c r="K1360" i="132"/>
  <c r="I151" i="140" s="1"/>
  <c r="N151" i="140" s="1"/>
  <c r="K1332" i="132"/>
  <c r="M1332" i="132" s="1"/>
  <c r="J154" i="140"/>
  <c r="H236" i="190"/>
  <c r="K1300" i="132" l="1"/>
  <c r="M1300" i="132" s="1"/>
  <c r="I149" i="140"/>
  <c r="N149" i="140" s="1"/>
  <c r="I157" i="140"/>
  <c r="N157" i="140" s="1"/>
  <c r="I148" i="140"/>
  <c r="N148" i="140" s="1"/>
  <c r="K1355" i="132"/>
  <c r="M1355" i="132" s="1"/>
  <c r="L154" i="140"/>
  <c r="K154" i="140"/>
  <c r="M1360" i="132"/>
  <c r="I18" i="203"/>
  <c r="F27" i="205"/>
  <c r="H27" i="205" s="1"/>
  <c r="J19" i="203"/>
  <c r="E19" i="203"/>
  <c r="G919" i="107"/>
  <c r="G918" i="107"/>
  <c r="G917" i="107"/>
  <c r="G915" i="107"/>
  <c r="G904" i="107"/>
  <c r="G903" i="107"/>
  <c r="G901" i="107"/>
  <c r="G892" i="107"/>
  <c r="G891" i="107"/>
  <c r="G889" i="107"/>
  <c r="G882" i="107"/>
  <c r="G881" i="107"/>
  <c r="G879" i="107"/>
  <c r="I145" i="140" l="1"/>
  <c r="N145" i="140" s="1"/>
  <c r="I150" i="140"/>
  <c r="N150" i="140" s="1"/>
  <c r="F893" i="107"/>
  <c r="G893" i="107" s="1"/>
  <c r="G894" i="107" s="1"/>
  <c r="G895" i="107" s="1"/>
  <c r="F913" i="107" s="1"/>
  <c r="G913" i="107" s="1"/>
  <c r="G920" i="107" s="1"/>
  <c r="G922" i="107" s="1"/>
  <c r="F883" i="107"/>
  <c r="G883" i="107" s="1"/>
  <c r="G884" i="107" s="1"/>
  <c r="G885" i="107" s="1"/>
  <c r="F898" i="107" s="1"/>
  <c r="G898" i="107" s="1"/>
  <c r="G905" i="107" s="1"/>
  <c r="G907" i="107" s="1"/>
  <c r="N19" i="203"/>
  <c r="F19" i="203"/>
  <c r="L19" i="203" s="1"/>
  <c r="F26" i="205"/>
  <c r="H26" i="205" s="1"/>
  <c r="E18" i="203"/>
  <c r="J18" i="203"/>
  <c r="G908" i="107"/>
  <c r="G923" i="107"/>
  <c r="F923" i="107"/>
  <c r="F908" i="107"/>
  <c r="G925" i="107" l="1"/>
  <c r="G926" i="107" s="1"/>
  <c r="G910" i="107"/>
  <c r="G911" i="107" s="1"/>
  <c r="K19" i="203"/>
  <c r="N18" i="203"/>
  <c r="F18" i="203"/>
  <c r="K18" i="203" s="1"/>
  <c r="U18" i="203"/>
  <c r="F907" i="107"/>
  <c r="E907" i="107"/>
  <c r="F922" i="107"/>
  <c r="E922" i="107"/>
  <c r="F925" i="107" l="1"/>
  <c r="F926" i="107" s="1"/>
  <c r="K916" i="132" s="1"/>
  <c r="I105" i="140" s="1"/>
  <c r="N105" i="140" s="1"/>
  <c r="E925" i="107"/>
  <c r="E926" i="107" s="1"/>
  <c r="K491" i="132" s="1"/>
  <c r="M491" i="132" s="1"/>
  <c r="F910" i="107"/>
  <c r="F911" i="107" s="1"/>
  <c r="K908" i="132" s="1"/>
  <c r="I104" i="140" s="1"/>
  <c r="N104" i="140" s="1"/>
  <c r="E910" i="107"/>
  <c r="E911" i="107" s="1"/>
  <c r="K474" i="132" s="1"/>
  <c r="K1279" i="132"/>
  <c r="M1279" i="132" s="1"/>
  <c r="K1290" i="132"/>
  <c r="M1290" i="132" s="1"/>
  <c r="L18" i="203"/>
  <c r="G864" i="107"/>
  <c r="G850" i="107"/>
  <c r="G713" i="107"/>
  <c r="G695" i="107"/>
  <c r="I142" i="140" l="1"/>
  <c r="N142" i="140" s="1"/>
  <c r="I141" i="140"/>
  <c r="N141" i="140" s="1"/>
  <c r="M908" i="132"/>
  <c r="I15" i="203"/>
  <c r="M916" i="132"/>
  <c r="I16" i="203"/>
  <c r="G346" i="107"/>
  <c r="G345" i="107"/>
  <c r="G344" i="107"/>
  <c r="G343" i="107"/>
  <c r="G341" i="107"/>
  <c r="G340" i="107"/>
  <c r="J142" i="140" l="1"/>
  <c r="K142" i="140" s="1"/>
  <c r="J141" i="140"/>
  <c r="L141" i="140" s="1"/>
  <c r="F24" i="205"/>
  <c r="H24" i="205" s="1"/>
  <c r="J16" i="203"/>
  <c r="E16" i="203"/>
  <c r="F23" i="205"/>
  <c r="H23" i="205" s="1"/>
  <c r="J15" i="203"/>
  <c r="E15" i="203"/>
  <c r="F485" i="107"/>
  <c r="G485" i="107" s="1"/>
  <c r="L142" i="140" l="1"/>
  <c r="U142" i="140"/>
  <c r="K141" i="140"/>
  <c r="U141" i="140"/>
  <c r="N15" i="203"/>
  <c r="F15" i="203"/>
  <c r="L15" i="203" s="1"/>
  <c r="U16" i="203"/>
  <c r="U15" i="203"/>
  <c r="N16" i="203"/>
  <c r="F16" i="203"/>
  <c r="L16" i="203" s="1"/>
  <c r="L24" i="158"/>
  <c r="F467" i="107"/>
  <c r="G467" i="107" s="1"/>
  <c r="K15" i="203" l="1"/>
  <c r="K16" i="203"/>
  <c r="I151" i="132"/>
  <c r="I150" i="132"/>
  <c r="I148" i="132"/>
  <c r="I146" i="132"/>
  <c r="I145" i="132"/>
  <c r="G288" i="107"/>
  <c r="F288" i="107"/>
  <c r="G642" i="107"/>
  <c r="K642" i="107" s="1"/>
  <c r="G641" i="107"/>
  <c r="K641" i="107" s="1"/>
  <c r="G640" i="107"/>
  <c r="G638" i="107"/>
  <c r="F646" i="107" l="1"/>
  <c r="K640" i="107"/>
  <c r="K643" i="107" s="1"/>
  <c r="G646" i="107"/>
  <c r="C19" i="109" l="1"/>
  <c r="F19" i="109" s="1"/>
  <c r="G26" i="140"/>
  <c r="X26" i="140" s="1"/>
  <c r="C23" i="109"/>
  <c r="G30" i="140"/>
  <c r="X30" i="140" s="1"/>
  <c r="L19" i="109" l="1"/>
  <c r="I19" i="109"/>
  <c r="F3" i="107"/>
  <c r="G89" i="133" l="1"/>
  <c r="G91" i="133" s="1"/>
  <c r="K1449" i="132" s="1"/>
  <c r="M1449" i="132" s="1"/>
  <c r="X76" i="140"/>
  <c r="G53" i="140"/>
  <c r="I53" i="140"/>
  <c r="N53" i="140" s="1"/>
  <c r="I135" i="134" l="1"/>
  <c r="K1635" i="132" s="1"/>
  <c r="I169" i="140"/>
  <c r="N169" i="140" s="1"/>
  <c r="J53" i="140"/>
  <c r="M1635" i="132" l="1"/>
  <c r="I38" i="203"/>
  <c r="L53" i="140"/>
  <c r="K53" i="140"/>
  <c r="I224" i="140"/>
  <c r="N224" i="140" s="1"/>
  <c r="G15" i="133"/>
  <c r="G16" i="133" s="1"/>
  <c r="K1495" i="132" s="1"/>
  <c r="M1495" i="132" s="1"/>
  <c r="F46" i="205" l="1"/>
  <c r="H46" i="205" s="1"/>
  <c r="E38" i="203"/>
  <c r="J38" i="203"/>
  <c r="G181" i="140"/>
  <c r="J169" i="140"/>
  <c r="G978" i="107"/>
  <c r="G980" i="107" s="1"/>
  <c r="G973" i="107"/>
  <c r="I376" i="132"/>
  <c r="I377" i="132"/>
  <c r="I378" i="132"/>
  <c r="I379" i="132"/>
  <c r="I380" i="132"/>
  <c r="I134" i="132"/>
  <c r="U38" i="203" l="1"/>
  <c r="F38" i="203"/>
  <c r="K38" i="203" s="1"/>
  <c r="N38" i="203"/>
  <c r="K515" i="132"/>
  <c r="I66" i="140" s="1"/>
  <c r="N66" i="140" s="1"/>
  <c r="L169" i="140"/>
  <c r="K169" i="140"/>
  <c r="G151" i="140"/>
  <c r="J151" i="140" s="1"/>
  <c r="C17" i="109"/>
  <c r="G224" i="140"/>
  <c r="L38" i="203" l="1"/>
  <c r="K151" i="140"/>
  <c r="L151" i="140"/>
  <c r="X224" i="140"/>
  <c r="J224" i="140"/>
  <c r="G24" i="140"/>
  <c r="L224" i="140" l="1"/>
  <c r="K224" i="140"/>
  <c r="U224" i="140"/>
  <c r="X24" i="140"/>
  <c r="X98" i="140"/>
  <c r="X97" i="140"/>
  <c r="A2" i="109" l="1"/>
  <c r="X247" i="140"/>
  <c r="U247" i="140"/>
  <c r="J34" i="140"/>
  <c r="G98" i="107"/>
  <c r="G90" i="107"/>
  <c r="K34" i="140" l="1"/>
  <c r="L34" i="140"/>
  <c r="U34" i="140"/>
  <c r="X34" i="140"/>
  <c r="D18" i="158"/>
  <c r="D19" i="158" s="1"/>
  <c r="D20" i="158" s="1"/>
  <c r="D21" i="158" s="1"/>
  <c r="D22" i="158" s="1"/>
  <c r="D23" i="158" s="1"/>
  <c r="G228" i="140" l="1"/>
  <c r="X228" i="140" s="1"/>
  <c r="C22" i="109"/>
  <c r="F22" i="109" s="1"/>
  <c r="N22" i="109" s="1"/>
  <c r="G29" i="140"/>
  <c r="S22" i="109" l="1"/>
  <c r="G229" i="140"/>
  <c r="G223" i="140"/>
  <c r="G226" i="140"/>
  <c r="G211" i="140"/>
  <c r="X29" i="140"/>
  <c r="G296" i="107"/>
  <c r="F296" i="107"/>
  <c r="E296" i="107"/>
  <c r="E295" i="107"/>
  <c r="G295" i="107" s="1"/>
  <c r="E288" i="107"/>
  <c r="E287" i="107"/>
  <c r="G287" i="107" s="1"/>
  <c r="G282" i="107"/>
  <c r="G281" i="107"/>
  <c r="G279" i="107"/>
  <c r="K279" i="107" s="1"/>
  <c r="G277" i="107"/>
  <c r="I375" i="132"/>
  <c r="I370" i="132"/>
  <c r="C40" i="210" s="1"/>
  <c r="F40" i="210" s="1"/>
  <c r="S40" i="210" l="1"/>
  <c r="M40" i="210"/>
  <c r="K277" i="107"/>
  <c r="G52" i="140"/>
  <c r="F287" i="107"/>
  <c r="F295" i="107"/>
  <c r="C44" i="109"/>
  <c r="F44" i="109" s="1"/>
  <c r="M44" i="109" l="1"/>
  <c r="S44" i="109"/>
  <c r="F815" i="107"/>
  <c r="G815" i="107" s="1"/>
  <c r="G824" i="107"/>
  <c r="G823" i="107"/>
  <c r="G822" i="107"/>
  <c r="G810" i="107"/>
  <c r="G809" i="107"/>
  <c r="F828" i="107" l="1"/>
  <c r="G828" i="107"/>
  <c r="G475" i="107"/>
  <c r="G480" i="107"/>
  <c r="G481" i="107"/>
  <c r="G478" i="107"/>
  <c r="G153" i="140" l="1"/>
  <c r="J153" i="140" s="1"/>
  <c r="G60" i="140"/>
  <c r="G416" i="107"/>
  <c r="G415" i="107"/>
  <c r="K153" i="140" l="1"/>
  <c r="L153" i="140"/>
  <c r="X60" i="140"/>
  <c r="L25" i="158"/>
  <c r="F89" i="107" s="1"/>
  <c r="I237" i="132"/>
  <c r="C29" i="109" l="1"/>
  <c r="F29" i="109" s="1"/>
  <c r="N29" i="109" s="1"/>
  <c r="G159" i="140"/>
  <c r="X159" i="140" s="1"/>
  <c r="G37" i="140"/>
  <c r="C28" i="109"/>
  <c r="F28" i="109" s="1"/>
  <c r="C18" i="109" l="1"/>
  <c r="F18" i="109" s="1"/>
  <c r="G38" i="140"/>
  <c r="G25" i="140"/>
  <c r="G32" i="140"/>
  <c r="S28" i="109"/>
  <c r="M28" i="109"/>
  <c r="Q28" i="109"/>
  <c r="S29" i="109"/>
  <c r="C24" i="109"/>
  <c r="F24" i="109" s="1"/>
  <c r="L18" i="109" l="1"/>
  <c r="I18" i="109"/>
  <c r="X25" i="140"/>
  <c r="X32" i="140"/>
  <c r="M24" i="109"/>
  <c r="K24" i="109"/>
  <c r="S24" i="109"/>
  <c r="G957" i="107"/>
  <c r="G954" i="107"/>
  <c r="G953" i="107"/>
  <c r="G952" i="107"/>
  <c r="G951" i="107"/>
  <c r="G950" i="107"/>
  <c r="G946" i="107"/>
  <c r="G947" i="107" s="1"/>
  <c r="G609" i="107"/>
  <c r="G607" i="107"/>
  <c r="G606" i="107"/>
  <c r="G601" i="107"/>
  <c r="G958" i="107" l="1"/>
  <c r="G959" i="107" s="1"/>
  <c r="K508" i="132" s="1"/>
  <c r="M508" i="132" s="1"/>
  <c r="F615" i="107"/>
  <c r="G955" i="107"/>
  <c r="K499" i="132" l="1"/>
  <c r="M499" i="132" s="1"/>
  <c r="X23" i="140"/>
  <c r="X55" i="140"/>
  <c r="X69" i="140"/>
  <c r="X70" i="140"/>
  <c r="X74" i="140"/>
  <c r="X83" i="140"/>
  <c r="X88" i="140"/>
  <c r="X89" i="140"/>
  <c r="X108" i="140"/>
  <c r="X144" i="140"/>
  <c r="X164" i="140"/>
  <c r="X200" i="140"/>
  <c r="X246" i="140"/>
  <c r="X249" i="140"/>
  <c r="X252" i="140"/>
  <c r="X253" i="140"/>
  <c r="X254" i="140"/>
  <c r="U55" i="140"/>
  <c r="U69" i="140"/>
  <c r="U144" i="140"/>
  <c r="U200" i="140"/>
  <c r="U246" i="140"/>
  <c r="I60" i="140" l="1"/>
  <c r="N60" i="140" s="1"/>
  <c r="I422" i="132"/>
  <c r="J60" i="140" l="1"/>
  <c r="K60" i="140" s="1"/>
  <c r="L60" i="140" l="1"/>
  <c r="U60" i="140"/>
  <c r="G59" i="140"/>
  <c r="G58" i="140"/>
  <c r="I58" i="140" l="1"/>
  <c r="N58" i="140" s="1"/>
  <c r="X58" i="140"/>
  <c r="X59" i="140"/>
  <c r="X105" i="140"/>
  <c r="I59" i="140"/>
  <c r="N59" i="140" s="1"/>
  <c r="J105" i="140" l="1"/>
  <c r="L105" i="140" l="1"/>
  <c r="K105" i="140"/>
  <c r="U105" i="140"/>
  <c r="F359" i="107" l="1"/>
  <c r="F364" i="107"/>
  <c r="F363" i="107"/>
  <c r="F361" i="107"/>
  <c r="F360" i="107"/>
  <c r="A2" i="107"/>
  <c r="C157" i="133"/>
  <c r="C156" i="133"/>
  <c r="C155" i="133"/>
  <c r="F157" i="133"/>
  <c r="F156" i="133"/>
  <c r="F155" i="133"/>
  <c r="C307" i="134"/>
  <c r="C306" i="134"/>
  <c r="C305" i="134"/>
  <c r="G307" i="134"/>
  <c r="G306" i="134"/>
  <c r="G305" i="134"/>
  <c r="H263" i="140"/>
  <c r="H262" i="140"/>
  <c r="H261" i="140"/>
  <c r="K263" i="140"/>
  <c r="K262" i="140"/>
  <c r="K261" i="140"/>
  <c r="J108" i="140"/>
  <c r="K108" i="140" l="1"/>
  <c r="L108" i="140"/>
  <c r="U108" i="140"/>
  <c r="F362" i="107"/>
  <c r="G362" i="107" s="1"/>
  <c r="E367" i="107" s="1"/>
  <c r="F365" i="107"/>
  <c r="G365" i="107" s="1"/>
  <c r="E368" i="107" s="1"/>
  <c r="K3" i="140" l="1"/>
  <c r="A2" i="140"/>
  <c r="G982" i="107"/>
  <c r="G984" i="107" s="1"/>
  <c r="K518" i="132" s="1"/>
  <c r="M518" i="132" s="1"/>
  <c r="G969" i="107"/>
  <c r="G971" i="107" s="1"/>
  <c r="G964" i="107"/>
  <c r="I67" i="140" l="1"/>
  <c r="N67" i="140" s="1"/>
  <c r="K511" i="132"/>
  <c r="I65" i="140" s="1"/>
  <c r="N65" i="140" s="1"/>
  <c r="G66" i="140"/>
  <c r="X65" i="140"/>
  <c r="G941" i="107"/>
  <c r="K941" i="107" s="1"/>
  <c r="G940" i="107"/>
  <c r="K940" i="107" s="1"/>
  <c r="K934" i="107"/>
  <c r="M511" i="132" l="1"/>
  <c r="X66" i="140"/>
  <c r="J66" i="140"/>
  <c r="G67" i="140"/>
  <c r="X67" i="140" s="1"/>
  <c r="M515" i="132"/>
  <c r="J65" i="140"/>
  <c r="K66" i="140" l="1"/>
  <c r="L66" i="140"/>
  <c r="L65" i="140"/>
  <c r="K65" i="140"/>
  <c r="J67" i="140"/>
  <c r="U66" i="140"/>
  <c r="U65" i="140"/>
  <c r="I222" i="134"/>
  <c r="G690" i="107"/>
  <c r="E369" i="107"/>
  <c r="E370" i="107" s="1"/>
  <c r="G370" i="107" s="1"/>
  <c r="G404" i="107"/>
  <c r="G405" i="107"/>
  <c r="F400" i="107"/>
  <c r="F399" i="107"/>
  <c r="G392" i="107"/>
  <c r="G391" i="107"/>
  <c r="G390" i="107"/>
  <c r="G389" i="107"/>
  <c r="F385" i="107"/>
  <c r="F384" i="107"/>
  <c r="L67" i="140" l="1"/>
  <c r="K67" i="140"/>
  <c r="U67" i="140"/>
  <c r="G240" i="140"/>
  <c r="X240" i="140" s="1"/>
  <c r="I301" i="134"/>
  <c r="K1692" i="132" s="1"/>
  <c r="M1692" i="132" s="1"/>
  <c r="I241" i="134"/>
  <c r="I228" i="134"/>
  <c r="K1675" i="132" s="1"/>
  <c r="M1675" i="132" s="1"/>
  <c r="I235" i="134"/>
  <c r="K1679" i="132" s="1"/>
  <c r="I223" i="134"/>
  <c r="K1662" i="132" s="1"/>
  <c r="K1704" i="132"/>
  <c r="M1704" i="132" s="1"/>
  <c r="G369" i="107"/>
  <c r="G691" i="107"/>
  <c r="F386" i="107"/>
  <c r="E387" i="107" s="1"/>
  <c r="E388" i="107" s="1"/>
  <c r="F401" i="107"/>
  <c r="E402" i="107" s="1"/>
  <c r="G402" i="107" s="1"/>
  <c r="K1685" i="132" l="1"/>
  <c r="M1685" i="132" s="1"/>
  <c r="M1679" i="132"/>
  <c r="F31" i="212"/>
  <c r="H31" i="212" s="1"/>
  <c r="M1662" i="132"/>
  <c r="F30" i="212"/>
  <c r="H30" i="212" s="1"/>
  <c r="K1430" i="132"/>
  <c r="M1430" i="132" s="1"/>
  <c r="G163" i="140"/>
  <c r="X163" i="140" s="1"/>
  <c r="I229" i="140"/>
  <c r="N229" i="140" s="1"/>
  <c r="I235" i="140"/>
  <c r="N235" i="140" s="1"/>
  <c r="X223" i="140"/>
  <c r="X226" i="140"/>
  <c r="G230" i="140"/>
  <c r="X230" i="140" s="1"/>
  <c r="G235" i="140"/>
  <c r="X235" i="140" s="1"/>
  <c r="X211" i="140"/>
  <c r="X229" i="140"/>
  <c r="G231" i="140"/>
  <c r="X231" i="140" s="1"/>
  <c r="G233" i="140"/>
  <c r="X233" i="140" s="1"/>
  <c r="I231" i="140"/>
  <c r="N231" i="140" s="1"/>
  <c r="I233" i="140"/>
  <c r="N233" i="140" s="1"/>
  <c r="I240" i="140"/>
  <c r="N240" i="140" s="1"/>
  <c r="I230" i="140"/>
  <c r="N230" i="140" s="1"/>
  <c r="E403" i="107"/>
  <c r="G403" i="107" s="1"/>
  <c r="G406" i="107" s="1"/>
  <c r="G407" i="107" s="1"/>
  <c r="I163" i="140" l="1"/>
  <c r="N163" i="140" s="1"/>
  <c r="J235" i="140"/>
  <c r="J230" i="140"/>
  <c r="J233" i="140"/>
  <c r="J240" i="140"/>
  <c r="J231" i="140"/>
  <c r="J163" i="140" l="1"/>
  <c r="K163" i="140" s="1"/>
  <c r="L233" i="140"/>
  <c r="K233" i="140"/>
  <c r="L240" i="140"/>
  <c r="K240" i="140"/>
  <c r="L235" i="140"/>
  <c r="K235" i="140"/>
  <c r="L230" i="140"/>
  <c r="K230" i="140"/>
  <c r="K231" i="140"/>
  <c r="L231" i="140"/>
  <c r="U240" i="140"/>
  <c r="U235" i="140"/>
  <c r="U231" i="140"/>
  <c r="U233" i="140"/>
  <c r="U230" i="140"/>
  <c r="H71" i="141"/>
  <c r="H70" i="141"/>
  <c r="H69" i="141"/>
  <c r="H5" i="141"/>
  <c r="A4" i="141"/>
  <c r="G25" i="131"/>
  <c r="G23" i="131"/>
  <c r="U163" i="140" l="1"/>
  <c r="L163" i="140"/>
  <c r="T35" i="109"/>
  <c r="T14" i="109"/>
  <c r="T20" i="109"/>
  <c r="T21" i="109" s="1"/>
  <c r="T13" i="109"/>
  <c r="T12" i="109"/>
  <c r="T11" i="109"/>
  <c r="T16" i="109" l="1"/>
  <c r="T17" i="109" s="1"/>
  <c r="T18" i="109" s="1"/>
  <c r="T19" i="109" s="1"/>
  <c r="S19" i="109" s="1"/>
  <c r="T15" i="109"/>
  <c r="S18" i="109" l="1"/>
  <c r="C2" i="132" l="1"/>
  <c r="K46" i="109"/>
  <c r="J46" i="109"/>
  <c r="X107" i="140" l="1"/>
  <c r="M55" i="109" l="1"/>
  <c r="M54" i="109"/>
  <c r="M53" i="109"/>
  <c r="R55" i="109"/>
  <c r="R54" i="109"/>
  <c r="R53" i="109"/>
  <c r="C1031" i="107"/>
  <c r="C1030" i="107"/>
  <c r="C1029" i="107"/>
  <c r="E71" i="141"/>
  <c r="E70" i="141"/>
  <c r="E69" i="141"/>
  <c r="H1727" i="132"/>
  <c r="H1726" i="132"/>
  <c r="H1725" i="132"/>
  <c r="L1727" i="132"/>
  <c r="L1726" i="132"/>
  <c r="L1725" i="132"/>
  <c r="G567" i="107"/>
  <c r="K567" i="107" s="1"/>
  <c r="G566" i="107"/>
  <c r="K566" i="107" s="1"/>
  <c r="G565" i="107"/>
  <c r="M474" i="132"/>
  <c r="I436" i="132"/>
  <c r="I435" i="132"/>
  <c r="I434" i="132"/>
  <c r="I433" i="132"/>
  <c r="I431" i="132"/>
  <c r="I430" i="132"/>
  <c r="I429" i="132"/>
  <c r="I428" i="132"/>
  <c r="I427" i="132"/>
  <c r="I426" i="132"/>
  <c r="I425" i="132"/>
  <c r="I424" i="132"/>
  <c r="I423" i="132"/>
  <c r="I421" i="132"/>
  <c r="I420" i="132"/>
  <c r="I418" i="132"/>
  <c r="I417" i="132"/>
  <c r="I416" i="132"/>
  <c r="I415" i="132"/>
  <c r="I414" i="132"/>
  <c r="I413" i="132"/>
  <c r="I412" i="132"/>
  <c r="I411" i="132"/>
  <c r="I407" i="132"/>
  <c r="I410" i="132"/>
  <c r="I409" i="132"/>
  <c r="I408" i="132"/>
  <c r="I406" i="132"/>
  <c r="G148" i="140" l="1"/>
  <c r="J148" i="140" s="1"/>
  <c r="G155" i="140"/>
  <c r="J155" i="140" s="1"/>
  <c r="G157" i="140"/>
  <c r="J157" i="140" s="1"/>
  <c r="G156" i="140"/>
  <c r="G161" i="140"/>
  <c r="G162" i="140"/>
  <c r="X162" i="140" s="1"/>
  <c r="G61" i="140"/>
  <c r="X61" i="140" s="1"/>
  <c r="K565" i="107"/>
  <c r="K568" i="107" s="1"/>
  <c r="F573" i="107"/>
  <c r="G573" i="107"/>
  <c r="X145" i="140"/>
  <c r="G62" i="140"/>
  <c r="X62" i="140" s="1"/>
  <c r="X153" i="140"/>
  <c r="L157" i="140" l="1"/>
  <c r="K157" i="140"/>
  <c r="K155" i="140"/>
  <c r="L155" i="140"/>
  <c r="K148" i="140"/>
  <c r="L148" i="140"/>
  <c r="G160" i="140"/>
  <c r="X160" i="140" s="1"/>
  <c r="X157" i="140"/>
  <c r="X156" i="140"/>
  <c r="X161" i="140"/>
  <c r="G150" i="140"/>
  <c r="G149" i="140"/>
  <c r="J149" i="140" s="1"/>
  <c r="X155" i="140"/>
  <c r="X151" i="140"/>
  <c r="X99" i="140"/>
  <c r="X100" i="140"/>
  <c r="X96" i="140"/>
  <c r="X94" i="140"/>
  <c r="X91" i="140"/>
  <c r="X87" i="140"/>
  <c r="X82" i="140"/>
  <c r="X79" i="140"/>
  <c r="X73" i="140"/>
  <c r="X71" i="140"/>
  <c r="X72" i="140"/>
  <c r="X75" i="140"/>
  <c r="X102" i="140"/>
  <c r="X95" i="140"/>
  <c r="X93" i="140"/>
  <c r="X90" i="140"/>
  <c r="X84" i="140"/>
  <c r="X80" i="140"/>
  <c r="X78" i="140"/>
  <c r="X104" i="140"/>
  <c r="X103" i="140"/>
  <c r="G56" i="140"/>
  <c r="X56" i="140" s="1"/>
  <c r="G57" i="140"/>
  <c r="X57" i="140" s="1"/>
  <c r="L149" i="140" l="1"/>
  <c r="K149" i="140"/>
  <c r="X149" i="140"/>
  <c r="J150" i="140"/>
  <c r="X150" i="140"/>
  <c r="F23" i="109"/>
  <c r="N23" i="109" s="1"/>
  <c r="L150" i="140" l="1"/>
  <c r="K150" i="140"/>
  <c r="G216" i="140"/>
  <c r="X216" i="140" s="1"/>
  <c r="U150" i="140"/>
  <c r="S23" i="109"/>
  <c r="I196" i="134"/>
  <c r="K1607" i="132" s="1"/>
  <c r="M1607" i="132" s="1"/>
  <c r="I216" i="140" l="1"/>
  <c r="N216" i="140" s="1"/>
  <c r="G867" i="107"/>
  <c r="J216" i="140" l="1"/>
  <c r="G866" i="107"/>
  <c r="L216" i="140" l="1"/>
  <c r="K216" i="140"/>
  <c r="U216" i="140"/>
  <c r="G68" i="140"/>
  <c r="X68" i="140" s="1"/>
  <c r="I21" i="158" l="1"/>
  <c r="I20" i="158"/>
  <c r="I19" i="158"/>
  <c r="I18" i="158"/>
  <c r="I17" i="158"/>
  <c r="E17" i="158"/>
  <c r="E16" i="158"/>
  <c r="F16" i="158" s="1"/>
  <c r="D14" i="158"/>
  <c r="L12" i="158"/>
  <c r="L11" i="158"/>
  <c r="L9" i="158"/>
  <c r="L8" i="158"/>
  <c r="F835" i="107" s="1"/>
  <c r="G835" i="107" s="1"/>
  <c r="G72" i="190" l="1"/>
  <c r="H72" i="190" s="1"/>
  <c r="G95" i="190"/>
  <c r="H95" i="190" s="1"/>
  <c r="H63" i="190"/>
  <c r="K1316" i="132" s="1"/>
  <c r="M1316" i="132" s="1"/>
  <c r="E18" i="158"/>
  <c r="F18" i="158" s="1"/>
  <c r="L18" i="158" s="1"/>
  <c r="F17" i="158"/>
  <c r="L17" i="158" s="1"/>
  <c r="G239" i="190"/>
  <c r="H239" i="190" s="1"/>
  <c r="H242" i="190" s="1"/>
  <c r="F368" i="107"/>
  <c r="G368" i="107" s="1"/>
  <c r="H30" i="134"/>
  <c r="F367" i="107"/>
  <c r="G367" i="107" s="1"/>
  <c r="F339" i="107"/>
  <c r="G339" i="107" s="1"/>
  <c r="F754" i="107"/>
  <c r="F755" i="107" s="1"/>
  <c r="F439" i="107"/>
  <c r="F110" i="107"/>
  <c r="F124" i="107" s="1"/>
  <c r="F732" i="107"/>
  <c r="F733" i="107" s="1"/>
  <c r="F734" i="107" s="1"/>
  <c r="F139" i="107"/>
  <c r="L26" i="158"/>
  <c r="F97" i="107" s="1"/>
  <c r="L16" i="158"/>
  <c r="F275" i="107"/>
  <c r="F816" i="107"/>
  <c r="F806" i="107"/>
  <c r="G806" i="107" s="1"/>
  <c r="F772" i="107"/>
  <c r="F773" i="107" s="1"/>
  <c r="F411" i="107"/>
  <c r="G411" i="107" s="1"/>
  <c r="F791" i="107"/>
  <c r="F792" i="107" s="1"/>
  <c r="F603" i="107"/>
  <c r="G603" i="107" s="1"/>
  <c r="F421" i="107"/>
  <c r="F175" i="107"/>
  <c r="F27" i="107"/>
  <c r="F17" i="107"/>
  <c r="F7" i="107"/>
  <c r="F559" i="107"/>
  <c r="F457" i="107"/>
  <c r="F204" i="107"/>
  <c r="F653" i="107"/>
  <c r="F654" i="107" s="1"/>
  <c r="F655" i="107" s="1"/>
  <c r="F22" i="107"/>
  <c r="F12" i="107"/>
  <c r="E14" i="158"/>
  <c r="F353" i="107"/>
  <c r="E19" i="158" l="1"/>
  <c r="F19" i="158" s="1"/>
  <c r="L19" i="158" s="1"/>
  <c r="E33" i="107" s="1"/>
  <c r="G372" i="107"/>
  <c r="F303" i="107"/>
  <c r="F202" i="107"/>
  <c r="F273" i="107"/>
  <c r="F137" i="107"/>
  <c r="H99" i="190"/>
  <c r="H76" i="190"/>
  <c r="K1320" i="132" s="1"/>
  <c r="M1320" i="132" s="1"/>
  <c r="G347" i="107"/>
  <c r="G348" i="107" s="1"/>
  <c r="G349" i="107" s="1"/>
  <c r="H349" i="107" s="1"/>
  <c r="K1395" i="132"/>
  <c r="I156" i="140" s="1"/>
  <c r="N156" i="140" s="1"/>
  <c r="L15" i="158"/>
  <c r="F79" i="107" s="1"/>
  <c r="F14" i="158"/>
  <c r="L14" i="158" s="1"/>
  <c r="F836" i="107" s="1"/>
  <c r="G836" i="107" s="1"/>
  <c r="I30" i="134"/>
  <c r="I31" i="134" s="1"/>
  <c r="I32" i="134" s="1"/>
  <c r="I33" i="134" s="1"/>
  <c r="I34" i="134" s="1"/>
  <c r="G373" i="107"/>
  <c r="F111" i="107"/>
  <c r="F125" i="107" s="1"/>
  <c r="F422" i="107"/>
  <c r="F440" i="107"/>
  <c r="U155" i="140"/>
  <c r="F458" i="107"/>
  <c r="F580" i="107"/>
  <c r="G559" i="107"/>
  <c r="F562" i="107"/>
  <c r="G562" i="107" s="1"/>
  <c r="F817" i="107"/>
  <c r="G817" i="107" s="1"/>
  <c r="G816" i="107"/>
  <c r="L13" i="158"/>
  <c r="E32" i="107"/>
  <c r="E20" i="158" l="1"/>
  <c r="F20" i="158" s="1"/>
  <c r="L20" i="158" s="1"/>
  <c r="E34" i="107" s="1"/>
  <c r="K1328" i="132"/>
  <c r="M1328" i="132" s="1"/>
  <c r="K1550" i="132"/>
  <c r="M1550" i="132" s="1"/>
  <c r="K1407" i="132"/>
  <c r="M1407" i="132" s="1"/>
  <c r="M1395" i="132"/>
  <c r="I20" i="203"/>
  <c r="J156" i="140"/>
  <c r="F274" i="107"/>
  <c r="G274" i="107" s="1"/>
  <c r="F174" i="107"/>
  <c r="F203" i="107"/>
  <c r="F819" i="107"/>
  <c r="F820" i="107" s="1"/>
  <c r="G820" i="107" s="1"/>
  <c r="F735" i="107"/>
  <c r="F736" i="107" s="1"/>
  <c r="F441" i="107"/>
  <c r="F753" i="107"/>
  <c r="F413" i="107"/>
  <c r="G413" i="107" s="1"/>
  <c r="F112" i="107"/>
  <c r="F138" i="107"/>
  <c r="F807" i="107"/>
  <c r="G807" i="107" s="1"/>
  <c r="G811" i="107" s="1"/>
  <c r="F818" i="107" s="1"/>
  <c r="G818" i="107" s="1"/>
  <c r="F790" i="107"/>
  <c r="F775" i="107"/>
  <c r="F560" i="107"/>
  <c r="F423" i="107"/>
  <c r="F656" i="107"/>
  <c r="F673" i="107" s="1"/>
  <c r="F28" i="107"/>
  <c r="F18" i="107"/>
  <c r="F8" i="107"/>
  <c r="F459" i="107"/>
  <c r="F699" i="107"/>
  <c r="F714" i="107" s="1"/>
  <c r="F23" i="107"/>
  <c r="F13" i="107"/>
  <c r="E21" i="158"/>
  <c r="F21" i="158" s="1"/>
  <c r="I160" i="140" l="1"/>
  <c r="N160" i="140" s="1"/>
  <c r="K156" i="140"/>
  <c r="L156" i="140"/>
  <c r="F28" i="205"/>
  <c r="H28" i="205" s="1"/>
  <c r="E20" i="203"/>
  <c r="J20" i="203"/>
  <c r="G819" i="107"/>
  <c r="G825" i="107" s="1"/>
  <c r="F126" i="107"/>
  <c r="E23" i="158"/>
  <c r="F23" i="158" s="1"/>
  <c r="E22" i="158"/>
  <c r="F581" i="107"/>
  <c r="F563" i="107"/>
  <c r="G563" i="107" s="1"/>
  <c r="G560" i="107"/>
  <c r="L21" i="158"/>
  <c r="E35" i="107" s="1"/>
  <c r="J160" i="140" l="1"/>
  <c r="K160" i="140" s="1"/>
  <c r="U20" i="203"/>
  <c r="N20" i="203"/>
  <c r="F20" i="203"/>
  <c r="F22" i="158"/>
  <c r="L22" i="158" s="1"/>
  <c r="F412" i="107" s="1"/>
  <c r="G412" i="107" s="1"/>
  <c r="G417" i="107" s="1"/>
  <c r="F827" i="107"/>
  <c r="F829" i="107" s="1"/>
  <c r="F830" i="107" s="1"/>
  <c r="G827" i="107"/>
  <c r="G829" i="107" s="1"/>
  <c r="G830" i="107" s="1"/>
  <c r="E827" i="107"/>
  <c r="E829" i="107" s="1"/>
  <c r="E830" i="107" s="1"/>
  <c r="L23" i="158"/>
  <c r="G568" i="107"/>
  <c r="L160" i="140" l="1"/>
  <c r="F652" i="107"/>
  <c r="G652" i="107" s="1"/>
  <c r="K368" i="132"/>
  <c r="M368" i="132" s="1"/>
  <c r="K1215" i="132"/>
  <c r="M1215" i="132" s="1"/>
  <c r="K185" i="132"/>
  <c r="I32" i="140" s="1"/>
  <c r="N32" i="140" s="1"/>
  <c r="K397" i="132"/>
  <c r="M397" i="132" s="1"/>
  <c r="K820" i="132"/>
  <c r="M820" i="132" s="1"/>
  <c r="K20" i="203"/>
  <c r="L20" i="203"/>
  <c r="E570" i="107"/>
  <c r="F570" i="107"/>
  <c r="F574" i="107" l="1"/>
  <c r="F575" i="107" s="1"/>
  <c r="F576" i="107" s="1"/>
  <c r="E574" i="107"/>
  <c r="E575" i="107" s="1"/>
  <c r="E576" i="107" s="1"/>
  <c r="I52" i="140"/>
  <c r="N52" i="140" s="1"/>
  <c r="I138" i="140"/>
  <c r="N138" i="140" s="1"/>
  <c r="M185" i="132"/>
  <c r="I101" i="140"/>
  <c r="N101" i="140" s="1"/>
  <c r="J32" i="140"/>
  <c r="G570" i="107"/>
  <c r="K290" i="132" l="1"/>
  <c r="F604" i="107"/>
  <c r="G604" i="107" s="1"/>
  <c r="G574" i="107"/>
  <c r="G575" i="107" s="1"/>
  <c r="G576" i="107" s="1"/>
  <c r="K1108" i="132" s="1"/>
  <c r="M1108" i="132" s="1"/>
  <c r="J52" i="140"/>
  <c r="K52" i="140" s="1"/>
  <c r="J138" i="140"/>
  <c r="L138" i="140" s="1"/>
  <c r="J101" i="140"/>
  <c r="L101" i="140" s="1"/>
  <c r="K726" i="132"/>
  <c r="K32" i="140"/>
  <c r="L32" i="140"/>
  <c r="U32" i="140"/>
  <c r="I42" i="140"/>
  <c r="N42" i="140" s="1"/>
  <c r="L52" i="140" l="1"/>
  <c r="K138" i="140"/>
  <c r="K101" i="140"/>
  <c r="M726" i="132"/>
  <c r="I9" i="203"/>
  <c r="I127" i="140"/>
  <c r="N127" i="140" s="1"/>
  <c r="I90" i="140"/>
  <c r="N90" i="140" s="1"/>
  <c r="F17" i="205" l="1"/>
  <c r="H17" i="205" s="1"/>
  <c r="J9" i="203"/>
  <c r="E9" i="203"/>
  <c r="J127" i="140"/>
  <c r="N9" i="203" l="1"/>
  <c r="F9" i="203"/>
  <c r="K9" i="203" s="1"/>
  <c r="U9" i="203"/>
  <c r="L127" i="140"/>
  <c r="K127" i="140"/>
  <c r="U127" i="140"/>
  <c r="E175" i="107"/>
  <c r="E204" i="107" s="1"/>
  <c r="E275" i="107" s="1"/>
  <c r="L9" i="203" l="1"/>
  <c r="G275" i="107"/>
  <c r="E305" i="107"/>
  <c r="C15" i="109"/>
  <c r="C16" i="109"/>
  <c r="G33" i="140" l="1"/>
  <c r="X33" i="140" s="1"/>
  <c r="C25" i="109"/>
  <c r="C33" i="109"/>
  <c r="F33" i="109" s="1"/>
  <c r="N33" i="109" s="1"/>
  <c r="J90" i="140"/>
  <c r="M290" i="132"/>
  <c r="G42" i="140"/>
  <c r="K90" i="140" l="1"/>
  <c r="L90" i="140"/>
  <c r="U90" i="140"/>
  <c r="J42" i="140"/>
  <c r="X42" i="140"/>
  <c r="S33" i="109"/>
  <c r="K42" i="140" l="1"/>
  <c r="L42" i="140"/>
  <c r="U42" i="140"/>
  <c r="C42" i="210" l="1"/>
  <c r="F42" i="210" s="1"/>
  <c r="S42" i="210" l="1"/>
  <c r="M42" i="210"/>
  <c r="I90" i="134"/>
  <c r="K1696" i="132" s="1"/>
  <c r="M1696" i="132" s="1"/>
  <c r="I75" i="134"/>
  <c r="K1627" i="132" s="1"/>
  <c r="M1627" i="132" s="1"/>
  <c r="I51" i="134"/>
  <c r="K1585" i="132" s="1"/>
  <c r="M1585" i="132" s="1"/>
  <c r="I237" i="140" l="1"/>
  <c r="N237" i="140" s="1"/>
  <c r="I220" i="140"/>
  <c r="N220" i="140" s="1"/>
  <c r="G207" i="140"/>
  <c r="X207" i="140" s="1"/>
  <c r="G237" i="140"/>
  <c r="X237" i="140" s="1"/>
  <c r="I207" i="140"/>
  <c r="N207" i="140" s="1"/>
  <c r="G220" i="140" l="1"/>
  <c r="X220" i="140" s="1"/>
  <c r="J207" i="140"/>
  <c r="J237" i="140"/>
  <c r="K237" i="140" l="1"/>
  <c r="L237" i="140"/>
  <c r="K207" i="140"/>
  <c r="L207" i="140"/>
  <c r="U237" i="140"/>
  <c r="U207" i="140"/>
  <c r="J220" i="140"/>
  <c r="L220" i="140" l="1"/>
  <c r="K220" i="140"/>
  <c r="U220" i="140"/>
  <c r="G151" i="133" l="1"/>
  <c r="G152" i="133" s="1"/>
  <c r="K1502" i="132" s="1"/>
  <c r="M1502" i="132" l="1"/>
  <c r="I30" i="203"/>
  <c r="I182" i="140"/>
  <c r="N182" i="140" s="1"/>
  <c r="J23" i="140"/>
  <c r="F38" i="205" l="1"/>
  <c r="H38" i="205" s="1"/>
  <c r="E30" i="203"/>
  <c r="J30" i="203"/>
  <c r="L23" i="140"/>
  <c r="K23" i="140"/>
  <c r="G182" i="140"/>
  <c r="X182" i="140" s="1"/>
  <c r="U23" i="140"/>
  <c r="U30" i="203" l="1"/>
  <c r="N30" i="203"/>
  <c r="F30" i="203"/>
  <c r="L30" i="203" s="1"/>
  <c r="J182" i="140"/>
  <c r="K1700" i="132"/>
  <c r="M1700" i="132" s="1"/>
  <c r="G236" i="140"/>
  <c r="X236" i="140" s="1"/>
  <c r="G388" i="107"/>
  <c r="G387" i="107"/>
  <c r="G393" i="107" l="1"/>
  <c r="G394" i="107" s="1"/>
  <c r="G395" i="107" s="1"/>
  <c r="G396" i="107" s="1"/>
  <c r="K30" i="203"/>
  <c r="L182" i="140"/>
  <c r="K182" i="140"/>
  <c r="U182" i="140"/>
  <c r="I236" i="140"/>
  <c r="N236" i="140" s="1"/>
  <c r="K1419" i="132" l="1"/>
  <c r="M1419" i="132" s="1"/>
  <c r="J236" i="140"/>
  <c r="I162" i="140" l="1"/>
  <c r="N162" i="140" s="1"/>
  <c r="L236" i="140"/>
  <c r="K236" i="140"/>
  <c r="U236" i="140"/>
  <c r="U151" i="140"/>
  <c r="J162" i="140" l="1"/>
  <c r="L162" i="140" s="1"/>
  <c r="I72" i="134"/>
  <c r="K1619" i="132" s="1"/>
  <c r="M1619" i="132" s="1"/>
  <c r="I48" i="134"/>
  <c r="K1570" i="132" s="1"/>
  <c r="M1570" i="132" s="1"/>
  <c r="G58" i="133"/>
  <c r="G60" i="133" s="1"/>
  <c r="K1465" i="132" s="1"/>
  <c r="M1465" i="132" s="1"/>
  <c r="X172" i="140"/>
  <c r="K162" i="140" l="1"/>
  <c r="U162" i="140"/>
  <c r="I219" i="140"/>
  <c r="N219" i="140" s="1"/>
  <c r="I206" i="140"/>
  <c r="N206" i="140" s="1"/>
  <c r="G219" i="140" l="1"/>
  <c r="G206" i="140"/>
  <c r="U153" i="140" l="1"/>
  <c r="J219" i="140"/>
  <c r="X219" i="140"/>
  <c r="J206" i="140"/>
  <c r="X206" i="140"/>
  <c r="K219" i="140" l="1"/>
  <c r="L219" i="140"/>
  <c r="L206" i="140"/>
  <c r="K206" i="140"/>
  <c r="U206" i="140"/>
  <c r="U219" i="140"/>
  <c r="G961" i="107" l="1"/>
  <c r="G962" i="107" s="1"/>
  <c r="G721" i="107"/>
  <c r="G720" i="107"/>
  <c r="G719" i="107"/>
  <c r="G717" i="107"/>
  <c r="G702" i="107"/>
  <c r="G676" i="107"/>
  <c r="K504" i="132" l="1"/>
  <c r="I61" i="140" s="1"/>
  <c r="N61" i="140" s="1"/>
  <c r="F725" i="107"/>
  <c r="K702" i="107"/>
  <c r="G725" i="107"/>
  <c r="G701" i="107"/>
  <c r="K701" i="107" s="1"/>
  <c r="G703" i="107"/>
  <c r="M504" i="132" l="1"/>
  <c r="K703" i="107"/>
  <c r="K704" i="107" s="1"/>
  <c r="G707" i="107"/>
  <c r="F707" i="107"/>
  <c r="G97" i="107" l="1"/>
  <c r="I53" i="132"/>
  <c r="H70" i="132"/>
  <c r="I70" i="132" s="1"/>
  <c r="H66" i="132"/>
  <c r="I66" i="132" s="1"/>
  <c r="I67" i="132"/>
  <c r="I68" i="132"/>
  <c r="I69" i="132"/>
  <c r="I65" i="132"/>
  <c r="I50" i="132"/>
  <c r="I47" i="132"/>
  <c r="J61" i="140" l="1"/>
  <c r="L61" i="140" l="1"/>
  <c r="K61" i="140"/>
  <c r="U61" i="140"/>
  <c r="C7" i="109"/>
  <c r="G13" i="140"/>
  <c r="X13" i="140" s="1"/>
  <c r="C39" i="109"/>
  <c r="G47" i="140"/>
  <c r="X47" i="140" s="1"/>
  <c r="C41" i="109"/>
  <c r="G49" i="140"/>
  <c r="X49" i="140" s="1"/>
  <c r="C21" i="109"/>
  <c r="F21" i="109" s="1"/>
  <c r="G28" i="140"/>
  <c r="X28" i="140" s="1"/>
  <c r="C38" i="109"/>
  <c r="G46" i="140"/>
  <c r="X46" i="140" s="1"/>
  <c r="C40" i="109"/>
  <c r="G48" i="140"/>
  <c r="X48" i="140" s="1"/>
  <c r="L21" i="109" l="1"/>
  <c r="I21" i="109"/>
  <c r="S21" i="109"/>
  <c r="F40" i="109"/>
  <c r="S40" i="109" s="1"/>
  <c r="F38" i="109"/>
  <c r="F41" i="109"/>
  <c r="S41" i="109" s="1"/>
  <c r="F39" i="109"/>
  <c r="F7" i="109"/>
  <c r="R7" i="109" s="1"/>
  <c r="C5" i="109"/>
  <c r="F5" i="109" s="1"/>
  <c r="G14" i="140"/>
  <c r="X14" i="140" s="1"/>
  <c r="C27" i="109"/>
  <c r="F27" i="109" s="1"/>
  <c r="M27" i="109" s="1"/>
  <c r="G36" i="140"/>
  <c r="X36" i="140" s="1"/>
  <c r="N7" i="140"/>
  <c r="L7" i="140"/>
  <c r="K7" i="140"/>
  <c r="G179" i="140"/>
  <c r="X179" i="140" s="1"/>
  <c r="Q27" i="109" l="1"/>
  <c r="M40" i="109"/>
  <c r="S27" i="109"/>
  <c r="M39" i="109"/>
  <c r="S39" i="109"/>
  <c r="M38" i="109"/>
  <c r="S38" i="109"/>
  <c r="M41" i="109"/>
  <c r="G379" i="107" l="1"/>
  <c r="G378" i="107"/>
  <c r="G377" i="107"/>
  <c r="G380" i="107" l="1"/>
  <c r="G381" i="107" s="1"/>
  <c r="K1412" i="132" s="1"/>
  <c r="M1412" i="132" s="1"/>
  <c r="K1646" i="132"/>
  <c r="G221" i="140"/>
  <c r="X221" i="140" s="1"/>
  <c r="G218" i="140"/>
  <c r="X218" i="140" s="1"/>
  <c r="G208" i="140"/>
  <c r="X208" i="140" s="1"/>
  <c r="K1615" i="132"/>
  <c r="K1566" i="132"/>
  <c r="G205" i="140"/>
  <c r="X205" i="140" s="1"/>
  <c r="G12" i="133"/>
  <c r="G13" i="133" s="1"/>
  <c r="K1491" i="132" s="1"/>
  <c r="M1491" i="132" s="1"/>
  <c r="F17" i="109"/>
  <c r="G129" i="133"/>
  <c r="G130" i="133" s="1"/>
  <c r="K1520" i="132" s="1"/>
  <c r="M1520" i="132" s="1"/>
  <c r="L17" i="109" l="1"/>
  <c r="I17" i="109"/>
  <c r="I161" i="140"/>
  <c r="N161" i="140" s="1"/>
  <c r="M1615" i="132"/>
  <c r="I36" i="203"/>
  <c r="M1646" i="132"/>
  <c r="I39" i="203"/>
  <c r="M1566" i="132"/>
  <c r="I31" i="203"/>
  <c r="I226" i="140"/>
  <c r="N226" i="140" s="1"/>
  <c r="G225" i="140"/>
  <c r="X225" i="140" s="1"/>
  <c r="I143" i="134"/>
  <c r="K1642" i="132" s="1"/>
  <c r="M1642" i="132" s="1"/>
  <c r="G180" i="140"/>
  <c r="X180" i="140" s="1"/>
  <c r="S17" i="109"/>
  <c r="I179" i="140"/>
  <c r="N179" i="140" s="1"/>
  <c r="I218" i="140"/>
  <c r="N218" i="140" s="1"/>
  <c r="I205" i="140"/>
  <c r="N205" i="140" s="1"/>
  <c r="I79" i="134"/>
  <c r="K1623" i="132" s="1"/>
  <c r="M1623" i="132" s="1"/>
  <c r="I55" i="134"/>
  <c r="K1581" i="132" s="1"/>
  <c r="M1581" i="132" s="1"/>
  <c r="J161" i="140" l="1"/>
  <c r="L161" i="140" s="1"/>
  <c r="F39" i="205"/>
  <c r="H39" i="205" s="1"/>
  <c r="E31" i="203"/>
  <c r="J31" i="203"/>
  <c r="F47" i="205"/>
  <c r="H47" i="205" s="1"/>
  <c r="E39" i="203"/>
  <c r="J39" i="203"/>
  <c r="F44" i="205"/>
  <c r="H44" i="205" s="1"/>
  <c r="E36" i="203"/>
  <c r="J36" i="203"/>
  <c r="J179" i="140"/>
  <c r="J205" i="140"/>
  <c r="J218" i="140"/>
  <c r="J226" i="140"/>
  <c r="I221" i="140"/>
  <c r="N221" i="140" s="1"/>
  <c r="I208" i="140"/>
  <c r="N208" i="140" s="1"/>
  <c r="G147" i="133"/>
  <c r="G148" i="133" s="1"/>
  <c r="K1538" i="132" s="1"/>
  <c r="M1538" i="132" s="1"/>
  <c r="G144" i="133"/>
  <c r="G145" i="133" s="1"/>
  <c r="K1535" i="132" s="1"/>
  <c r="M1535" i="132" s="1"/>
  <c r="G141" i="133"/>
  <c r="G142" i="133" s="1"/>
  <c r="K1529" i="132" s="1"/>
  <c r="M1529" i="132" s="1"/>
  <c r="G138" i="133"/>
  <c r="G139" i="133" s="1"/>
  <c r="K1526" i="132" s="1"/>
  <c r="M1526" i="132" s="1"/>
  <c r="G135" i="133"/>
  <c r="G136" i="133" s="1"/>
  <c r="K1523" i="132" s="1"/>
  <c r="M1523" i="132" s="1"/>
  <c r="G132" i="133"/>
  <c r="G133" i="133" s="1"/>
  <c r="K1532" i="132" s="1"/>
  <c r="M1532" i="132" s="1"/>
  <c r="G126" i="133"/>
  <c r="G127" i="133" s="1"/>
  <c r="K1514" i="132" s="1"/>
  <c r="M1514" i="132" s="1"/>
  <c r="G120" i="133"/>
  <c r="G121" i="133" s="1"/>
  <c r="G117" i="133"/>
  <c r="K1510" i="132" s="1"/>
  <c r="M1510" i="132" s="1"/>
  <c r="G115" i="133"/>
  <c r="K1509" i="132" s="1"/>
  <c r="M1509" i="132" s="1"/>
  <c r="G113" i="133"/>
  <c r="K1508" i="132" s="1"/>
  <c r="M1508" i="132" s="1"/>
  <c r="K161" i="140" l="1"/>
  <c r="U161" i="140"/>
  <c r="L218" i="140"/>
  <c r="K218" i="140"/>
  <c r="U36" i="203"/>
  <c r="F39" i="203"/>
  <c r="L39" i="203" s="1"/>
  <c r="N39" i="203"/>
  <c r="U31" i="203"/>
  <c r="L226" i="140"/>
  <c r="K226" i="140"/>
  <c r="K205" i="140"/>
  <c r="L205" i="140"/>
  <c r="F36" i="203"/>
  <c r="L36" i="203" s="1"/>
  <c r="N36" i="203"/>
  <c r="U39" i="203"/>
  <c r="N31" i="203"/>
  <c r="F31" i="203"/>
  <c r="K31" i="203" s="1"/>
  <c r="K179" i="140"/>
  <c r="L179" i="140"/>
  <c r="U218" i="140"/>
  <c r="U179" i="140"/>
  <c r="U205" i="140"/>
  <c r="U226" i="140"/>
  <c r="I187" i="140"/>
  <c r="N187" i="140" s="1"/>
  <c r="I189" i="140"/>
  <c r="N189" i="140" s="1"/>
  <c r="I193" i="140"/>
  <c r="N193" i="140" s="1"/>
  <c r="I195" i="140"/>
  <c r="N195" i="140" s="1"/>
  <c r="I198" i="140"/>
  <c r="N198" i="140" s="1"/>
  <c r="I188" i="140"/>
  <c r="N188" i="140" s="1"/>
  <c r="I191" i="140"/>
  <c r="N191" i="140" s="1"/>
  <c r="I196" i="140"/>
  <c r="N196" i="140" s="1"/>
  <c r="I194" i="140"/>
  <c r="N194" i="140" s="1"/>
  <c r="I197" i="140"/>
  <c r="N197" i="140" s="1"/>
  <c r="I192" i="140"/>
  <c r="N192" i="140" s="1"/>
  <c r="J221" i="140"/>
  <c r="I225" i="140"/>
  <c r="N225" i="140" s="1"/>
  <c r="J208" i="140"/>
  <c r="K39" i="203" l="1"/>
  <c r="L31" i="203"/>
  <c r="K36" i="203"/>
  <c r="K221" i="140"/>
  <c r="L221" i="140"/>
  <c r="L208" i="140"/>
  <c r="K208" i="140"/>
  <c r="U208" i="140"/>
  <c r="U221" i="140"/>
  <c r="G198" i="140"/>
  <c r="X198" i="140" s="1"/>
  <c r="G197" i="140"/>
  <c r="G196" i="140"/>
  <c r="X196" i="140" s="1"/>
  <c r="G195" i="140"/>
  <c r="G194" i="140"/>
  <c r="X194" i="140" s="1"/>
  <c r="G193" i="140"/>
  <c r="G192" i="140"/>
  <c r="X192" i="140" s="1"/>
  <c r="J225" i="140"/>
  <c r="K225" i="140" l="1"/>
  <c r="L225" i="140"/>
  <c r="J194" i="140"/>
  <c r="U225" i="140"/>
  <c r="J192" i="140"/>
  <c r="J196" i="140"/>
  <c r="J198" i="140"/>
  <c r="J193" i="140"/>
  <c r="X193" i="140"/>
  <c r="J195" i="140"/>
  <c r="X195" i="140"/>
  <c r="J197" i="140"/>
  <c r="X197" i="140"/>
  <c r="G191" i="140"/>
  <c r="C6" i="109"/>
  <c r="F6" i="109" s="1"/>
  <c r="G12" i="140"/>
  <c r="X12" i="140" s="1"/>
  <c r="C32" i="109"/>
  <c r="G41" i="140"/>
  <c r="X41" i="140" s="1"/>
  <c r="C43" i="210"/>
  <c r="F43" i="210" s="1"/>
  <c r="S43" i="210" l="1"/>
  <c r="S46" i="210" s="1"/>
  <c r="S47" i="210" s="1"/>
  <c r="M43" i="210"/>
  <c r="M46" i="210" s="1"/>
  <c r="M48" i="210" s="1"/>
  <c r="H49" i="210" s="1"/>
  <c r="K197" i="140"/>
  <c r="L197" i="140"/>
  <c r="K198" i="140"/>
  <c r="L198" i="140"/>
  <c r="L192" i="140"/>
  <c r="K192" i="140"/>
  <c r="L194" i="140"/>
  <c r="K194" i="140"/>
  <c r="K195" i="140"/>
  <c r="L195" i="140"/>
  <c r="K193" i="140"/>
  <c r="L193" i="140"/>
  <c r="K196" i="140"/>
  <c r="L196" i="140"/>
  <c r="U194" i="140"/>
  <c r="U198" i="140"/>
  <c r="U192" i="140"/>
  <c r="U197" i="140"/>
  <c r="U195" i="140"/>
  <c r="U196" i="140"/>
  <c r="J191" i="140"/>
  <c r="X191" i="140"/>
  <c r="U193" i="140"/>
  <c r="F32" i="109"/>
  <c r="N32" i="109" s="1"/>
  <c r="G188" i="140"/>
  <c r="G189" i="140"/>
  <c r="K191" i="140" l="1"/>
  <c r="L191" i="140"/>
  <c r="U149" i="140"/>
  <c r="J189" i="140"/>
  <c r="X189" i="140"/>
  <c r="J188" i="140"/>
  <c r="X188" i="140"/>
  <c r="U191" i="140"/>
  <c r="S32" i="109"/>
  <c r="C37" i="109"/>
  <c r="F37" i="109" s="1"/>
  <c r="S37" i="109" s="1"/>
  <c r="G45" i="140"/>
  <c r="X45" i="140" s="1"/>
  <c r="C43" i="109"/>
  <c r="F43" i="109" s="1"/>
  <c r="S43" i="109" s="1"/>
  <c r="G51" i="140"/>
  <c r="X51" i="140" s="1"/>
  <c r="L189" i="140" l="1"/>
  <c r="K189" i="140"/>
  <c r="L188" i="140"/>
  <c r="K188" i="140"/>
  <c r="U188" i="140"/>
  <c r="U189" i="140"/>
  <c r="C36" i="109"/>
  <c r="F36" i="109" s="1"/>
  <c r="S36" i="109" s="1"/>
  <c r="G44" i="140"/>
  <c r="X44" i="140" s="1"/>
  <c r="U157" i="140" l="1"/>
  <c r="G35" i="140"/>
  <c r="X35" i="140" s="1"/>
  <c r="C26" i="109"/>
  <c r="F26" i="109" s="1"/>
  <c r="G201" i="140"/>
  <c r="X201" i="140" s="1"/>
  <c r="C20" i="109"/>
  <c r="F20" i="109" s="1"/>
  <c r="G27" i="140"/>
  <c r="X27" i="140" s="1"/>
  <c r="C30" i="109"/>
  <c r="F30" i="109" s="1"/>
  <c r="N30" i="109" s="1"/>
  <c r="G39" i="140"/>
  <c r="X39" i="140" s="1"/>
  <c r="C31" i="109"/>
  <c r="F31" i="109" s="1"/>
  <c r="N31" i="109" s="1"/>
  <c r="G40" i="140"/>
  <c r="X40" i="140" s="1"/>
  <c r="F25" i="109"/>
  <c r="C34" i="109"/>
  <c r="F34" i="109" s="1"/>
  <c r="S34" i="109" s="1"/>
  <c r="G43" i="140"/>
  <c r="X43" i="140" s="1"/>
  <c r="L20" i="109" l="1"/>
  <c r="I20" i="109"/>
  <c r="S31" i="109"/>
  <c r="S30" i="109"/>
  <c r="Q26" i="109"/>
  <c r="S26" i="109"/>
  <c r="S20" i="109"/>
  <c r="Q25" i="109"/>
  <c r="S25" i="109"/>
  <c r="Q46" i="109" l="1"/>
  <c r="Q48" i="109" l="1"/>
  <c r="J70" i="140"/>
  <c r="G174" i="140"/>
  <c r="X174" i="140" s="1"/>
  <c r="J164" i="140"/>
  <c r="K70" i="140" l="1"/>
  <c r="L70" i="140"/>
  <c r="L164" i="140"/>
  <c r="K164" i="140"/>
  <c r="U164" i="140"/>
  <c r="U70" i="140"/>
  <c r="U254" i="140"/>
  <c r="U253" i="140"/>
  <c r="G184" i="140" l="1"/>
  <c r="X184" i="140" s="1"/>
  <c r="G187" i="140"/>
  <c r="X187" i="140" s="1"/>
  <c r="G222" i="140"/>
  <c r="X222" i="140" s="1"/>
  <c r="I82" i="134"/>
  <c r="K1631" i="132" s="1"/>
  <c r="M1631" i="132" s="1"/>
  <c r="I65" i="134"/>
  <c r="K1611" i="132" s="1"/>
  <c r="M1611" i="132" s="1"/>
  <c r="I62" i="134"/>
  <c r="K1588" i="132" s="1"/>
  <c r="M1588" i="132" s="1"/>
  <c r="I41" i="134"/>
  <c r="K1562" i="132" s="1"/>
  <c r="M1562" i="132" s="1"/>
  <c r="G210" i="140"/>
  <c r="X210" i="140" s="1"/>
  <c r="G173" i="140" l="1"/>
  <c r="X173" i="140" s="1"/>
  <c r="G190" i="140"/>
  <c r="X190" i="140" s="1"/>
  <c r="K1639" i="132"/>
  <c r="G241" i="140"/>
  <c r="X241" i="140" s="1"/>
  <c r="I210" i="140"/>
  <c r="N210" i="140" s="1"/>
  <c r="I222" i="140"/>
  <c r="N222" i="140" s="1"/>
  <c r="I204" i="140"/>
  <c r="N204" i="140" s="1"/>
  <c r="I217" i="140"/>
  <c r="N217" i="140" s="1"/>
  <c r="G214" i="140"/>
  <c r="X214" i="140" s="1"/>
  <c r="G212" i="140"/>
  <c r="X212" i="140" s="1"/>
  <c r="G217" i="140"/>
  <c r="X217" i="140" s="1"/>
  <c r="G50" i="140"/>
  <c r="X50" i="140" s="1"/>
  <c r="C42" i="109"/>
  <c r="F42" i="109" s="1"/>
  <c r="S42" i="109" s="1"/>
  <c r="G234" i="140"/>
  <c r="X234" i="140" s="1"/>
  <c r="G227" i="140"/>
  <c r="X227" i="140" s="1"/>
  <c r="G203" i="140"/>
  <c r="X203" i="140" s="1"/>
  <c r="M1639" i="132" l="1"/>
  <c r="I37" i="203"/>
  <c r="G178" i="140"/>
  <c r="X178" i="140" s="1"/>
  <c r="I117" i="134"/>
  <c r="K1596" i="132" s="1"/>
  <c r="G175" i="140"/>
  <c r="X175" i="140" s="1"/>
  <c r="X171" i="140"/>
  <c r="J210" i="140"/>
  <c r="J222" i="140"/>
  <c r="J217" i="140"/>
  <c r="G215" i="140"/>
  <c r="X215" i="140" s="1"/>
  <c r="G202" i="140"/>
  <c r="X202" i="140" s="1"/>
  <c r="G204" i="140"/>
  <c r="M1596" i="132" l="1"/>
  <c r="I33" i="203"/>
  <c r="F45" i="205"/>
  <c r="H45" i="205" s="1"/>
  <c r="E37" i="203"/>
  <c r="J37" i="203"/>
  <c r="L222" i="140"/>
  <c r="K222" i="140"/>
  <c r="K217" i="140"/>
  <c r="L217" i="140"/>
  <c r="L210" i="140"/>
  <c r="K210" i="140"/>
  <c r="I223" i="140"/>
  <c r="N223" i="140" s="1"/>
  <c r="U217" i="140"/>
  <c r="U222" i="140"/>
  <c r="U210" i="140"/>
  <c r="J204" i="140"/>
  <c r="X204" i="140"/>
  <c r="G176" i="140"/>
  <c r="X176" i="140" s="1"/>
  <c r="I212" i="140"/>
  <c r="N212" i="140" s="1"/>
  <c r="U37" i="203" l="1"/>
  <c r="N37" i="203"/>
  <c r="F37" i="203"/>
  <c r="K37" i="203" s="1"/>
  <c r="F41" i="205"/>
  <c r="H41" i="205" s="1"/>
  <c r="E33" i="203"/>
  <c r="J33" i="203"/>
  <c r="L204" i="140"/>
  <c r="K204" i="140"/>
  <c r="U204" i="140"/>
  <c r="X165" i="140"/>
  <c r="J223" i="140"/>
  <c r="J212" i="140"/>
  <c r="K223" i="140" l="1"/>
  <c r="L223" i="140"/>
  <c r="F33" i="203"/>
  <c r="K33" i="203" s="1"/>
  <c r="N33" i="203"/>
  <c r="L212" i="140"/>
  <c r="K212" i="140"/>
  <c r="U33" i="203"/>
  <c r="L37" i="203"/>
  <c r="U212" i="140"/>
  <c r="U223" i="140"/>
  <c r="X166" i="140"/>
  <c r="L33" i="203" l="1"/>
  <c r="G170" i="140"/>
  <c r="I217" i="134"/>
  <c r="I218" i="134" s="1"/>
  <c r="I38" i="134"/>
  <c r="K1558" i="132" s="1"/>
  <c r="M1558" i="132" s="1"/>
  <c r="G107" i="133"/>
  <c r="G106" i="133"/>
  <c r="G105" i="133"/>
  <c r="G104" i="133"/>
  <c r="G103" i="133"/>
  <c r="G102" i="133"/>
  <c r="G97" i="133"/>
  <c r="G99" i="133" s="1"/>
  <c r="G93" i="133"/>
  <c r="G95" i="133" s="1"/>
  <c r="K1453" i="132" s="1"/>
  <c r="G85" i="133"/>
  <c r="G87" i="133" s="1"/>
  <c r="K1435" i="132" s="1"/>
  <c r="M1435" i="132" s="1"/>
  <c r="G82" i="133"/>
  <c r="G84" i="133" s="1"/>
  <c r="K1439" i="132" s="1"/>
  <c r="G79" i="133"/>
  <c r="G81" i="133" s="1"/>
  <c r="K1445" i="132" s="1"/>
  <c r="M1445" i="132" s="1"/>
  <c r="G76" i="133"/>
  <c r="G78" i="133" s="1"/>
  <c r="G71" i="133"/>
  <c r="G70" i="133"/>
  <c r="G66" i="133"/>
  <c r="G68" i="133" s="1"/>
  <c r="K1461" i="132" s="1"/>
  <c r="G62" i="133"/>
  <c r="G64" i="133" s="1"/>
  <c r="K1457" i="132" s="1"/>
  <c r="F26" i="212" s="1"/>
  <c r="H26" i="212" s="1"/>
  <c r="G54" i="133"/>
  <c r="G56" i="133" s="1"/>
  <c r="K1483" i="132" s="1"/>
  <c r="G49" i="133"/>
  <c r="G51" i="133" s="1"/>
  <c r="G52" i="133" s="1"/>
  <c r="K1478" i="132" s="1"/>
  <c r="G43" i="133"/>
  <c r="G45" i="133" s="1"/>
  <c r="G46" i="133" s="1"/>
  <c r="K1474" i="132" s="1"/>
  <c r="M1474" i="132" s="1"/>
  <c r="G37" i="133"/>
  <c r="G39" i="133" s="1"/>
  <c r="G40" i="133" s="1"/>
  <c r="K1470" i="132" s="1"/>
  <c r="G32" i="133"/>
  <c r="G34" i="133" s="1"/>
  <c r="G27" i="133"/>
  <c r="G26" i="133"/>
  <c r="G21" i="133"/>
  <c r="G20" i="133"/>
  <c r="G19" i="133"/>
  <c r="G18" i="133"/>
  <c r="G7" i="133"/>
  <c r="G6" i="133"/>
  <c r="G5" i="133"/>
  <c r="M1461" i="132" l="1"/>
  <c r="F27" i="212"/>
  <c r="H27" i="212" s="1"/>
  <c r="I219" i="134"/>
  <c r="K1654" i="132" s="1"/>
  <c r="M1483" i="132"/>
  <c r="I27" i="203"/>
  <c r="M1470" i="132"/>
  <c r="I25" i="203"/>
  <c r="M1478" i="132"/>
  <c r="I26" i="203"/>
  <c r="M1457" i="132"/>
  <c r="I24" i="203"/>
  <c r="M1439" i="132"/>
  <c r="I22" i="203"/>
  <c r="M1453" i="132"/>
  <c r="I23" i="203"/>
  <c r="I167" i="140"/>
  <c r="N167" i="140" s="1"/>
  <c r="I171" i="140"/>
  <c r="N171" i="140" s="1"/>
  <c r="K1650" i="132"/>
  <c r="I181" i="140"/>
  <c r="N181" i="140" s="1"/>
  <c r="X170" i="140"/>
  <c r="I154" i="134"/>
  <c r="I103" i="134"/>
  <c r="K1592" i="132" s="1"/>
  <c r="I17" i="134"/>
  <c r="K1544" i="132" s="1"/>
  <c r="M1544" i="132" s="1"/>
  <c r="K1689" i="132"/>
  <c r="F32" i="212" s="1"/>
  <c r="H32" i="212" s="1"/>
  <c r="I183" i="134"/>
  <c r="I184" i="134" s="1"/>
  <c r="K1604" i="132" s="1"/>
  <c r="H296" i="134"/>
  <c r="I296" i="134" s="1"/>
  <c r="I203" i="140"/>
  <c r="N203" i="140" s="1"/>
  <c r="G22" i="133"/>
  <c r="G24" i="133" s="1"/>
  <c r="K1499" i="132" s="1"/>
  <c r="F29" i="212" s="1"/>
  <c r="H29" i="212" s="1"/>
  <c r="G28" i="133"/>
  <c r="G30" i="133" s="1"/>
  <c r="G72" i="133"/>
  <c r="G74" i="133" s="1"/>
  <c r="K1506" i="132" s="1"/>
  <c r="M1506" i="132" s="1"/>
  <c r="I176" i="140"/>
  <c r="N176" i="140" s="1"/>
  <c r="I190" i="140"/>
  <c r="N190" i="140" s="1"/>
  <c r="G108" i="133"/>
  <c r="G110" i="133" s="1"/>
  <c r="G111" i="133" s="1"/>
  <c r="G8" i="133"/>
  <c r="G10" i="133" s="1"/>
  <c r="K1487" i="132" s="1"/>
  <c r="F28" i="212" s="1"/>
  <c r="H28" i="212" s="1"/>
  <c r="M1499" i="132" l="1"/>
  <c r="I29" i="203"/>
  <c r="M1604" i="132"/>
  <c r="I35" i="203"/>
  <c r="M1654" i="132"/>
  <c r="I41" i="203"/>
  <c r="M1592" i="132"/>
  <c r="I32" i="203"/>
  <c r="M1650" i="132"/>
  <c r="I40" i="203"/>
  <c r="M1487" i="132"/>
  <c r="I28" i="203"/>
  <c r="M1689" i="132"/>
  <c r="I43" i="203"/>
  <c r="F31" i="205"/>
  <c r="H31" i="205" s="1"/>
  <c r="E23" i="203"/>
  <c r="J23" i="203"/>
  <c r="F30" i="205"/>
  <c r="H30" i="205" s="1"/>
  <c r="E22" i="203"/>
  <c r="J22" i="203"/>
  <c r="F32" i="205"/>
  <c r="H32" i="205" s="1"/>
  <c r="E24" i="203"/>
  <c r="J24" i="203"/>
  <c r="F34" i="205"/>
  <c r="H34" i="205" s="1"/>
  <c r="E26" i="203"/>
  <c r="J26" i="203"/>
  <c r="F33" i="205"/>
  <c r="H33" i="205" s="1"/>
  <c r="E25" i="203"/>
  <c r="J25" i="203"/>
  <c r="F35" i="205"/>
  <c r="H35" i="205" s="1"/>
  <c r="E27" i="203"/>
  <c r="J27" i="203"/>
  <c r="I174" i="134"/>
  <c r="K1600" i="132" s="1"/>
  <c r="K1707" i="132"/>
  <c r="M1707" i="132" s="1"/>
  <c r="J167" i="140"/>
  <c r="J171" i="140"/>
  <c r="I201" i="140"/>
  <c r="N201" i="140" s="1"/>
  <c r="I173" i="140"/>
  <c r="N173" i="140" s="1"/>
  <c r="I172" i="140"/>
  <c r="N172" i="140" s="1"/>
  <c r="I165" i="140"/>
  <c r="N165" i="140" s="1"/>
  <c r="I166" i="140"/>
  <c r="N166" i="140" s="1"/>
  <c r="I170" i="140"/>
  <c r="N170" i="140" s="1"/>
  <c r="J181" i="140"/>
  <c r="I227" i="140"/>
  <c r="N227" i="140" s="1"/>
  <c r="I184" i="140"/>
  <c r="N184" i="140" s="1"/>
  <c r="I180" i="140"/>
  <c r="N180" i="140" s="1"/>
  <c r="I215" i="140"/>
  <c r="N215" i="140" s="1"/>
  <c r="J203" i="140"/>
  <c r="I178" i="140"/>
  <c r="N178" i="140" s="1"/>
  <c r="J190" i="140"/>
  <c r="J176" i="140"/>
  <c r="I175" i="140"/>
  <c r="N175" i="140" s="1"/>
  <c r="J187" i="140"/>
  <c r="I174" i="140"/>
  <c r="N174" i="140" s="1"/>
  <c r="L176" i="140" l="1"/>
  <c r="K176" i="140"/>
  <c r="M1600" i="132"/>
  <c r="I34" i="203"/>
  <c r="N27" i="203"/>
  <c r="F27" i="203"/>
  <c r="K27" i="203" s="1"/>
  <c r="U25" i="203"/>
  <c r="N26" i="203"/>
  <c r="F26" i="203"/>
  <c r="L26" i="203" s="1"/>
  <c r="U24" i="203"/>
  <c r="N22" i="203"/>
  <c r="F22" i="203"/>
  <c r="K22" i="203" s="1"/>
  <c r="U23" i="203"/>
  <c r="K171" i="140"/>
  <c r="L171" i="140"/>
  <c r="U27" i="203"/>
  <c r="N25" i="203"/>
  <c r="F25" i="203"/>
  <c r="K25" i="203" s="1"/>
  <c r="U26" i="203"/>
  <c r="N24" i="203"/>
  <c r="F24" i="203"/>
  <c r="L24" i="203" s="1"/>
  <c r="U22" i="203"/>
  <c r="N23" i="203"/>
  <c r="F23" i="203"/>
  <c r="K23" i="203" s="1"/>
  <c r="F51" i="205"/>
  <c r="H51" i="205" s="1"/>
  <c r="E43" i="203"/>
  <c r="J43" i="203"/>
  <c r="F36" i="205"/>
  <c r="H36" i="205" s="1"/>
  <c r="E28" i="203"/>
  <c r="J28" i="203"/>
  <c r="E40" i="203"/>
  <c r="F48" i="205"/>
  <c r="H48" i="205" s="1"/>
  <c r="J40" i="203"/>
  <c r="E32" i="203"/>
  <c r="F40" i="205"/>
  <c r="H40" i="205" s="1"/>
  <c r="J32" i="203"/>
  <c r="F49" i="205"/>
  <c r="H49" i="205" s="1"/>
  <c r="E41" i="203"/>
  <c r="J41" i="203"/>
  <c r="E35" i="203"/>
  <c r="F43" i="205"/>
  <c r="H43" i="205" s="1"/>
  <c r="J35" i="203"/>
  <c r="F37" i="205"/>
  <c r="H37" i="205" s="1"/>
  <c r="E29" i="203"/>
  <c r="J29" i="203"/>
  <c r="L190" i="140"/>
  <c r="K190" i="140"/>
  <c r="L187" i="140"/>
  <c r="K187" i="140"/>
  <c r="K203" i="140"/>
  <c r="L203" i="140"/>
  <c r="K181" i="140"/>
  <c r="L181" i="140"/>
  <c r="K167" i="140"/>
  <c r="L167" i="140"/>
  <c r="J170" i="140"/>
  <c r="J165" i="140"/>
  <c r="I214" i="140"/>
  <c r="N214" i="140" s="1"/>
  <c r="U171" i="140"/>
  <c r="U167" i="140"/>
  <c r="J166" i="140"/>
  <c r="J201" i="140"/>
  <c r="I228" i="140"/>
  <c r="N228" i="140" s="1"/>
  <c r="I211" i="140"/>
  <c r="N211" i="140" s="1"/>
  <c r="J172" i="140"/>
  <c r="U176" i="140"/>
  <c r="U187" i="140"/>
  <c r="U190" i="140"/>
  <c r="U203" i="140"/>
  <c r="J227" i="140"/>
  <c r="J184" i="140"/>
  <c r="J180" i="140"/>
  <c r="I234" i="140"/>
  <c r="N234" i="140" s="1"/>
  <c r="I241" i="140"/>
  <c r="N241" i="140" s="1"/>
  <c r="J215" i="140"/>
  <c r="J174" i="140"/>
  <c r="J173" i="140"/>
  <c r="J175" i="140"/>
  <c r="J178" i="140"/>
  <c r="G586" i="107"/>
  <c r="K26" i="203" l="1"/>
  <c r="L27" i="203"/>
  <c r="L22" i="203"/>
  <c r="K175" i="140"/>
  <c r="L175" i="140"/>
  <c r="L178" i="140"/>
  <c r="K178" i="140"/>
  <c r="K173" i="140"/>
  <c r="L173" i="140"/>
  <c r="K215" i="140"/>
  <c r="L215" i="140"/>
  <c r="U166" i="140"/>
  <c r="L166" i="140"/>
  <c r="K166" i="140"/>
  <c r="U29" i="203"/>
  <c r="U41" i="203"/>
  <c r="U40" i="203"/>
  <c r="N40" i="203"/>
  <c r="F40" i="203"/>
  <c r="L40" i="203" s="1"/>
  <c r="N28" i="203"/>
  <c r="F28" i="203"/>
  <c r="K28" i="203" s="1"/>
  <c r="U43" i="203"/>
  <c r="L23" i="203"/>
  <c r="K24" i="203"/>
  <c r="L180" i="140"/>
  <c r="K180" i="140"/>
  <c r="K227" i="140"/>
  <c r="L227" i="140"/>
  <c r="U170" i="140"/>
  <c r="L170" i="140"/>
  <c r="K170" i="140"/>
  <c r="N29" i="203"/>
  <c r="F29" i="203"/>
  <c r="K29" i="203" s="1"/>
  <c r="U35" i="203"/>
  <c r="N35" i="203"/>
  <c r="F35" i="203"/>
  <c r="L35" i="203" s="1"/>
  <c r="N41" i="203"/>
  <c r="F41" i="203"/>
  <c r="K41" i="203" s="1"/>
  <c r="U32" i="203"/>
  <c r="N32" i="203"/>
  <c r="F32" i="203"/>
  <c r="L32" i="203" s="1"/>
  <c r="U28" i="203"/>
  <c r="F43" i="203"/>
  <c r="K43" i="203" s="1"/>
  <c r="N43" i="203"/>
  <c r="F42" i="205"/>
  <c r="H42" i="205" s="1"/>
  <c r="E34" i="203"/>
  <c r="J34" i="203"/>
  <c r="L25" i="203"/>
  <c r="L184" i="140"/>
  <c r="K184" i="140"/>
  <c r="K201" i="140"/>
  <c r="L201" i="140"/>
  <c r="L174" i="140"/>
  <c r="K174" i="140"/>
  <c r="L172" i="140"/>
  <c r="K172" i="140"/>
  <c r="K165" i="140"/>
  <c r="L165" i="140"/>
  <c r="U165" i="140"/>
  <c r="J214" i="140"/>
  <c r="U201" i="140"/>
  <c r="J228" i="140"/>
  <c r="K586" i="107"/>
  <c r="U172" i="140"/>
  <c r="U174" i="140"/>
  <c r="U178" i="140"/>
  <c r="U173" i="140"/>
  <c r="U180" i="140"/>
  <c r="U175" i="140"/>
  <c r="U184" i="140"/>
  <c r="U227" i="140"/>
  <c r="U215" i="140"/>
  <c r="J229" i="140"/>
  <c r="J234" i="140"/>
  <c r="J241" i="140"/>
  <c r="J211" i="140"/>
  <c r="L28" i="203" l="1"/>
  <c r="K35" i="203"/>
  <c r="L234" i="140"/>
  <c r="K234" i="140"/>
  <c r="L228" i="140"/>
  <c r="K228" i="140"/>
  <c r="U34" i="203"/>
  <c r="K32" i="203"/>
  <c r="L43" i="203"/>
  <c r="K40" i="203"/>
  <c r="L41" i="203"/>
  <c r="L29" i="203"/>
  <c r="K211" i="140"/>
  <c r="L211" i="140"/>
  <c r="U214" i="140"/>
  <c r="L214" i="140"/>
  <c r="K214" i="140"/>
  <c r="F34" i="203"/>
  <c r="K34" i="203" s="1"/>
  <c r="N34" i="203"/>
  <c r="K241" i="140"/>
  <c r="L241" i="140"/>
  <c r="K229" i="140"/>
  <c r="L229" i="140"/>
  <c r="U228" i="140"/>
  <c r="U241" i="140"/>
  <c r="U234" i="140"/>
  <c r="U229" i="140"/>
  <c r="U211" i="140"/>
  <c r="L34" i="203" l="1"/>
  <c r="F317" i="107"/>
  <c r="G317" i="107" s="1"/>
  <c r="F316" i="107"/>
  <c r="G316" i="107" s="1"/>
  <c r="G102" i="107" l="1"/>
  <c r="G104" i="107" s="1"/>
  <c r="G103" i="107"/>
  <c r="G105" i="107" l="1"/>
  <c r="G106" i="107" s="1"/>
  <c r="G107" i="107" s="1"/>
  <c r="G66" i="107"/>
  <c r="K91" i="132" l="1"/>
  <c r="I15" i="140" s="1"/>
  <c r="N15" i="140" s="1"/>
  <c r="K12" i="132"/>
  <c r="I8" i="140" s="1"/>
  <c r="N8" i="140" s="1"/>
  <c r="N34" i="109" l="1"/>
  <c r="G15" i="140"/>
  <c r="J15" i="140" l="1"/>
  <c r="X15" i="140"/>
  <c r="C13" i="109"/>
  <c r="F13" i="109" s="1"/>
  <c r="G19" i="140"/>
  <c r="X19" i="140" s="1"/>
  <c r="F15" i="109"/>
  <c r="G22" i="140"/>
  <c r="X22" i="140" s="1"/>
  <c r="F16" i="109"/>
  <c r="G21" i="140"/>
  <c r="X21" i="140" s="1"/>
  <c r="C14" i="109"/>
  <c r="F14" i="109" s="1"/>
  <c r="G20" i="140"/>
  <c r="X20" i="140" s="1"/>
  <c r="C35" i="109"/>
  <c r="F35" i="109" s="1"/>
  <c r="G31" i="140"/>
  <c r="X31" i="140" s="1"/>
  <c r="C9" i="109"/>
  <c r="G11" i="140"/>
  <c r="X11" i="140" s="1"/>
  <c r="M91" i="132"/>
  <c r="L14" i="109" l="1"/>
  <c r="I14" i="109"/>
  <c r="L16" i="109"/>
  <c r="I16" i="109"/>
  <c r="L13" i="109"/>
  <c r="I13" i="109"/>
  <c r="L15" i="109"/>
  <c r="I15" i="109"/>
  <c r="L15" i="140"/>
  <c r="K15" i="140"/>
  <c r="S16" i="109"/>
  <c r="S35" i="109"/>
  <c r="I35" i="109"/>
  <c r="L35" i="109"/>
  <c r="U15" i="140"/>
  <c r="S14" i="109"/>
  <c r="S15" i="109"/>
  <c r="S13" i="109"/>
  <c r="F9" i="109"/>
  <c r="L9" i="109" s="1"/>
  <c r="C12" i="109"/>
  <c r="F12" i="109" s="1"/>
  <c r="G18" i="140"/>
  <c r="X18" i="140" s="1"/>
  <c r="C11" i="109"/>
  <c r="F11" i="109" s="1"/>
  <c r="G17" i="140"/>
  <c r="X17" i="140" s="1"/>
  <c r="L11" i="109" l="1"/>
  <c r="I11" i="109"/>
  <c r="L12" i="109"/>
  <c r="I12" i="109"/>
  <c r="S11" i="109"/>
  <c r="S12" i="109"/>
  <c r="H9" i="109"/>
  <c r="S9" i="109"/>
  <c r="G9" i="140"/>
  <c r="X9" i="140" s="1"/>
  <c r="C8" i="109"/>
  <c r="F8" i="109" s="1"/>
  <c r="G10" i="140"/>
  <c r="X10" i="140" s="1"/>
  <c r="C10" i="109"/>
  <c r="F10" i="109" s="1"/>
  <c r="G16" i="140"/>
  <c r="X16" i="140" s="1"/>
  <c r="L10" i="109" l="1"/>
  <c r="I10" i="109"/>
  <c r="S8" i="109"/>
  <c r="L8" i="109"/>
  <c r="S10" i="109"/>
  <c r="M12" i="132" l="1"/>
  <c r="G8" i="140"/>
  <c r="J8" i="140" s="1"/>
  <c r="U8" i="140" s="1"/>
  <c r="X8" i="140" l="1"/>
  <c r="L8" i="140"/>
  <c r="K8" i="140"/>
  <c r="K48" i="109" l="1"/>
  <c r="J48" i="109"/>
  <c r="F4" i="109"/>
  <c r="R4" i="109" s="1"/>
  <c r="R46" i="109" s="1"/>
  <c r="R48" i="109" s="1"/>
  <c r="G463" i="107"/>
  <c r="E7" i="107"/>
  <c r="G9" i="107"/>
  <c r="E12" i="107"/>
  <c r="G14" i="107"/>
  <c r="E17" i="107"/>
  <c r="E22" i="107"/>
  <c r="G24" i="107"/>
  <c r="E27" i="107"/>
  <c r="G29" i="107"/>
  <c r="G77" i="107"/>
  <c r="G461" i="107"/>
  <c r="G118" i="107"/>
  <c r="G479" i="107"/>
  <c r="G132" i="107"/>
  <c r="G142" i="107"/>
  <c r="G143" i="107"/>
  <c r="G146" i="107"/>
  <c r="G179" i="107"/>
  <c r="K179" i="107" s="1"/>
  <c r="F187" i="107"/>
  <c r="G187" i="107"/>
  <c r="F194" i="107"/>
  <c r="G194" i="107"/>
  <c r="G208" i="107"/>
  <c r="K208" i="107" s="1"/>
  <c r="F216" i="107"/>
  <c r="G216" i="107"/>
  <c r="F224" i="107"/>
  <c r="G224" i="107"/>
  <c r="F232" i="107"/>
  <c r="G232" i="107"/>
  <c r="F240" i="107"/>
  <c r="G240" i="107"/>
  <c r="F248" i="107"/>
  <c r="G248" i="107"/>
  <c r="G326" i="107"/>
  <c r="G328" i="107"/>
  <c r="G353" i="107"/>
  <c r="G354" i="107"/>
  <c r="G355" i="107"/>
  <c r="G445" i="107"/>
  <c r="K445" i="107" s="1"/>
  <c r="G496" i="107"/>
  <c r="K496" i="107" s="1"/>
  <c r="G500" i="107"/>
  <c r="G513" i="107"/>
  <c r="G622" i="107"/>
  <c r="G626" i="107"/>
  <c r="K626" i="107" s="1"/>
  <c r="G731" i="107"/>
  <c r="G740" i="107"/>
  <c r="G752" i="107"/>
  <c r="G756" i="107"/>
  <c r="G760" i="107"/>
  <c r="G771" i="107"/>
  <c r="G774" i="107"/>
  <c r="G779" i="107"/>
  <c r="G789" i="107"/>
  <c r="G793" i="107"/>
  <c r="G796" i="107"/>
  <c r="G853" i="107"/>
  <c r="G938" i="107"/>
  <c r="G89" i="107"/>
  <c r="G356" i="107" l="1"/>
  <c r="G357" i="107" s="1"/>
  <c r="M33" i="132"/>
  <c r="G738" i="107"/>
  <c r="K328" i="107"/>
  <c r="F487" i="107"/>
  <c r="G487" i="107"/>
  <c r="G329" i="107"/>
  <c r="K329" i="107" s="1"/>
  <c r="G19" i="107"/>
  <c r="G868" i="107"/>
  <c r="F500" i="107"/>
  <c r="G426" i="107"/>
  <c r="G777" i="107"/>
  <c r="G444" i="107"/>
  <c r="G739" i="107"/>
  <c r="G177" i="107"/>
  <c r="G141" i="107"/>
  <c r="G178" i="107"/>
  <c r="K178" i="107" s="1"/>
  <c r="G462" i="107"/>
  <c r="F469" i="107" s="1"/>
  <c r="G312" i="107"/>
  <c r="G113" i="107"/>
  <c r="G624" i="107"/>
  <c r="K624" i="107" s="1"/>
  <c r="G795" i="107"/>
  <c r="G311" i="107"/>
  <c r="G778" i="107"/>
  <c r="G182" i="107"/>
  <c r="G512" i="107"/>
  <c r="G625" i="107"/>
  <c r="K625" i="107" s="1"/>
  <c r="G759" i="107"/>
  <c r="G495" i="107"/>
  <c r="K495" i="107" s="1"/>
  <c r="G183" i="107"/>
  <c r="G511" i="107"/>
  <c r="G117" i="107"/>
  <c r="G425" i="107"/>
  <c r="G758" i="107"/>
  <c r="G494" i="107"/>
  <c r="G307" i="107"/>
  <c r="G528" i="107"/>
  <c r="G545" i="107"/>
  <c r="G530" i="107"/>
  <c r="K530" i="107" s="1"/>
  <c r="G87" i="107"/>
  <c r="G91" i="107" s="1"/>
  <c r="G145" i="107"/>
  <c r="G427" i="107"/>
  <c r="G852" i="107"/>
  <c r="G858" i="107" s="1"/>
  <c r="G210" i="107"/>
  <c r="G310" i="107"/>
  <c r="G147" i="107"/>
  <c r="G127" i="107"/>
  <c r="G443" i="107"/>
  <c r="G181" i="107"/>
  <c r="G115" i="107"/>
  <c r="G131" i="107"/>
  <c r="O5" i="109"/>
  <c r="P6" i="109"/>
  <c r="M26" i="109"/>
  <c r="G792" i="107"/>
  <c r="G791" i="107"/>
  <c r="G772" i="107"/>
  <c r="G754" i="107"/>
  <c r="G439" i="107"/>
  <c r="G175" i="107"/>
  <c r="G139" i="107"/>
  <c r="G124" i="107"/>
  <c r="G12" i="107"/>
  <c r="G773" i="107"/>
  <c r="G755" i="107"/>
  <c r="G734" i="107"/>
  <c r="G733" i="107"/>
  <c r="G732" i="107"/>
  <c r="G325" i="107"/>
  <c r="G110" i="107"/>
  <c r="G79" i="107"/>
  <c r="G22" i="107"/>
  <c r="G17" i="107"/>
  <c r="G7" i="107"/>
  <c r="G457" i="107"/>
  <c r="G80" i="107" l="1"/>
  <c r="I9" i="140"/>
  <c r="N9" i="140" s="1"/>
  <c r="K1403" i="132"/>
  <c r="G330" i="107"/>
  <c r="E332" i="107" s="1"/>
  <c r="E334" i="107" s="1"/>
  <c r="F745" i="107"/>
  <c r="F800" i="107"/>
  <c r="G800" i="107"/>
  <c r="K545" i="107"/>
  <c r="K528" i="107"/>
  <c r="F519" i="107"/>
  <c r="G519" i="107"/>
  <c r="K494" i="107"/>
  <c r="K497" i="107" s="1"/>
  <c r="F502" i="107"/>
  <c r="G502" i="107"/>
  <c r="G451" i="107"/>
  <c r="K443" i="107"/>
  <c r="F451" i="107"/>
  <c r="K444" i="107"/>
  <c r="K330" i="107"/>
  <c r="K307" i="107"/>
  <c r="F433" i="107"/>
  <c r="G433" i="107"/>
  <c r="F333" i="107"/>
  <c r="K177" i="107"/>
  <c r="K184" i="107" s="1"/>
  <c r="G189" i="107"/>
  <c r="F196" i="107"/>
  <c r="F189" i="107"/>
  <c r="G196" i="107"/>
  <c r="G333" i="107"/>
  <c r="G469" i="107"/>
  <c r="F935" i="107"/>
  <c r="G935" i="107" s="1"/>
  <c r="G943" i="107" s="1"/>
  <c r="K933" i="107"/>
  <c r="K943" i="107" s="1"/>
  <c r="K944" i="107" s="1"/>
  <c r="K627" i="107"/>
  <c r="F630" i="107"/>
  <c r="G630" i="107"/>
  <c r="F783" i="107"/>
  <c r="K62" i="132"/>
  <c r="G529" i="107"/>
  <c r="K529" i="107" s="1"/>
  <c r="P46" i="109"/>
  <c r="O46" i="109"/>
  <c r="F873" i="107"/>
  <c r="G873" i="107" s="1"/>
  <c r="F869" i="107"/>
  <c r="G869" i="107" s="1"/>
  <c r="G870" i="107" s="1"/>
  <c r="E872" i="107" s="1"/>
  <c r="F854" i="107"/>
  <c r="G854" i="107" s="1"/>
  <c r="G855" i="107" s="1"/>
  <c r="E857" i="107" s="1"/>
  <c r="F858" i="107"/>
  <c r="G783" i="107"/>
  <c r="G745" i="107"/>
  <c r="G206" i="107"/>
  <c r="F764" i="107"/>
  <c r="G212" i="107"/>
  <c r="G547" i="107"/>
  <c r="K547" i="107" s="1"/>
  <c r="G207" i="107"/>
  <c r="K207" i="107" s="1"/>
  <c r="G211" i="107"/>
  <c r="G764" i="107"/>
  <c r="G111" i="107"/>
  <c r="G125" i="107"/>
  <c r="F33" i="107"/>
  <c r="F35" i="107"/>
  <c r="F32" i="107"/>
  <c r="F34" i="107"/>
  <c r="G680" i="107"/>
  <c r="K680" i="107" s="1"/>
  <c r="G660" i="107"/>
  <c r="K660" i="107" s="1"/>
  <c r="G679" i="107"/>
  <c r="K679" i="107" s="1"/>
  <c r="G659" i="107"/>
  <c r="K659" i="107" s="1"/>
  <c r="G678" i="107"/>
  <c r="G658" i="107"/>
  <c r="G95" i="107"/>
  <c r="G421" i="107"/>
  <c r="G580" i="107"/>
  <c r="F583" i="107"/>
  <c r="G583" i="107" s="1"/>
  <c r="G27" i="107"/>
  <c r="G588" i="107"/>
  <c r="K588" i="107" s="1"/>
  <c r="G204" i="107"/>
  <c r="F305" i="107"/>
  <c r="G305" i="107" s="1"/>
  <c r="G129" i="107"/>
  <c r="M42" i="109"/>
  <c r="M37" i="109"/>
  <c r="M43" i="109"/>
  <c r="M36" i="109"/>
  <c r="H8" i="109"/>
  <c r="H46" i="109" s="1"/>
  <c r="M25" i="109"/>
  <c r="G81" i="107" l="1"/>
  <c r="G82" i="107" s="1"/>
  <c r="G83" i="107" s="1"/>
  <c r="K81" i="132" s="1"/>
  <c r="I14" i="140" s="1"/>
  <c r="N14" i="140" s="1"/>
  <c r="E335" i="107"/>
  <c r="K522" i="132" s="1"/>
  <c r="I68" i="140" s="1"/>
  <c r="N68" i="140" s="1"/>
  <c r="J9" i="140"/>
  <c r="L9" i="140" s="1"/>
  <c r="M1403" i="132"/>
  <c r="I21" i="203"/>
  <c r="F332" i="107"/>
  <c r="F334" i="107" s="1"/>
  <c r="I159" i="140"/>
  <c r="N159" i="140" s="1"/>
  <c r="O48" i="109"/>
  <c r="K531" i="107"/>
  <c r="K678" i="107"/>
  <c r="K682" i="107" s="1"/>
  <c r="G685" i="107"/>
  <c r="F685" i="107"/>
  <c r="K658" i="107"/>
  <c r="K662" i="107" s="1"/>
  <c r="F665" i="107"/>
  <c r="G665" i="107"/>
  <c r="G536" i="107"/>
  <c r="F536" i="107"/>
  <c r="K446" i="107"/>
  <c r="K206" i="107"/>
  <c r="K213" i="107" s="1"/>
  <c r="G267" i="107"/>
  <c r="G258" i="107"/>
  <c r="G250" i="107"/>
  <c r="G242" i="107"/>
  <c r="G234" i="107"/>
  <c r="G218" i="107"/>
  <c r="F267" i="107"/>
  <c r="F258" i="107"/>
  <c r="F250" i="107"/>
  <c r="F242" i="107"/>
  <c r="F234" i="107"/>
  <c r="F226" i="107"/>
  <c r="F218" i="107"/>
  <c r="G226" i="107"/>
  <c r="P48" i="109"/>
  <c r="U156" i="140"/>
  <c r="G99" i="107"/>
  <c r="G944" i="107"/>
  <c r="M46" i="109"/>
  <c r="E874" i="107"/>
  <c r="E875" i="107" s="1"/>
  <c r="F872" i="107"/>
  <c r="E859" i="107"/>
  <c r="E860" i="107" s="1"/>
  <c r="F857" i="107"/>
  <c r="F36" i="107"/>
  <c r="F834" i="107" s="1"/>
  <c r="G834" i="107" s="1"/>
  <c r="G841" i="107" s="1"/>
  <c r="I202" i="140"/>
  <c r="N202" i="140" s="1"/>
  <c r="F672" i="107"/>
  <c r="G672" i="107" s="1"/>
  <c r="G714" i="107"/>
  <c r="G699" i="107"/>
  <c r="G673" i="107"/>
  <c r="G735" i="107"/>
  <c r="G459" i="107"/>
  <c r="G736" i="107"/>
  <c r="G23" i="107"/>
  <c r="G25" i="107" s="1"/>
  <c r="G753" i="107"/>
  <c r="G761" i="107" s="1"/>
  <c r="E763" i="107" s="1"/>
  <c r="E765" i="107" s="1"/>
  <c r="G790" i="107"/>
  <c r="G797" i="107" s="1"/>
  <c r="E799" i="107" s="1"/>
  <c r="E801" i="107" s="1"/>
  <c r="E802" i="107" s="1"/>
  <c r="G28" i="107"/>
  <c r="G30" i="107" s="1"/>
  <c r="G441" i="107"/>
  <c r="G775" i="107"/>
  <c r="G780" i="107" s="1"/>
  <c r="G782" i="107" s="1"/>
  <c r="G784" i="107" s="1"/>
  <c r="G785" i="107" s="1"/>
  <c r="G126" i="107"/>
  <c r="G133" i="107" s="1"/>
  <c r="G138" i="107"/>
  <c r="G174" i="107"/>
  <c r="G112" i="107"/>
  <c r="G119" i="107" s="1"/>
  <c r="G18" i="107"/>
  <c r="G20" i="107" s="1"/>
  <c r="F526" i="107" s="1"/>
  <c r="G526" i="107" s="1"/>
  <c r="G531" i="107" s="1"/>
  <c r="G13" i="107"/>
  <c r="G15" i="107" s="1"/>
  <c r="G8" i="107"/>
  <c r="G10" i="107" s="1"/>
  <c r="G654" i="107"/>
  <c r="F675" i="107"/>
  <c r="G675" i="107" s="1"/>
  <c r="G653" i="107"/>
  <c r="F674" i="107"/>
  <c r="G655" i="107"/>
  <c r="M62" i="132"/>
  <c r="I12" i="140"/>
  <c r="N12" i="140" s="1"/>
  <c r="G587" i="107"/>
  <c r="H48" i="109"/>
  <c r="S46" i="109"/>
  <c r="G120" i="107" l="1"/>
  <c r="G121" i="107" s="1"/>
  <c r="K45" i="132" s="1"/>
  <c r="F17" i="212" s="1"/>
  <c r="H17" i="212" s="1"/>
  <c r="G843" i="107"/>
  <c r="G845" i="107" s="1"/>
  <c r="G846" i="107" s="1"/>
  <c r="F843" i="107"/>
  <c r="F845" i="107" s="1"/>
  <c r="F846" i="107" s="1"/>
  <c r="E843" i="107"/>
  <c r="E845" i="107" s="1"/>
  <c r="E846" i="107" s="1"/>
  <c r="K403" i="132" s="1"/>
  <c r="M403" i="132" s="1"/>
  <c r="E766" i="107"/>
  <c r="E767" i="107" s="1"/>
  <c r="K346" i="132" s="1"/>
  <c r="M346" i="132" s="1"/>
  <c r="G332" i="107"/>
  <c r="G334" i="107" s="1"/>
  <c r="F335" i="107"/>
  <c r="K9" i="140"/>
  <c r="U9" i="140"/>
  <c r="M81" i="132"/>
  <c r="K56" i="132"/>
  <c r="M56" i="132" s="1"/>
  <c r="K1201" i="132"/>
  <c r="M1201" i="132" s="1"/>
  <c r="K438" i="132"/>
  <c r="M438" i="132" s="1"/>
  <c r="K448" i="132"/>
  <c r="K72" i="132"/>
  <c r="I13" i="140" s="1"/>
  <c r="N13" i="140" s="1"/>
  <c r="F29" i="205"/>
  <c r="H29" i="205" s="1"/>
  <c r="E21" i="203"/>
  <c r="J21" i="203"/>
  <c r="J159" i="140"/>
  <c r="F543" i="107"/>
  <c r="G543" i="107" s="1"/>
  <c r="F602" i="107"/>
  <c r="G602" i="107" s="1"/>
  <c r="G610" i="107" s="1"/>
  <c r="G594" i="107"/>
  <c r="F594" i="107"/>
  <c r="M522" i="132"/>
  <c r="G273" i="107"/>
  <c r="F476" i="107"/>
  <c r="G476" i="107" s="1"/>
  <c r="G482" i="107" s="1"/>
  <c r="F637" i="107"/>
  <c r="G637" i="107" s="1"/>
  <c r="G643" i="107" s="1"/>
  <c r="K587" i="107"/>
  <c r="K589" i="107" s="1"/>
  <c r="F173" i="107"/>
  <c r="F741" i="107"/>
  <c r="G741" i="107" s="1"/>
  <c r="G742" i="107" s="1"/>
  <c r="G744" i="107" s="1"/>
  <c r="G746" i="107" s="1"/>
  <c r="K392" i="132"/>
  <c r="F21" i="212" s="1"/>
  <c r="H21" i="212" s="1"/>
  <c r="N46" i="109"/>
  <c r="K495" i="132"/>
  <c r="F23" i="212" s="1"/>
  <c r="H23" i="212" s="1"/>
  <c r="S47" i="109"/>
  <c r="J68" i="140"/>
  <c r="F874" i="107"/>
  <c r="F875" i="107" s="1"/>
  <c r="G872" i="107"/>
  <c r="G874" i="107" s="1"/>
  <c r="G875" i="107" s="1"/>
  <c r="F859" i="107"/>
  <c r="F860" i="107" s="1"/>
  <c r="G857" i="107"/>
  <c r="G859" i="107" s="1"/>
  <c r="G860" i="107" s="1"/>
  <c r="G202" i="107"/>
  <c r="E782" i="107"/>
  <c r="E784" i="107" s="1"/>
  <c r="E785" i="107" s="1"/>
  <c r="F492" i="107"/>
  <c r="G492" i="107" s="1"/>
  <c r="G497" i="107" s="1"/>
  <c r="G499" i="107" s="1"/>
  <c r="G503" i="107" s="1"/>
  <c r="F509" i="107"/>
  <c r="G509" i="107" s="1"/>
  <c r="G514" i="107" s="1"/>
  <c r="E516" i="107" s="1"/>
  <c r="J202" i="140"/>
  <c r="J14" i="140"/>
  <c r="F763" i="107"/>
  <c r="F765" i="107" s="1"/>
  <c r="F621" i="107"/>
  <c r="G621" i="107" s="1"/>
  <c r="G627" i="107" s="1"/>
  <c r="F799" i="107"/>
  <c r="F801" i="107" s="1"/>
  <c r="F802" i="107" s="1"/>
  <c r="G799" i="107"/>
  <c r="G801" i="107" s="1"/>
  <c r="G802" i="107" s="1"/>
  <c r="G763" i="107"/>
  <c r="G765" i="107" s="1"/>
  <c r="F782" i="107"/>
  <c r="F784" i="107" s="1"/>
  <c r="F785" i="107" s="1"/>
  <c r="F304" i="107"/>
  <c r="G304" i="107" s="1"/>
  <c r="G203" i="107"/>
  <c r="G656" i="107"/>
  <c r="G581" i="107"/>
  <c r="F584" i="107"/>
  <c r="G584" i="107" s="1"/>
  <c r="G423" i="107"/>
  <c r="G674" i="107"/>
  <c r="F696" i="107"/>
  <c r="J12" i="140"/>
  <c r="J145" i="140"/>
  <c r="J59" i="140"/>
  <c r="G308" i="107"/>
  <c r="I46" i="109"/>
  <c r="E533" i="107"/>
  <c r="G533" i="107"/>
  <c r="F533" i="107"/>
  <c r="I136" i="140" l="1"/>
  <c r="N136" i="140" s="1"/>
  <c r="M448" i="132"/>
  <c r="F22" i="212"/>
  <c r="H22" i="212" s="1"/>
  <c r="G766" i="107"/>
  <c r="G767" i="107" s="1"/>
  <c r="K1142" i="132" s="1"/>
  <c r="M1142" i="132" s="1"/>
  <c r="F766" i="107"/>
  <c r="F767" i="107" s="1"/>
  <c r="K763" i="132" s="1"/>
  <c r="G747" i="107"/>
  <c r="G748" i="107" s="1"/>
  <c r="K1133" i="132" s="1"/>
  <c r="M1133" i="132" s="1"/>
  <c r="G538" i="107"/>
  <c r="G539" i="107" s="1"/>
  <c r="K1101" i="132" s="1"/>
  <c r="M1101" i="132" s="1"/>
  <c r="F538" i="107"/>
  <c r="F539" i="107" s="1"/>
  <c r="K701" i="132" s="1"/>
  <c r="M701" i="132" s="1"/>
  <c r="E538" i="107"/>
  <c r="E539" i="107" s="1"/>
  <c r="K277" i="132" s="1"/>
  <c r="I41" i="140" s="1"/>
  <c r="N41" i="140" s="1"/>
  <c r="E521" i="107"/>
  <c r="E522" i="107" s="1"/>
  <c r="K272" i="132" s="1"/>
  <c r="G504" i="107"/>
  <c r="G505" i="107" s="1"/>
  <c r="K1055" i="132" s="1"/>
  <c r="M1055" i="132" s="1"/>
  <c r="G335" i="107"/>
  <c r="K1295" i="132" s="1"/>
  <c r="I56" i="140"/>
  <c r="N56" i="140" s="1"/>
  <c r="M72" i="132"/>
  <c r="I11" i="140"/>
  <c r="N11" i="140" s="1"/>
  <c r="I45" i="140"/>
  <c r="N45" i="140" s="1"/>
  <c r="I57" i="140"/>
  <c r="N57" i="140" s="1"/>
  <c r="K806" i="132"/>
  <c r="K1207" i="132"/>
  <c r="M1207" i="132" s="1"/>
  <c r="K386" i="132"/>
  <c r="K1250" i="132"/>
  <c r="M1250" i="132" s="1"/>
  <c r="K1266" i="132"/>
  <c r="M1266" i="132" s="1"/>
  <c r="L159" i="140"/>
  <c r="K159" i="140"/>
  <c r="K812" i="132"/>
  <c r="K855" i="132"/>
  <c r="M855" i="132" s="1"/>
  <c r="K877" i="132"/>
  <c r="I103" i="140" s="1"/>
  <c r="N103" i="140" s="1"/>
  <c r="K927" i="132"/>
  <c r="M927" i="132" s="1"/>
  <c r="U21" i="203"/>
  <c r="N21" i="203"/>
  <c r="F21" i="203"/>
  <c r="K21" i="203" s="1"/>
  <c r="L202" i="140"/>
  <c r="K202" i="140"/>
  <c r="K145" i="140"/>
  <c r="L145" i="140"/>
  <c r="K12" i="140"/>
  <c r="L12" i="140"/>
  <c r="K14" i="140"/>
  <c r="L14" i="140"/>
  <c r="L59" i="140"/>
  <c r="K59" i="140"/>
  <c r="K68" i="140"/>
  <c r="L68" i="140"/>
  <c r="I51" i="140"/>
  <c r="N51" i="140" s="1"/>
  <c r="J136" i="140"/>
  <c r="E612" i="107"/>
  <c r="E616" i="107" s="1"/>
  <c r="E617" i="107" s="1"/>
  <c r="F612" i="107"/>
  <c r="F616" i="107" s="1"/>
  <c r="F617" i="107" s="1"/>
  <c r="G318" i="107"/>
  <c r="F318" i="107"/>
  <c r="G137" i="107"/>
  <c r="G148" i="107" s="1"/>
  <c r="F150" i="107" s="1"/>
  <c r="G150" i="107" s="1"/>
  <c r="G153" i="107" s="1"/>
  <c r="G154" i="107" s="1"/>
  <c r="G484" i="107"/>
  <c r="G488" i="107" s="1"/>
  <c r="E484" i="107"/>
  <c r="E488" i="107" s="1"/>
  <c r="F484" i="107"/>
  <c r="F488" i="107" s="1"/>
  <c r="F645" i="107"/>
  <c r="F647" i="107" s="1"/>
  <c r="F648" i="107" s="1"/>
  <c r="G645" i="107"/>
  <c r="G647" i="107" s="1"/>
  <c r="G648" i="107" s="1"/>
  <c r="E645" i="107"/>
  <c r="E647" i="107" s="1"/>
  <c r="E648" i="107" s="1"/>
  <c r="K308" i="107"/>
  <c r="K313" i="107" s="1"/>
  <c r="F629" i="107"/>
  <c r="E629" i="107"/>
  <c r="G173" i="107"/>
  <c r="G184" i="107" s="1"/>
  <c r="F193" i="107" s="1"/>
  <c r="F197" i="107" s="1"/>
  <c r="J13" i="140"/>
  <c r="U145" i="140"/>
  <c r="U12" i="140"/>
  <c r="U14" i="140"/>
  <c r="U202" i="140"/>
  <c r="U59" i="140"/>
  <c r="U160" i="140"/>
  <c r="U68" i="140"/>
  <c r="U159" i="140"/>
  <c r="G213" i="107"/>
  <c r="E254" i="107" s="1"/>
  <c r="G303" i="107"/>
  <c r="G313" i="107" s="1"/>
  <c r="M392" i="132"/>
  <c r="F697" i="107"/>
  <c r="F698" i="107" s="1"/>
  <c r="G698" i="107" s="1"/>
  <c r="F715" i="107"/>
  <c r="M495" i="132"/>
  <c r="I62" i="140"/>
  <c r="N62" i="140" s="1"/>
  <c r="L46" i="109"/>
  <c r="E499" i="107"/>
  <c r="E503" i="107" s="1"/>
  <c r="F499" i="107"/>
  <c r="F503" i="107" s="1"/>
  <c r="F661" i="107"/>
  <c r="G661" i="107" s="1"/>
  <c r="K661" i="107" s="1"/>
  <c r="F681" i="107"/>
  <c r="G681" i="107" s="1"/>
  <c r="K681" i="107" s="1"/>
  <c r="G516" i="107"/>
  <c r="F516" i="107"/>
  <c r="I48" i="109"/>
  <c r="I10" i="140"/>
  <c r="N10" i="140" s="1"/>
  <c r="G696" i="107"/>
  <c r="M45" i="132"/>
  <c r="G629" i="107"/>
  <c r="G589" i="107"/>
  <c r="F591" i="107" s="1"/>
  <c r="E744" i="107"/>
  <c r="E746" i="107" s="1"/>
  <c r="F744" i="107"/>
  <c r="F746" i="107" s="1"/>
  <c r="G546" i="107"/>
  <c r="J58" i="140"/>
  <c r="E631" i="107" l="1"/>
  <c r="E632" i="107" s="1"/>
  <c r="E633" i="107" s="1"/>
  <c r="K169" i="132" s="1"/>
  <c r="G631" i="107"/>
  <c r="G632" i="107" s="1"/>
  <c r="G633" i="107" s="1"/>
  <c r="K997" i="132" s="1"/>
  <c r="M997" i="132" s="1"/>
  <c r="F631" i="107"/>
  <c r="F632" i="107" s="1"/>
  <c r="F633" i="107" s="1"/>
  <c r="K588" i="132" s="1"/>
  <c r="I80" i="140" s="1"/>
  <c r="N80" i="140" s="1"/>
  <c r="F595" i="107"/>
  <c r="F596" i="107" s="1"/>
  <c r="F597" i="107" s="1"/>
  <c r="M386" i="132"/>
  <c r="F20" i="212"/>
  <c r="H20" i="212" s="1"/>
  <c r="J56" i="140"/>
  <c r="L56" i="140" s="1"/>
  <c r="I139" i="140"/>
  <c r="N139" i="140" s="1"/>
  <c r="I140" i="140"/>
  <c r="N140" i="140" s="1"/>
  <c r="F747" i="107"/>
  <c r="F748" i="107" s="1"/>
  <c r="K748" i="132" s="1"/>
  <c r="E747" i="107"/>
  <c r="E748" i="107" s="1"/>
  <c r="K333" i="132" s="1"/>
  <c r="G521" i="107"/>
  <c r="G522" i="107" s="1"/>
  <c r="K1096" i="132" s="1"/>
  <c r="M1096" i="132" s="1"/>
  <c r="F521" i="107"/>
  <c r="F522" i="107" s="1"/>
  <c r="K693" i="132" s="1"/>
  <c r="M693" i="132" s="1"/>
  <c r="F504" i="107"/>
  <c r="F505" i="107" s="1"/>
  <c r="K683" i="132" s="1"/>
  <c r="M683" i="132" s="1"/>
  <c r="E504" i="107"/>
  <c r="E505" i="107" s="1"/>
  <c r="K256" i="132" s="1"/>
  <c r="F18" i="212" s="1"/>
  <c r="H18" i="212" s="1"/>
  <c r="M1295" i="132"/>
  <c r="I143" i="140"/>
  <c r="N143" i="140" s="1"/>
  <c r="F198" i="107"/>
  <c r="K578" i="132" s="1"/>
  <c r="M578" i="132" s="1"/>
  <c r="G155" i="107"/>
  <c r="K96" i="132" s="1"/>
  <c r="M96" i="132" s="1"/>
  <c r="M277" i="132"/>
  <c r="J11" i="140"/>
  <c r="L11" i="140" s="1"/>
  <c r="J57" i="140"/>
  <c r="K57" i="140" s="1"/>
  <c r="I131" i="140"/>
  <c r="N131" i="140" s="1"/>
  <c r="I130" i="140"/>
  <c r="N130" i="140" s="1"/>
  <c r="I102" i="140"/>
  <c r="N102" i="140" s="1"/>
  <c r="I50" i="140"/>
  <c r="N50" i="140" s="1"/>
  <c r="J45" i="140"/>
  <c r="L45" i="140" s="1"/>
  <c r="I124" i="140"/>
  <c r="N124" i="140" s="1"/>
  <c r="I89" i="140"/>
  <c r="N89" i="140" s="1"/>
  <c r="I107" i="140"/>
  <c r="N107" i="140" s="1"/>
  <c r="I137" i="140"/>
  <c r="N137" i="140" s="1"/>
  <c r="I126" i="140"/>
  <c r="N126" i="140" s="1"/>
  <c r="L21" i="203"/>
  <c r="K1003" i="132"/>
  <c r="M1003" i="132" s="1"/>
  <c r="K669" i="132"/>
  <c r="M669" i="132" s="1"/>
  <c r="K1045" i="132"/>
  <c r="M1045" i="132" s="1"/>
  <c r="K675" i="132"/>
  <c r="M675" i="132" s="1"/>
  <c r="M877" i="132"/>
  <c r="I14" i="203"/>
  <c r="M812" i="132"/>
  <c r="I13" i="203"/>
  <c r="M763" i="132"/>
  <c r="I11" i="203"/>
  <c r="M806" i="132"/>
  <c r="I12" i="203"/>
  <c r="K175" i="132"/>
  <c r="I30" i="140" s="1"/>
  <c r="N30" i="140" s="1"/>
  <c r="K594" i="132"/>
  <c r="M594" i="132" s="1"/>
  <c r="K234" i="132"/>
  <c r="M234" i="132" s="1"/>
  <c r="K239" i="132"/>
  <c r="I38" i="140" s="1"/>
  <c r="N38" i="140" s="1"/>
  <c r="L136" i="140"/>
  <c r="K136" i="140"/>
  <c r="K58" i="140"/>
  <c r="L58" i="140"/>
  <c r="L13" i="140"/>
  <c r="K13" i="140"/>
  <c r="E186" i="107"/>
  <c r="E190" i="107" s="1"/>
  <c r="J51" i="140"/>
  <c r="I94" i="140"/>
  <c r="N94" i="140" s="1"/>
  <c r="I99" i="140"/>
  <c r="N99" i="140" s="1"/>
  <c r="I100" i="140"/>
  <c r="N100" i="140" s="1"/>
  <c r="U136" i="140"/>
  <c r="G193" i="107"/>
  <c r="G197" i="107" s="1"/>
  <c r="F157" i="107"/>
  <c r="G157" i="107" s="1"/>
  <c r="F164" i="107"/>
  <c r="G164" i="107" s="1"/>
  <c r="G167" i="107" s="1"/>
  <c r="G168" i="107" s="1"/>
  <c r="E193" i="107"/>
  <c r="E197" i="107" s="1"/>
  <c r="G186" i="107"/>
  <c r="G190" i="107" s="1"/>
  <c r="F186" i="107"/>
  <c r="F190" i="107" s="1"/>
  <c r="G697" i="107"/>
  <c r="G704" i="107" s="1"/>
  <c r="K546" i="107"/>
  <c r="K548" i="107" s="1"/>
  <c r="F553" i="107"/>
  <c r="G553" i="107"/>
  <c r="U13" i="140"/>
  <c r="U58" i="140"/>
  <c r="G278" i="107"/>
  <c r="H49" i="109"/>
  <c r="G715" i="107"/>
  <c r="F716" i="107"/>
  <c r="G716" i="107" s="1"/>
  <c r="J62" i="140"/>
  <c r="J103" i="140"/>
  <c r="G591" i="107"/>
  <c r="G682" i="107"/>
  <c r="E684" i="107" s="1"/>
  <c r="G662" i="107"/>
  <c r="E263" i="107"/>
  <c r="E264" i="107" s="1"/>
  <c r="E268" i="107" s="1"/>
  <c r="F254" i="107"/>
  <c r="E255" i="107"/>
  <c r="J10" i="140"/>
  <c r="E591" i="107"/>
  <c r="E230" i="107"/>
  <c r="E231" i="107" s="1"/>
  <c r="E235" i="107" s="1"/>
  <c r="G238" i="107"/>
  <c r="G239" i="107" s="1"/>
  <c r="F230" i="107"/>
  <c r="F231" i="107" s="1"/>
  <c r="F235" i="107" s="1"/>
  <c r="F222" i="107"/>
  <c r="F223" i="107" s="1"/>
  <c r="G222" i="107"/>
  <c r="G223" i="107" s="1"/>
  <c r="E215" i="107"/>
  <c r="E219" i="107" s="1"/>
  <c r="F238" i="107"/>
  <c r="F239" i="107" s="1"/>
  <c r="F246" i="107"/>
  <c r="F247" i="107" s="1"/>
  <c r="E222" i="107"/>
  <c r="E223" i="107" s="1"/>
  <c r="G230" i="107"/>
  <c r="G231" i="107" s="1"/>
  <c r="G235" i="107" s="1"/>
  <c r="G215" i="107"/>
  <c r="G219" i="107" s="1"/>
  <c r="G246" i="107"/>
  <c r="G247" i="107" s="1"/>
  <c r="F215" i="107"/>
  <c r="F219" i="107" s="1"/>
  <c r="E238" i="107"/>
  <c r="E239" i="107" s="1"/>
  <c r="E246" i="107"/>
  <c r="E247" i="107" s="1"/>
  <c r="G548" i="107"/>
  <c r="M272" i="132"/>
  <c r="I40" i="140"/>
  <c r="N40" i="140" s="1"/>
  <c r="J41" i="140"/>
  <c r="E315" i="107"/>
  <c r="F315" i="107"/>
  <c r="G595" i="107" l="1"/>
  <c r="G596" i="107" s="1"/>
  <c r="G597" i="107" s="1"/>
  <c r="E595" i="107"/>
  <c r="E596" i="107" s="1"/>
  <c r="E597" i="107" s="1"/>
  <c r="K307" i="132" s="1"/>
  <c r="M307" i="132" s="1"/>
  <c r="K56" i="140"/>
  <c r="I44" i="140"/>
  <c r="N44" i="140" s="1"/>
  <c r="F19" i="212"/>
  <c r="H19" i="212" s="1"/>
  <c r="H93" i="212" s="1"/>
  <c r="H95" i="212" s="1"/>
  <c r="I95" i="212" s="1"/>
  <c r="J139" i="140"/>
  <c r="K139" i="140" s="1"/>
  <c r="J89" i="140"/>
  <c r="K89" i="140" s="1"/>
  <c r="J140" i="140"/>
  <c r="L140" i="140" s="1"/>
  <c r="J102" i="140"/>
  <c r="K102" i="140" s="1"/>
  <c r="J143" i="140"/>
  <c r="L143" i="140" s="1"/>
  <c r="E687" i="107"/>
  <c r="E688" i="107" s="1"/>
  <c r="K360" i="132" s="1"/>
  <c r="E664" i="107"/>
  <c r="U56" i="140"/>
  <c r="F319" i="107"/>
  <c r="F320" i="107" s="1"/>
  <c r="E319" i="107"/>
  <c r="E320" i="107" s="1"/>
  <c r="K324" i="132" s="1"/>
  <c r="M324" i="132" s="1"/>
  <c r="E269" i="107"/>
  <c r="K165" i="132" s="1"/>
  <c r="E260" i="107"/>
  <c r="E252" i="107"/>
  <c r="G252" i="107"/>
  <c r="F252" i="107"/>
  <c r="F244" i="107"/>
  <c r="K542" i="132" s="1"/>
  <c r="M542" i="132" s="1"/>
  <c r="E244" i="107"/>
  <c r="K127" i="132" s="1"/>
  <c r="G244" i="107"/>
  <c r="K947" i="132" s="1"/>
  <c r="M947" i="132" s="1"/>
  <c r="F236" i="107"/>
  <c r="K546" i="132" s="1"/>
  <c r="M546" i="132" s="1"/>
  <c r="E236" i="107"/>
  <c r="K131" i="132" s="1"/>
  <c r="G236" i="107"/>
  <c r="K952" i="132" s="1"/>
  <c r="M952" i="132" s="1"/>
  <c r="E228" i="107"/>
  <c r="K136" i="132" s="1"/>
  <c r="I24" i="140" s="1"/>
  <c r="N24" i="140" s="1"/>
  <c r="G228" i="107"/>
  <c r="K957" i="132" s="1"/>
  <c r="M957" i="132" s="1"/>
  <c r="F228" i="107"/>
  <c r="K551" i="132" s="1"/>
  <c r="M551" i="132" s="1"/>
  <c r="F220" i="107"/>
  <c r="K534" i="132" s="1"/>
  <c r="M534" i="132" s="1"/>
  <c r="G220" i="107"/>
  <c r="K939" i="132" s="1"/>
  <c r="M939" i="132" s="1"/>
  <c r="E220" i="107"/>
  <c r="K121" i="132" s="1"/>
  <c r="E198" i="107"/>
  <c r="K160" i="132" s="1"/>
  <c r="G198" i="107"/>
  <c r="K987" i="132" s="1"/>
  <c r="M987" i="132" s="1"/>
  <c r="F191" i="107"/>
  <c r="K528" i="132" s="1"/>
  <c r="M528" i="132" s="1"/>
  <c r="E191" i="107"/>
  <c r="K106" i="132" s="1"/>
  <c r="G191" i="107"/>
  <c r="K933" i="132" s="1"/>
  <c r="M933" i="132" s="1"/>
  <c r="G169" i="107"/>
  <c r="K113" i="132" s="1"/>
  <c r="I19" i="140" s="1"/>
  <c r="N19" i="140" s="1"/>
  <c r="G160" i="107"/>
  <c r="G161" i="107" s="1"/>
  <c r="G162" i="107" s="1"/>
  <c r="K100" i="132" s="1"/>
  <c r="I17" i="140" s="1"/>
  <c r="N17" i="140" s="1"/>
  <c r="U11" i="140"/>
  <c r="J131" i="140"/>
  <c r="L131" i="140" s="1"/>
  <c r="K11" i="140"/>
  <c r="L57" i="140"/>
  <c r="U57" i="140"/>
  <c r="J130" i="140"/>
  <c r="L130" i="140" s="1"/>
  <c r="I125" i="140"/>
  <c r="N125" i="140" s="1"/>
  <c r="I87" i="140"/>
  <c r="N87" i="140" s="1"/>
  <c r="J50" i="140"/>
  <c r="K50" i="140" s="1"/>
  <c r="J124" i="140"/>
  <c r="L124" i="140" s="1"/>
  <c r="I16" i="140"/>
  <c r="N16" i="140" s="1"/>
  <c r="J107" i="140"/>
  <c r="L107" i="140" s="1"/>
  <c r="M1714" i="132"/>
  <c r="J252" i="140" s="1"/>
  <c r="I81" i="140"/>
  <c r="N81" i="140" s="1"/>
  <c r="M333" i="132"/>
  <c r="M239" i="132"/>
  <c r="M175" i="132"/>
  <c r="J137" i="140"/>
  <c r="K137" i="140" s="1"/>
  <c r="I86" i="140"/>
  <c r="N86" i="140" s="1"/>
  <c r="K45" i="140"/>
  <c r="U45" i="140"/>
  <c r="J100" i="140"/>
  <c r="L100" i="140" s="1"/>
  <c r="I37" i="140"/>
  <c r="N37" i="140" s="1"/>
  <c r="I85" i="140"/>
  <c r="N85" i="140" s="1"/>
  <c r="I88" i="140"/>
  <c r="N88" i="140" s="1"/>
  <c r="J126" i="140"/>
  <c r="L126" i="140" s="1"/>
  <c r="I123" i="140"/>
  <c r="N123" i="140" s="1"/>
  <c r="I119" i="140"/>
  <c r="N119" i="140" s="1"/>
  <c r="I118" i="140"/>
  <c r="N118" i="140" s="1"/>
  <c r="K734" i="132"/>
  <c r="M734" i="132" s="1"/>
  <c r="M588" i="132"/>
  <c r="I8" i="203"/>
  <c r="M748" i="132"/>
  <c r="I10" i="203"/>
  <c r="L103" i="140"/>
  <c r="K103" i="140"/>
  <c r="F20" i="205"/>
  <c r="H20" i="205" s="1"/>
  <c r="J12" i="203"/>
  <c r="E12" i="203"/>
  <c r="F19" i="205"/>
  <c r="H19" i="205" s="1"/>
  <c r="E11" i="203"/>
  <c r="J11" i="203"/>
  <c r="F21" i="205"/>
  <c r="H21" i="205" s="1"/>
  <c r="J13" i="203"/>
  <c r="E13" i="203"/>
  <c r="F22" i="205"/>
  <c r="H22" i="205" s="1"/>
  <c r="E14" i="203"/>
  <c r="J14" i="203"/>
  <c r="L41" i="140"/>
  <c r="K41" i="140"/>
  <c r="K10" i="140"/>
  <c r="L10" i="140"/>
  <c r="K62" i="140"/>
  <c r="L62" i="140"/>
  <c r="L51" i="140"/>
  <c r="K51" i="140"/>
  <c r="J94" i="140"/>
  <c r="U51" i="140"/>
  <c r="I93" i="140"/>
  <c r="N93" i="140" s="1"/>
  <c r="I78" i="140"/>
  <c r="N78" i="140" s="1"/>
  <c r="J30" i="140"/>
  <c r="J38" i="140"/>
  <c r="F706" i="107"/>
  <c r="F708" i="107" s="1"/>
  <c r="F709" i="107" s="1"/>
  <c r="G706" i="107"/>
  <c r="G708" i="107" s="1"/>
  <c r="G709" i="107" s="1"/>
  <c r="E706" i="107"/>
  <c r="E708" i="107" s="1"/>
  <c r="E709" i="107" s="1"/>
  <c r="G315" i="107"/>
  <c r="K278" i="107"/>
  <c r="K283" i="107" s="1"/>
  <c r="G297" i="107"/>
  <c r="F297" i="107"/>
  <c r="F289" i="107"/>
  <c r="G289" i="107"/>
  <c r="I39" i="140"/>
  <c r="N39" i="140" s="1"/>
  <c r="M256" i="132"/>
  <c r="U10" i="140"/>
  <c r="U103" i="140"/>
  <c r="U41" i="140"/>
  <c r="U62" i="140"/>
  <c r="M169" i="132"/>
  <c r="I29" i="140"/>
  <c r="N29" i="140" s="1"/>
  <c r="G283" i="107"/>
  <c r="E293" i="107" s="1"/>
  <c r="F293" i="107" s="1"/>
  <c r="G293" i="107" s="1"/>
  <c r="G722" i="107"/>
  <c r="J104" i="140"/>
  <c r="F684" i="107"/>
  <c r="G684" i="107"/>
  <c r="G664" i="107"/>
  <c r="F664" i="107"/>
  <c r="G254" i="107"/>
  <c r="F263" i="107"/>
  <c r="F264" i="107" s="1"/>
  <c r="F268" i="107" s="1"/>
  <c r="F255" i="107"/>
  <c r="J99" i="140"/>
  <c r="G550" i="107"/>
  <c r="G554" i="107" s="1"/>
  <c r="G555" i="107" s="1"/>
  <c r="F550" i="107"/>
  <c r="F554" i="107" s="1"/>
  <c r="F555" i="107" s="1"/>
  <c r="E550" i="107"/>
  <c r="E554" i="107" s="1"/>
  <c r="E555" i="107" s="1"/>
  <c r="J40" i="140"/>
  <c r="J44" i="140" l="1"/>
  <c r="L44" i="140" s="1"/>
  <c r="K140" i="140"/>
  <c r="U139" i="140"/>
  <c r="L139" i="140"/>
  <c r="U140" i="140"/>
  <c r="K143" i="140"/>
  <c r="U89" i="140"/>
  <c r="J16" i="140"/>
  <c r="L16" i="140" s="1"/>
  <c r="L50" i="140"/>
  <c r="L102" i="140"/>
  <c r="K130" i="140"/>
  <c r="L89" i="140"/>
  <c r="U102" i="140"/>
  <c r="U143" i="140"/>
  <c r="I74" i="140"/>
  <c r="N74" i="140" s="1"/>
  <c r="F667" i="107"/>
  <c r="F668" i="107" s="1"/>
  <c r="G687" i="107"/>
  <c r="G688" i="107" s="1"/>
  <c r="K1162" i="132" s="1"/>
  <c r="M1162" i="132" s="1"/>
  <c r="E667" i="107"/>
  <c r="E668" i="107" s="1"/>
  <c r="K353" i="132" s="1"/>
  <c r="G667" i="107"/>
  <c r="G668" i="107" s="1"/>
  <c r="K1153" i="132" s="1"/>
  <c r="M1153" i="132" s="1"/>
  <c r="F687" i="107"/>
  <c r="F688" i="107" s="1"/>
  <c r="K776" i="132" s="1"/>
  <c r="M776" i="132" s="1"/>
  <c r="I43" i="140"/>
  <c r="N43" i="140" s="1"/>
  <c r="U131" i="140"/>
  <c r="K131" i="140"/>
  <c r="G319" i="107"/>
  <c r="G320" i="107" s="1"/>
  <c r="K1123" i="132" s="1"/>
  <c r="M1123" i="132" s="1"/>
  <c r="F269" i="107"/>
  <c r="K582" i="132" s="1"/>
  <c r="M582" i="132" s="1"/>
  <c r="F260" i="107"/>
  <c r="I18" i="140"/>
  <c r="N18" i="140" s="1"/>
  <c r="M106" i="132"/>
  <c r="J125" i="140"/>
  <c r="K125" i="140" s="1"/>
  <c r="U50" i="140"/>
  <c r="U107" i="140"/>
  <c r="U130" i="140"/>
  <c r="K107" i="140"/>
  <c r="K124" i="140"/>
  <c r="J47" i="203"/>
  <c r="U47" i="203" s="1"/>
  <c r="M100" i="132"/>
  <c r="U124" i="140"/>
  <c r="L137" i="140"/>
  <c r="J123" i="140"/>
  <c r="K123" i="140" s="1"/>
  <c r="U100" i="140"/>
  <c r="J85" i="140"/>
  <c r="K85" i="140" s="1"/>
  <c r="U137" i="140"/>
  <c r="J81" i="140"/>
  <c r="K81" i="140" s="1"/>
  <c r="K100" i="140"/>
  <c r="J46" i="203"/>
  <c r="J251" i="140"/>
  <c r="K126" i="140"/>
  <c r="I116" i="140"/>
  <c r="N116" i="140" s="1"/>
  <c r="I109" i="140"/>
  <c r="N109" i="140" s="1"/>
  <c r="M113" i="132"/>
  <c r="M136" i="132"/>
  <c r="J86" i="140"/>
  <c r="L86" i="140" s="1"/>
  <c r="J88" i="140"/>
  <c r="L88" i="140" s="1"/>
  <c r="J118" i="140"/>
  <c r="L118" i="140" s="1"/>
  <c r="J37" i="140"/>
  <c r="K37" i="140" s="1"/>
  <c r="I112" i="140"/>
  <c r="N112" i="140" s="1"/>
  <c r="I91" i="140"/>
  <c r="N91" i="140" s="1"/>
  <c r="I31" i="140"/>
  <c r="N31" i="140" s="1"/>
  <c r="J119" i="140"/>
  <c r="L119" i="140" s="1"/>
  <c r="U126" i="140"/>
  <c r="I110" i="140"/>
  <c r="N110" i="140" s="1"/>
  <c r="I113" i="140"/>
  <c r="N113" i="140" s="1"/>
  <c r="I111" i="140"/>
  <c r="N111" i="140" s="1"/>
  <c r="F47" i="203"/>
  <c r="L252" i="140"/>
  <c r="K252" i="140"/>
  <c r="K104" i="140"/>
  <c r="L104" i="140"/>
  <c r="K372" i="132"/>
  <c r="I48" i="140" s="1"/>
  <c r="N48" i="140" s="1"/>
  <c r="K791" i="132"/>
  <c r="M791" i="132" s="1"/>
  <c r="U14" i="203"/>
  <c r="U13" i="203"/>
  <c r="U11" i="203"/>
  <c r="U12" i="203"/>
  <c r="F18" i="205"/>
  <c r="H18" i="205" s="1"/>
  <c r="E10" i="203"/>
  <c r="J10" i="203"/>
  <c r="F16" i="205"/>
  <c r="H16" i="205" s="1"/>
  <c r="E8" i="203"/>
  <c r="J8" i="203"/>
  <c r="L99" i="140"/>
  <c r="K99" i="140"/>
  <c r="K740" i="132"/>
  <c r="M740" i="132" s="1"/>
  <c r="K1177" i="132"/>
  <c r="M1177" i="132" s="1"/>
  <c r="K1117" i="132"/>
  <c r="M1117" i="132" s="1"/>
  <c r="K94" i="140"/>
  <c r="L94" i="140"/>
  <c r="N14" i="203"/>
  <c r="F14" i="203"/>
  <c r="L14" i="203" s="1"/>
  <c r="N13" i="203"/>
  <c r="F13" i="203"/>
  <c r="L13" i="203" s="1"/>
  <c r="N11" i="203"/>
  <c r="F11" i="203"/>
  <c r="L11" i="203" s="1"/>
  <c r="N12" i="203"/>
  <c r="F12" i="203"/>
  <c r="L12" i="203" s="1"/>
  <c r="K40" i="140"/>
  <c r="L40" i="140"/>
  <c r="K44" i="140"/>
  <c r="K38" i="140"/>
  <c r="L38" i="140"/>
  <c r="K30" i="140"/>
  <c r="L30" i="140"/>
  <c r="U94" i="140"/>
  <c r="J78" i="140"/>
  <c r="J93" i="140"/>
  <c r="J17" i="140"/>
  <c r="J39" i="140"/>
  <c r="M160" i="132"/>
  <c r="I73" i="140"/>
  <c r="N73" i="140" s="1"/>
  <c r="I72" i="140"/>
  <c r="N72" i="140" s="1"/>
  <c r="I71" i="140"/>
  <c r="N71" i="140" s="1"/>
  <c r="I75" i="140"/>
  <c r="N75" i="140" s="1"/>
  <c r="U30" i="140"/>
  <c r="I27" i="140"/>
  <c r="N27" i="140" s="1"/>
  <c r="F724" i="107"/>
  <c r="F726" i="107" s="1"/>
  <c r="F727" i="107" s="1"/>
  <c r="G724" i="107"/>
  <c r="G726" i="107" s="1"/>
  <c r="G727" i="107" s="1"/>
  <c r="E724" i="107"/>
  <c r="E726" i="107" s="1"/>
  <c r="E727" i="107" s="1"/>
  <c r="J24" i="140"/>
  <c r="J87" i="140"/>
  <c r="U40" i="140"/>
  <c r="U252" i="140"/>
  <c r="U104" i="140"/>
  <c r="U99" i="140"/>
  <c r="U44" i="140"/>
  <c r="J29" i="140"/>
  <c r="M127" i="132"/>
  <c r="M121" i="132"/>
  <c r="M131" i="132"/>
  <c r="F285" i="107"/>
  <c r="G285" i="107"/>
  <c r="E285" i="107"/>
  <c r="M360" i="132"/>
  <c r="I47" i="140"/>
  <c r="N47" i="140" s="1"/>
  <c r="G263" i="107"/>
  <c r="G264" i="107" s="1"/>
  <c r="G268" i="107" s="1"/>
  <c r="G255" i="107"/>
  <c r="I28" i="140"/>
  <c r="N28" i="140" s="1"/>
  <c r="M165" i="132"/>
  <c r="J80" i="140"/>
  <c r="J19" i="140"/>
  <c r="I20" i="140"/>
  <c r="N20" i="140" s="1"/>
  <c r="I22" i="140"/>
  <c r="N22" i="140" s="1"/>
  <c r="I21" i="140"/>
  <c r="N21" i="140" s="1"/>
  <c r="K16" i="140" l="1"/>
  <c r="U16" i="140"/>
  <c r="J74" i="140"/>
  <c r="K74" i="140" s="1"/>
  <c r="J18" i="140"/>
  <c r="L18" i="140" s="1"/>
  <c r="L125" i="140"/>
  <c r="M353" i="132"/>
  <c r="I46" i="140"/>
  <c r="N46" i="140" s="1"/>
  <c r="J43" i="140"/>
  <c r="L43" i="140" s="1"/>
  <c r="G269" i="107"/>
  <c r="K992" i="132" s="1"/>
  <c r="M992" i="132" s="1"/>
  <c r="G260" i="107"/>
  <c r="U125" i="140"/>
  <c r="L123" i="140"/>
  <c r="L85" i="140"/>
  <c r="K118" i="140"/>
  <c r="K47" i="203"/>
  <c r="U81" i="140"/>
  <c r="L37" i="140"/>
  <c r="L81" i="140"/>
  <c r="J109" i="140"/>
  <c r="L109" i="140" s="1"/>
  <c r="J31" i="140"/>
  <c r="K31" i="140" s="1"/>
  <c r="J112" i="140"/>
  <c r="K112" i="140" s="1"/>
  <c r="U118" i="140"/>
  <c r="J116" i="140"/>
  <c r="K116" i="140" s="1"/>
  <c r="K86" i="140"/>
  <c r="K251" i="140"/>
  <c r="F46" i="203"/>
  <c r="L46" i="203" s="1"/>
  <c r="L251" i="140"/>
  <c r="K88" i="140"/>
  <c r="I96" i="140"/>
  <c r="N96" i="140" s="1"/>
  <c r="U88" i="140"/>
  <c r="J111" i="140"/>
  <c r="K111" i="140" s="1"/>
  <c r="U119" i="140"/>
  <c r="I129" i="140"/>
  <c r="N129" i="140" s="1"/>
  <c r="I132" i="140"/>
  <c r="N132" i="140" s="1"/>
  <c r="K119" i="140"/>
  <c r="M372" i="132"/>
  <c r="J110" i="140"/>
  <c r="K110" i="140" s="1"/>
  <c r="I128" i="140"/>
  <c r="N128" i="140" s="1"/>
  <c r="I92" i="140"/>
  <c r="N92" i="140" s="1"/>
  <c r="I134" i="140"/>
  <c r="N134" i="140" s="1"/>
  <c r="I133" i="140"/>
  <c r="N133" i="140" s="1"/>
  <c r="J113" i="140"/>
  <c r="K113" i="140" s="1"/>
  <c r="H79" i="205"/>
  <c r="H81" i="205" s="1"/>
  <c r="I81" i="205" s="1"/>
  <c r="L47" i="203"/>
  <c r="L80" i="140"/>
  <c r="K80" i="140"/>
  <c r="K382" i="132"/>
  <c r="M382" i="132" s="1"/>
  <c r="L93" i="140"/>
  <c r="K93" i="140"/>
  <c r="U8" i="203"/>
  <c r="K801" i="132"/>
  <c r="M801" i="132" s="1"/>
  <c r="N10" i="203"/>
  <c r="F10" i="203"/>
  <c r="L10" i="203" s="1"/>
  <c r="K770" i="132"/>
  <c r="M770" i="132" s="1"/>
  <c r="K1187" i="132"/>
  <c r="M1187" i="132" s="1"/>
  <c r="N8" i="203"/>
  <c r="F8" i="203"/>
  <c r="L8" i="203" s="1"/>
  <c r="U10" i="203"/>
  <c r="K12" i="203"/>
  <c r="K13" i="203"/>
  <c r="K14" i="203"/>
  <c r="K11" i="203"/>
  <c r="L87" i="140"/>
  <c r="K87" i="140"/>
  <c r="L78" i="140"/>
  <c r="K78" i="140"/>
  <c r="L74" i="140"/>
  <c r="L17" i="140"/>
  <c r="K17" i="140"/>
  <c r="L19" i="140"/>
  <c r="K19" i="140"/>
  <c r="L29" i="140"/>
  <c r="K29" i="140"/>
  <c r="K24" i="140"/>
  <c r="L24" i="140"/>
  <c r="L39" i="140"/>
  <c r="K39" i="140"/>
  <c r="U78" i="140"/>
  <c r="U17" i="140"/>
  <c r="U39" i="140"/>
  <c r="U93" i="140"/>
  <c r="J71" i="140"/>
  <c r="J27" i="140"/>
  <c r="I79" i="140"/>
  <c r="N79" i="140" s="1"/>
  <c r="I97" i="140"/>
  <c r="N97" i="140" s="1"/>
  <c r="U24" i="140"/>
  <c r="U87" i="140"/>
  <c r="J91" i="140"/>
  <c r="J48" i="140"/>
  <c r="U19" i="140"/>
  <c r="U80" i="140"/>
  <c r="U29" i="140"/>
  <c r="E286" i="107"/>
  <c r="F286" i="107"/>
  <c r="G286" i="107"/>
  <c r="J47" i="140"/>
  <c r="J28" i="140"/>
  <c r="J75" i="140"/>
  <c r="J21" i="140"/>
  <c r="J22" i="140"/>
  <c r="J20" i="140"/>
  <c r="J73" i="140"/>
  <c r="J72" i="140"/>
  <c r="K18" i="140" l="1"/>
  <c r="U18" i="140"/>
  <c r="U74" i="140"/>
  <c r="J46" i="140"/>
  <c r="K46" i="140" s="1"/>
  <c r="K43" i="140"/>
  <c r="I135" i="140"/>
  <c r="N135" i="140" s="1"/>
  <c r="U43" i="140"/>
  <c r="F290" i="107"/>
  <c r="F291" i="107" s="1"/>
  <c r="K562" i="132" s="1"/>
  <c r="M562" i="132" s="1"/>
  <c r="G290" i="107"/>
  <c r="G291" i="107" s="1"/>
  <c r="K968" i="132" s="1"/>
  <c r="M968" i="132" s="1"/>
  <c r="E290" i="107"/>
  <c r="E291" i="107" s="1"/>
  <c r="K142" i="132" s="1"/>
  <c r="J92" i="140"/>
  <c r="L92" i="140" s="1"/>
  <c r="K109" i="140"/>
  <c r="U31" i="140"/>
  <c r="L31" i="140"/>
  <c r="J96" i="140"/>
  <c r="K96" i="140" s="1"/>
  <c r="U116" i="140"/>
  <c r="U110" i="140"/>
  <c r="L116" i="140"/>
  <c r="L112" i="140"/>
  <c r="U112" i="140"/>
  <c r="U109" i="140"/>
  <c r="K46" i="203"/>
  <c r="U113" i="140"/>
  <c r="J132" i="140"/>
  <c r="K132" i="140" s="1"/>
  <c r="L111" i="140"/>
  <c r="U111" i="140"/>
  <c r="J129" i="140"/>
  <c r="K129" i="140" s="1"/>
  <c r="L110" i="140"/>
  <c r="L113" i="140"/>
  <c r="I98" i="140"/>
  <c r="N98" i="140" s="1"/>
  <c r="J128" i="140"/>
  <c r="L128" i="140" s="1"/>
  <c r="I117" i="140"/>
  <c r="N117" i="140" s="1"/>
  <c r="I49" i="140"/>
  <c r="N49" i="140" s="1"/>
  <c r="J133" i="140"/>
  <c r="K133" i="140" s="1"/>
  <c r="I95" i="140"/>
  <c r="N95" i="140" s="1"/>
  <c r="J134" i="140"/>
  <c r="K134" i="140" s="1"/>
  <c r="K10" i="203"/>
  <c r="K8" i="203"/>
  <c r="K91" i="140"/>
  <c r="L91" i="140"/>
  <c r="K72" i="140"/>
  <c r="L72" i="140"/>
  <c r="K73" i="140"/>
  <c r="L73" i="140"/>
  <c r="K75" i="140"/>
  <c r="L75" i="140"/>
  <c r="K71" i="140"/>
  <c r="L71" i="140"/>
  <c r="L21" i="140"/>
  <c r="K21" i="140"/>
  <c r="K28" i="140"/>
  <c r="L28" i="140"/>
  <c r="K22" i="140"/>
  <c r="L22" i="140"/>
  <c r="K20" i="140"/>
  <c r="L20" i="140"/>
  <c r="L47" i="140"/>
  <c r="K47" i="140"/>
  <c r="K48" i="140"/>
  <c r="L48" i="140"/>
  <c r="L27" i="140"/>
  <c r="K27" i="140"/>
  <c r="U27" i="140"/>
  <c r="U71" i="140"/>
  <c r="J97" i="140"/>
  <c r="U91" i="140"/>
  <c r="U48" i="140"/>
  <c r="U22" i="140"/>
  <c r="U72" i="140"/>
  <c r="U20" i="140"/>
  <c r="U21" i="140"/>
  <c r="U28" i="140"/>
  <c r="U47" i="140"/>
  <c r="U73" i="140"/>
  <c r="U75" i="140"/>
  <c r="F294" i="107"/>
  <c r="F298" i="107" s="1"/>
  <c r="F299" i="107" s="1"/>
  <c r="G294" i="107"/>
  <c r="G298" i="107" s="1"/>
  <c r="G299" i="107" s="1"/>
  <c r="E294" i="107"/>
  <c r="E298" i="107" s="1"/>
  <c r="E299" i="107" s="1"/>
  <c r="J79" i="140"/>
  <c r="J135" i="140" l="1"/>
  <c r="L135" i="140" s="1"/>
  <c r="L46" i="140"/>
  <c r="U46" i="140"/>
  <c r="L132" i="140"/>
  <c r="L96" i="140"/>
  <c r="U132" i="140"/>
  <c r="I114" i="140"/>
  <c r="N114" i="140" s="1"/>
  <c r="K92" i="140"/>
  <c r="U92" i="140"/>
  <c r="U96" i="140"/>
  <c r="J95" i="140"/>
  <c r="K95" i="140" s="1"/>
  <c r="J98" i="140"/>
  <c r="K98" i="140" s="1"/>
  <c r="U128" i="140"/>
  <c r="L129" i="140"/>
  <c r="J49" i="140"/>
  <c r="K49" i="140" s="1"/>
  <c r="U129" i="140"/>
  <c r="K128" i="140"/>
  <c r="L133" i="140"/>
  <c r="J117" i="140"/>
  <c r="K117" i="140" s="1"/>
  <c r="L134" i="140"/>
  <c r="U133" i="140"/>
  <c r="I76" i="140"/>
  <c r="N76" i="140" s="1"/>
  <c r="U134" i="140"/>
  <c r="K153" i="132"/>
  <c r="I26" i="140" s="1"/>
  <c r="N26" i="140" s="1"/>
  <c r="K979" i="132"/>
  <c r="M979" i="132" s="1"/>
  <c r="K573" i="132"/>
  <c r="M573" i="132" s="1"/>
  <c r="K97" i="140"/>
  <c r="L97" i="140"/>
  <c r="K79" i="140"/>
  <c r="L79" i="140"/>
  <c r="U97" i="140"/>
  <c r="M142" i="132"/>
  <c r="I25" i="140"/>
  <c r="N25" i="140" s="1"/>
  <c r="U79" i="140"/>
  <c r="L98" i="140" l="1"/>
  <c r="L117" i="140"/>
  <c r="L95" i="140"/>
  <c r="K135" i="140"/>
  <c r="U135" i="140"/>
  <c r="J114" i="140"/>
  <c r="L114" i="140" s="1"/>
  <c r="U95" i="140"/>
  <c r="U98" i="140"/>
  <c r="L49" i="140"/>
  <c r="U49" i="140"/>
  <c r="U117" i="140"/>
  <c r="M153" i="132"/>
  <c r="J76" i="140"/>
  <c r="L76" i="140" s="1"/>
  <c r="I77" i="140"/>
  <c r="N77" i="140" s="1"/>
  <c r="I115" i="140"/>
  <c r="N115" i="140" s="1"/>
  <c r="J26" i="140"/>
  <c r="J25" i="140"/>
  <c r="U114" i="140" l="1"/>
  <c r="K114" i="140"/>
  <c r="J77" i="140"/>
  <c r="L77" i="140" s="1"/>
  <c r="U76" i="140"/>
  <c r="K76" i="140"/>
  <c r="J115" i="140"/>
  <c r="L115" i="140" s="1"/>
  <c r="K26" i="140"/>
  <c r="L26" i="140"/>
  <c r="L25" i="140"/>
  <c r="K25" i="140"/>
  <c r="U26" i="140"/>
  <c r="U25" i="140"/>
  <c r="G458" i="107"/>
  <c r="G464" i="107" s="1"/>
  <c r="G440" i="107"/>
  <c r="G446" i="107" s="1"/>
  <c r="E448" i="107" s="1"/>
  <c r="E452" i="107" s="1"/>
  <c r="E453" i="107" l="1"/>
  <c r="K77" i="140"/>
  <c r="U77" i="140"/>
  <c r="K115" i="140"/>
  <c r="U115" i="140"/>
  <c r="F448" i="107"/>
  <c r="F452" i="107" s="1"/>
  <c r="F466" i="107"/>
  <c r="F470" i="107" s="1"/>
  <c r="F471" i="107" s="1"/>
  <c r="G466" i="107"/>
  <c r="E466" i="107"/>
  <c r="E470" i="107" s="1"/>
  <c r="E471" i="107" s="1"/>
  <c r="G422" i="107"/>
  <c r="G428" i="107" s="1"/>
  <c r="E430" i="107" s="1"/>
  <c r="E434" i="107" l="1"/>
  <c r="E435" i="107" s="1"/>
  <c r="F453" i="107"/>
  <c r="K226" i="132"/>
  <c r="M226" i="132" s="1"/>
  <c r="K658" i="132"/>
  <c r="M658" i="132" s="1"/>
  <c r="K212" i="132"/>
  <c r="G448" i="107"/>
  <c r="G452" i="107" s="1"/>
  <c r="F430" i="107"/>
  <c r="G470" i="107"/>
  <c r="G471" i="107" s="1"/>
  <c r="F434" i="107" l="1"/>
  <c r="F435" i="107" s="1"/>
  <c r="G430" i="107"/>
  <c r="G453" i="107"/>
  <c r="K1020" i="132" s="1"/>
  <c r="M1020" i="132" s="1"/>
  <c r="I36" i="140"/>
  <c r="N36" i="140" s="1"/>
  <c r="I84" i="140"/>
  <c r="N84" i="140" s="1"/>
  <c r="K1034" i="132"/>
  <c r="M1034" i="132" s="1"/>
  <c r="K220" i="132"/>
  <c r="K606" i="132"/>
  <c r="M606" i="132" s="1"/>
  <c r="I33" i="140"/>
  <c r="N33" i="140" s="1"/>
  <c r="M212" i="132"/>
  <c r="G434" i="107" l="1"/>
  <c r="G435" i="107" s="1"/>
  <c r="K1029" i="132" s="1"/>
  <c r="M1029" i="132" s="1"/>
  <c r="J36" i="140"/>
  <c r="L36" i="140" s="1"/>
  <c r="I121" i="140"/>
  <c r="N121" i="140" s="1"/>
  <c r="I83" i="140"/>
  <c r="N83" i="140" s="1"/>
  <c r="I122" i="140"/>
  <c r="N122" i="140" s="1"/>
  <c r="K631" i="132"/>
  <c r="M631" i="132" s="1"/>
  <c r="M220" i="132"/>
  <c r="I35" i="140"/>
  <c r="N35" i="140" s="1"/>
  <c r="J84" i="140"/>
  <c r="J33" i="140"/>
  <c r="I120" i="140" l="1"/>
  <c r="N120" i="140" s="1"/>
  <c r="J121" i="140"/>
  <c r="L121" i="140" s="1"/>
  <c r="K36" i="140"/>
  <c r="U36" i="140"/>
  <c r="J120" i="140"/>
  <c r="L120" i="140" s="1"/>
  <c r="J83" i="140"/>
  <c r="K83" i="140" s="1"/>
  <c r="J122" i="140"/>
  <c r="K122" i="140" s="1"/>
  <c r="I82" i="140"/>
  <c r="N82" i="140" s="1"/>
  <c r="K84" i="140"/>
  <c r="L84" i="140"/>
  <c r="L33" i="140"/>
  <c r="K33" i="140"/>
  <c r="M1713" i="132"/>
  <c r="U33" i="140"/>
  <c r="U84" i="140"/>
  <c r="J35" i="140"/>
  <c r="U121" i="140" l="1"/>
  <c r="K120" i="140"/>
  <c r="L83" i="140"/>
  <c r="K121" i="140"/>
  <c r="L122" i="140"/>
  <c r="U120" i="140"/>
  <c r="U83" i="140"/>
  <c r="J82" i="140"/>
  <c r="L82" i="140" s="1"/>
  <c r="U122" i="140"/>
  <c r="I1716" i="132"/>
  <c r="M1715" i="132"/>
  <c r="I1717" i="132" s="1"/>
  <c r="M1717" i="132" s="1"/>
  <c r="L35" i="140"/>
  <c r="K35" i="140"/>
  <c r="M1716" i="132"/>
  <c r="U35" i="140"/>
  <c r="K82" i="140" l="1"/>
  <c r="U82" i="140"/>
  <c r="N1718" i="132"/>
  <c r="O27" i="132" s="1"/>
  <c r="O8" i="158" s="1"/>
  <c r="J44" i="203"/>
  <c r="J249" i="140"/>
  <c r="F256" i="140"/>
  <c r="P20" i="140"/>
  <c r="J45" i="203" l="1"/>
  <c r="J250" i="140"/>
  <c r="M1718" i="132"/>
  <c r="U44" i="203"/>
  <c r="J49" i="203"/>
  <c r="F50" i="203" s="1"/>
  <c r="L249" i="140"/>
  <c r="K249" i="140"/>
  <c r="F44" i="203"/>
  <c r="M1720" i="132" l="1"/>
  <c r="P1320" i="132"/>
  <c r="J255" i="140"/>
  <c r="K255" i="140" s="1"/>
  <c r="F45" i="203"/>
  <c r="K250" i="140"/>
  <c r="L250" i="140"/>
  <c r="K44" i="203"/>
  <c r="L44" i="203"/>
  <c r="U249" i="140"/>
  <c r="L255" i="140" l="1"/>
  <c r="L256" i="140" s="1"/>
  <c r="F48" i="203"/>
  <c r="K48" i="203" s="1"/>
  <c r="L45" i="203"/>
  <c r="K45" i="203"/>
  <c r="K49" i="203" s="1"/>
  <c r="L50" i="203" s="1"/>
  <c r="K256" i="140"/>
  <c r="L257" i="140" s="1"/>
  <c r="J256" i="140"/>
  <c r="F257" i="140" s="1"/>
  <c r="F258" i="140" s="1"/>
  <c r="U255" i="140"/>
  <c r="F49" i="203" l="1"/>
  <c r="F51" i="203" s="1"/>
  <c r="L48" i="203"/>
  <c r="L49" i="203" s="1"/>
  <c r="L51" i="203" s="1"/>
  <c r="L258" i="140"/>
</calcChain>
</file>

<file path=xl/sharedStrings.xml><?xml version="1.0" encoding="utf-8"?>
<sst xmlns="http://schemas.openxmlformats.org/spreadsheetml/2006/main" count="8854" uniqueCount="2372">
  <si>
    <t xml:space="preserve"> </t>
  </si>
  <si>
    <t>Frames : Sal Wood</t>
  </si>
  <si>
    <t>Vertical posts</t>
  </si>
  <si>
    <t>Local</t>
  </si>
  <si>
    <t>Kg</t>
  </si>
  <si>
    <t>Cum</t>
  </si>
  <si>
    <t>Quantity</t>
  </si>
  <si>
    <t>Description of the work</t>
  </si>
  <si>
    <t>Rate</t>
  </si>
  <si>
    <t>Per</t>
  </si>
  <si>
    <t>Amount</t>
  </si>
  <si>
    <t>No's</t>
  </si>
  <si>
    <t>L</t>
  </si>
  <si>
    <t>B</t>
  </si>
  <si>
    <t>D</t>
  </si>
  <si>
    <t>-</t>
  </si>
  <si>
    <t>Unit</t>
  </si>
  <si>
    <t>Blasting charges</t>
  </si>
  <si>
    <t>a)</t>
  </si>
  <si>
    <t>Mazdoor (Un-Skilled)</t>
  </si>
  <si>
    <t>b)</t>
  </si>
  <si>
    <t>hour</t>
  </si>
  <si>
    <t>Material</t>
  </si>
  <si>
    <t>S No</t>
  </si>
  <si>
    <t>Index Code</t>
  </si>
  <si>
    <t>Description of the Work</t>
  </si>
  <si>
    <t xml:space="preserve">Labour </t>
  </si>
  <si>
    <t>day</t>
  </si>
  <si>
    <t>Rate per 1 Cum</t>
  </si>
  <si>
    <t>MT</t>
  </si>
  <si>
    <t>Lit</t>
  </si>
  <si>
    <t>Unit = Cum</t>
  </si>
  <si>
    <t>Sand for filling</t>
  </si>
  <si>
    <t xml:space="preserve">Cement  </t>
  </si>
  <si>
    <t>t</t>
  </si>
  <si>
    <t>cum</t>
  </si>
  <si>
    <t>Unit = tonne</t>
  </si>
  <si>
    <t>HYSD Bars including 5% for overlaps &amp; wastage</t>
  </si>
  <si>
    <t>Binding wire</t>
  </si>
  <si>
    <t>Rate per 1.000 tonne</t>
  </si>
  <si>
    <t>Taking Output 1.000 tonne</t>
  </si>
  <si>
    <t>Bricks</t>
  </si>
  <si>
    <t>Unit = 10 Sqm</t>
  </si>
  <si>
    <t>Cement Mortar (1:3)</t>
  </si>
  <si>
    <t xml:space="preserve">Cost of Cement  </t>
  </si>
  <si>
    <t>Man Mazdoor for mixing mortar</t>
  </si>
  <si>
    <t>BLD-CSTN    -1-4</t>
  </si>
  <si>
    <t>Cement Mortar (1:4)</t>
  </si>
  <si>
    <t>Cement Mortar (1:5)</t>
  </si>
  <si>
    <t>Cement Mortar (1:6)</t>
  </si>
  <si>
    <t>Cement Mortar (1:8)</t>
  </si>
  <si>
    <t>BLD-CSTN    -1-5</t>
  </si>
  <si>
    <t>BLD-CSTN    -1-6</t>
  </si>
  <si>
    <t>BLD-CSTN    -1-7</t>
  </si>
  <si>
    <t>BLD-CSTN    -1-8</t>
  </si>
  <si>
    <t>Filling with Sand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</si>
  <si>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Coarse aggregate 40mm metal</t>
  </si>
  <si>
    <t>water (including for curing)</t>
  </si>
  <si>
    <t>kl</t>
  </si>
  <si>
    <t>Kl</t>
  </si>
  <si>
    <t>A. Materials</t>
  </si>
  <si>
    <t>B. Machinery</t>
  </si>
  <si>
    <t>Concrete mixer 10/7 cft (0.2/0.8cum) capacity</t>
  </si>
  <si>
    <t>C. Labour</t>
  </si>
  <si>
    <t>Mason 1st class</t>
  </si>
  <si>
    <t>BLD-CSTN-2-7</t>
  </si>
  <si>
    <t>BLD-CSTN-2-13-A</t>
  </si>
  <si>
    <t xml:space="preserve">Plain Cement Concrete (1:5:10) proportion Nominal mix for foundations using 40mm size SS-5 metal including cost and conveyance of all materials and curing charges, labour charges, machine mixing and laying concrete in foundations ramming etc complete for Bed Concrete  (APSS No 402)  </t>
  </si>
  <si>
    <t>B. Labour</t>
  </si>
  <si>
    <t>Mason 2nd class</t>
  </si>
  <si>
    <t>Mazdoor (both Men and Women)</t>
  </si>
  <si>
    <t>Basic Cost for 1.00 Cum</t>
  </si>
  <si>
    <t>Columns Footings</t>
  </si>
  <si>
    <t>Rate for M-20 Nominal Basic Cost 1.00 Cum</t>
  </si>
  <si>
    <t>Columns Pedastals</t>
  </si>
  <si>
    <t>Plinth Beams</t>
  </si>
  <si>
    <t>BLD-CSTN-2-13-B</t>
  </si>
  <si>
    <t>sqm</t>
  </si>
  <si>
    <t>BLD-CSTN-2-13-C</t>
  </si>
  <si>
    <t>Roof Slabs and Beams</t>
  </si>
  <si>
    <t>Columns, Lintels and  RCC Walls in Buildings</t>
  </si>
  <si>
    <t>Foundations, plinth Beams and  Pedastals</t>
  </si>
  <si>
    <t>RM</t>
  </si>
  <si>
    <t>BLD-CSTN-    3-1a (iv)</t>
  </si>
  <si>
    <t>Unit = 1 Cum</t>
  </si>
  <si>
    <t>Mazdoor (un-skilled)</t>
  </si>
  <si>
    <t>Rate per 1.00 Cum</t>
  </si>
  <si>
    <t>BLD-CSTN-6-1</t>
  </si>
  <si>
    <t>Rate per 10.00 Sqm</t>
  </si>
  <si>
    <t>BLD-CSTN-6-3</t>
  </si>
  <si>
    <t>kg</t>
  </si>
  <si>
    <t>Cement for CM (1:8) proportion for basecoat</t>
  </si>
  <si>
    <t>Cement for slurry</t>
  </si>
  <si>
    <t>Cement for jointing</t>
  </si>
  <si>
    <t>Painter 1st class</t>
  </si>
  <si>
    <t>Sundries including brushes @ 1% overall above</t>
  </si>
  <si>
    <t>BLD-CSTN -10-6 &amp; 10-12 (iii)</t>
  </si>
  <si>
    <t>Primary Coat on New Wood Work</t>
  </si>
  <si>
    <t>Painting Two Coats on New Wood Work</t>
  </si>
  <si>
    <t>Total Rate per Primary &amp;Two coats 10.00 Sqm</t>
  </si>
  <si>
    <t>Unit = Each</t>
  </si>
  <si>
    <t>Earthwork Excavation</t>
  </si>
  <si>
    <t>Sqm</t>
  </si>
  <si>
    <t>Total Qty</t>
  </si>
  <si>
    <t>Rs</t>
  </si>
  <si>
    <t>Cement for CM (1:3) for basecoat</t>
  </si>
  <si>
    <t>a) Material</t>
  </si>
  <si>
    <t xml:space="preserve">Cement </t>
  </si>
  <si>
    <t>Day</t>
  </si>
  <si>
    <t>Sand for Plastering including 5% wastage</t>
  </si>
  <si>
    <t>Sand for Mortar including 5% wastage</t>
  </si>
  <si>
    <t xml:space="preserve">Sand for Concrete </t>
  </si>
  <si>
    <t xml:space="preserve">Fine aggregate (Sand) for Mortar </t>
  </si>
  <si>
    <t xml:space="preserve">Sand for Mortar CM (1:8) proportion </t>
  </si>
  <si>
    <t>No</t>
  </si>
  <si>
    <t>Total</t>
  </si>
  <si>
    <t xml:space="preserve">Mazdoor (Un-Skilled) </t>
  </si>
  <si>
    <t xml:space="preserve">Rate per 1 Cum </t>
  </si>
  <si>
    <t xml:space="preserve">Bar bender  </t>
  </si>
  <si>
    <t>Rate per 1.00 Sqm</t>
  </si>
  <si>
    <t>Unskilled Labour Charges</t>
  </si>
  <si>
    <t>Measurements</t>
  </si>
  <si>
    <t xml:space="preserve">Supplying, fitting &amp; placing HYSD bar reinforcement in foundation complete including labour charges for cutting, bending to required sizes and shapes, placing in position and tying with binding wire, forming grills for reinforcement work including c/c of steel bars below 36mm dia including overlaps and wastage, where they are not welded </t>
  </si>
  <si>
    <t xml:space="preserve">Ceiling Plastering to Ceiling in CM (1:3) 12mm thick with dubara sponge finishing  including c/c of all materials including labour charges such as mixing cement mortar and curing etc complete for finished item of work (APSS 901 &amp; 903) </t>
  </si>
  <si>
    <t xml:space="preserve">Plastering in CM (1:5) 12mm thick  single coat including c/c of all materials and labour charges such as mixing cement mortar etc and curing etc complete for finished item of work (APSS 901,  903 &amp; 904) </t>
  </si>
  <si>
    <t>RCC  Columns</t>
  </si>
  <si>
    <t xml:space="preserve">RCC  Plinth Beam </t>
  </si>
  <si>
    <t>RCC Lintels</t>
  </si>
  <si>
    <t>RCC  Sunshades</t>
  </si>
  <si>
    <t>RCC  Roof Beams</t>
  </si>
  <si>
    <t>RCC Footings</t>
  </si>
  <si>
    <t>RCC Pedastals</t>
  </si>
  <si>
    <t>BM CM (1:8) Super</t>
  </si>
  <si>
    <t>Sand Filling</t>
  </si>
  <si>
    <t>Cement required</t>
  </si>
  <si>
    <t>Ceiling Plaster CM (1:3) 12mm</t>
  </si>
  <si>
    <t>Qty</t>
  </si>
  <si>
    <t>Metal</t>
  </si>
  <si>
    <t xml:space="preserve">Total  </t>
  </si>
  <si>
    <t>Kgs</t>
  </si>
  <si>
    <t>Bags</t>
  </si>
  <si>
    <t>BLD-CSTN- 8 -25</t>
  </si>
  <si>
    <t>Deputy Executive Engineer</t>
  </si>
  <si>
    <t>Painter</t>
  </si>
  <si>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of wall &amp; slab etc complete for finished item of work (APSS 901,903) </t>
  </si>
  <si>
    <t>Footings</t>
  </si>
  <si>
    <t>20mm HBG Machine Crushed Chips</t>
  </si>
  <si>
    <t>Man / Women Mazdoor</t>
  </si>
  <si>
    <t>1 KLt</t>
  </si>
  <si>
    <t>Skilled Electrician</t>
  </si>
  <si>
    <t>Mate, Semi Skilled Electrician</t>
  </si>
  <si>
    <t>Helper</t>
  </si>
  <si>
    <t>F 12</t>
  </si>
  <si>
    <t>F 66</t>
  </si>
  <si>
    <t>Concrete Mixer 0.28 Cum</t>
  </si>
  <si>
    <t>Hour</t>
  </si>
  <si>
    <t>F 68</t>
  </si>
  <si>
    <t>F 70</t>
  </si>
  <si>
    <t>BLD-CSTN-2-5</t>
  </si>
  <si>
    <t xml:space="preserve">Plain Cement Concrete (1:4:8) proportion Nominal mix for foundations using 40mm size SS-5 metal including cost and conveyance of all materials and curing charges, labour charges, machine mixing and laying concrete in foundations ramming etc complete for Bed Concrete  (APSS No 402)  </t>
  </si>
  <si>
    <t>F 93</t>
  </si>
  <si>
    <t>Needle Vibrator 40mm (Petrole)</t>
  </si>
  <si>
    <t>F 97</t>
  </si>
  <si>
    <t>GF</t>
  </si>
  <si>
    <t>FF</t>
  </si>
  <si>
    <t>SF</t>
  </si>
  <si>
    <t xml:space="preserve">Centering charges for Columns material hire charges </t>
  </si>
  <si>
    <t xml:space="preserve">Centering charges for Columns Labour charges </t>
  </si>
  <si>
    <t xml:space="preserve">Centering charges for Lintels material hire charges </t>
  </si>
  <si>
    <t xml:space="preserve">Centering charges for Lintels Labour charges </t>
  </si>
  <si>
    <t>Basic Rate Chajja 1.00 Cum</t>
  </si>
  <si>
    <t>2.0M X 0.5M X 0.05M = 0.05Cum / 1.00 Sqm</t>
  </si>
  <si>
    <t>Add Lift Charges @ 10%, 20% on Labour charges on B</t>
  </si>
  <si>
    <t xml:space="preserve">Centering charges for Chajja material hire charges </t>
  </si>
  <si>
    <t xml:space="preserve">Centering charges for Chajja Labour charges </t>
  </si>
  <si>
    <t>Sunshades of 0.60M width with 3" &amp; 2" thick</t>
  </si>
  <si>
    <t>Basic Rate Sunshade 1.00 Cum</t>
  </si>
  <si>
    <t xml:space="preserve"> 1.00 Sqm</t>
  </si>
  <si>
    <t xml:space="preserve"> 1.00 RM</t>
  </si>
  <si>
    <t xml:space="preserve">Centering charges for Beams material hire charges </t>
  </si>
  <si>
    <t xml:space="preserve">Centering charges for Beams Labour charges </t>
  </si>
  <si>
    <t xml:space="preserve">Centering charges for Roof Slab material hire charges </t>
  </si>
  <si>
    <t xml:space="preserve">Centering charges for Roof Slab Labour charges </t>
  </si>
  <si>
    <t>1.00 Sqm</t>
  </si>
  <si>
    <t>1.00 Cum</t>
  </si>
  <si>
    <t xml:space="preserve">Centering charges for Waist Slab material hire charges </t>
  </si>
  <si>
    <t xml:space="preserve">Centering charges for Waist Slab Labour charges </t>
  </si>
  <si>
    <t>F 212</t>
  </si>
  <si>
    <t>Supplying  &amp; fixing of Iron Doors and Windows Grills including labour charges for fabricating steel including cost of welding rods, power charges &amp; fixing the grill in position etc complete</t>
  </si>
  <si>
    <t>Unit = Kg</t>
  </si>
  <si>
    <t>Structural steel angles for grills including wastage</t>
  </si>
  <si>
    <t>Labour charge  fabricating steel grills BMM.V.14</t>
  </si>
  <si>
    <t>Labour charg fixing grill in position BMM.V.15</t>
  </si>
  <si>
    <t>Rate per 1.00 Kg</t>
  </si>
  <si>
    <t>Basic Rate for Walls</t>
  </si>
  <si>
    <t>10.00 Sqm</t>
  </si>
  <si>
    <t>BLD-CSTN-7-5</t>
  </si>
  <si>
    <t>Cement for pointing with CM (1:3)</t>
  </si>
  <si>
    <t xml:space="preserve">Sand for Mortar for CM (1:8) proportion </t>
  </si>
  <si>
    <t>Sand for Moratr for pointing</t>
  </si>
  <si>
    <t>BLD-CSTN-7-20</t>
  </si>
  <si>
    <t xml:space="preserve">Sand for Mortar for CM (1:5) proportion </t>
  </si>
  <si>
    <t>Cement for CM (1:5) base coat</t>
  </si>
  <si>
    <t>Cement for Slurry</t>
  </si>
  <si>
    <t>Vitrified tiles  600X600X8mm th BMT-C.09</t>
  </si>
  <si>
    <t>White Cement jointing &amp; pointing BMS.W.68</t>
  </si>
  <si>
    <t>BLD-CSTN-7-6</t>
  </si>
  <si>
    <t>BLD-CSTN-7-18</t>
  </si>
  <si>
    <t>Glazed Ceramic wall tiles 6mm BMT.C.21</t>
  </si>
  <si>
    <t xml:space="preserve">Sand for Mortar CM (1:3) proportion </t>
  </si>
  <si>
    <t>Cement for CM (1:3) base coat</t>
  </si>
  <si>
    <t xml:space="preserve">Flooring with Ceramic non skid tiles of not less than 7-8mm thick 1st quality laid over floor bed / VRCC slab set over base coat of CM (1:8), 12mm thick and neat grey Cement slurry of honey like consistency spread @ 3.30 Kgs per Sqm &amp; jointed with neat white Cement paste to full depth mixed with pigment of matching shade including c/c of all materials to site including cost of mixing of mortar and watering and levelling to proper slope and curing including all labour charges etc for finished item of work  </t>
  </si>
  <si>
    <t xml:space="preserve">Flooring with Porcelain Vitrified tiles stain free double charged of 1st quality and of size not less than 600X600X8mm thickness glossy finish premium colours, set over base coat of CM (1:8), 12mm thick over already laid CC bed / RCC Roof slab, including neat Cement slurry of honey like consistency spread @ 3.30 Kgs per Sqm &amp; jointed with neat white Cement paste to full depth mixed with pigment of matching shade including c/c of all materials like Cement, Sand and Water and tiles etc complete including labour charges etc complete for finished item of work </t>
  </si>
  <si>
    <t xml:space="preserve">Providing Skirting to internal walls to 15cm height / risers of steps with Porcelain Vitrified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</si>
  <si>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 xml:space="preserve">Providing Daddooing to walls with 5 to 7mm thick Glazed Ceramic wall tiles of 1st quality of 6mm thick set over base coat of CM (1:3) 12mm thick with Cement slurry of honey like consistency spread @ 3.30 Kgs per Sqm &amp; jointed with neat white Cement paste to full depth mixed with pigment of matching shade including c/c of all materials to site, cost of all materials like tiles, Cement, sand and water etc complete for finished item of work  </t>
  </si>
  <si>
    <t xml:space="preserve">White Cement for jointing and pointing </t>
  </si>
  <si>
    <t>F 435</t>
  </si>
  <si>
    <t>Wood primer BMT.J.05</t>
  </si>
  <si>
    <t>Synthatic Enamil Paint at 20sqm/Lt BMT.J.29</t>
  </si>
  <si>
    <t xml:space="preserve">Man Mazdoor  </t>
  </si>
  <si>
    <t xml:space="preserve">Semi Skilled Electrician </t>
  </si>
  <si>
    <t>F 627</t>
  </si>
  <si>
    <t>F 628</t>
  </si>
  <si>
    <t>F 629</t>
  </si>
  <si>
    <t>F 210</t>
  </si>
  <si>
    <t>Ground Floor</t>
  </si>
  <si>
    <t>BLD-CSTN-     3-3</t>
  </si>
  <si>
    <t>Unit = 1 sqm</t>
  </si>
  <si>
    <t>Meeting Hall</t>
  </si>
  <si>
    <t>First Floor</t>
  </si>
  <si>
    <t xml:space="preserve">Total Quantity </t>
  </si>
  <si>
    <t xml:space="preserve">40mm Metal </t>
  </si>
  <si>
    <t>20mm HBG Chips</t>
  </si>
  <si>
    <t>20mm-12mm Chips</t>
  </si>
  <si>
    <t>Sand  Mortar</t>
  </si>
  <si>
    <t>Sand  Concrete</t>
  </si>
  <si>
    <t>Sand Plastering</t>
  </si>
  <si>
    <t>Seigniorage Charges MGNREGS Grant</t>
  </si>
  <si>
    <t>Rough Stone</t>
  </si>
  <si>
    <t>PCC (1:4:8)</t>
  </si>
  <si>
    <t>RCC Landing Slab 150mm th</t>
  </si>
  <si>
    <t>RCC  Roof Slab 125mm th</t>
  </si>
  <si>
    <t>Plaster'ing CM (1:5) 12mm th</t>
  </si>
  <si>
    <t>Ceramic Tiles Flooring</t>
  </si>
  <si>
    <t>Daddooing wall tiles</t>
  </si>
  <si>
    <t>Flooring Vetrified Tiles</t>
  </si>
  <si>
    <t>Skirting Vetrified Tiles</t>
  </si>
  <si>
    <t>Lead in KM</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</si>
  <si>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</si>
  <si>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</si>
  <si>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</si>
  <si>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PANCHAYATI RAJ ENGINEERING DEPARTMENT</t>
  </si>
  <si>
    <t>NAME OF THE WORK</t>
  </si>
  <si>
    <t>:</t>
  </si>
  <si>
    <t>ESTIMATE COST                 Rs</t>
  </si>
  <si>
    <t>GRANT</t>
  </si>
  <si>
    <t>NAME OF THE MANDAL</t>
  </si>
  <si>
    <t>NAME OF SUB.DIVISION.</t>
  </si>
  <si>
    <t>NAME OF THE DIVISION</t>
  </si>
  <si>
    <t>NAME OF CIRCLE</t>
  </si>
  <si>
    <t>ONGOLE</t>
  </si>
  <si>
    <t>Landing slab</t>
  </si>
  <si>
    <t>Est.Rs.</t>
  </si>
  <si>
    <t>S.No</t>
  </si>
  <si>
    <t>Description of Item</t>
  </si>
  <si>
    <t>x</t>
  </si>
  <si>
    <t>1Cum</t>
  </si>
  <si>
    <t>1Sqm</t>
  </si>
  <si>
    <t>1No</t>
  </si>
  <si>
    <t>1Kg</t>
  </si>
  <si>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</si>
  <si>
    <t>Rm</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</si>
  <si>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</si>
  <si>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1Rm</t>
  </si>
  <si>
    <t>Deduct windows</t>
  </si>
  <si>
    <t>1MT</t>
  </si>
  <si>
    <t>Deduct columns</t>
  </si>
  <si>
    <t>Filling in foundation with excavated soil as per drawing and technical specification Clause 305.3.9 MORD &amp; 304 MORTH.</t>
  </si>
  <si>
    <t xml:space="preserve">S&amp; F 40  mm HDPE pipe 12.5 kg/sqcm  properties &amp; weight as per IS 1239 ISI mark with GI fittings including the cost of pipe &amp; its fittings &amp; labour charges </t>
  </si>
  <si>
    <t>S&amp;F of 180mm dia bore cap</t>
  </si>
  <si>
    <t>S&amp;F of 25mm dia GI pipe</t>
  </si>
  <si>
    <t>S&amp;F of 25mm dia GI Bends</t>
  </si>
  <si>
    <t>S&amp;F of 25mm dia Clamp set</t>
  </si>
  <si>
    <t>Supply of 3 core 1.50 sqm flat copper cable as per for submersible motors of makes polycab for service mains including cost of material and labour charges and taxes etc., complete.</t>
  </si>
  <si>
    <t>1rm</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</si>
  <si>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t>
  </si>
  <si>
    <t>Ltr</t>
  </si>
  <si>
    <t>Unforseen items such as if any</t>
  </si>
  <si>
    <t>GROUND FLOOR</t>
  </si>
  <si>
    <t>Clearing light  jungle including up-rooting and removing of Juliflora stumps.</t>
  </si>
  <si>
    <t>Deduct Voids @ 40%</t>
  </si>
  <si>
    <t xml:space="preserve">Plain Cement Concrete (1:4:8) proportion Nominal mix for foundations using 40mm size SS-5 metal including c/c of all materials &amp; labour charges, machine mixing &amp; laying concrete in foundations ramming etc complete for Bed Concrete  (APSS No 402)  </t>
  </si>
  <si>
    <r>
      <t xml:space="preserve">~do~ for  </t>
    </r>
    <r>
      <rPr>
        <b/>
        <sz val="10"/>
        <rFont val="Calibri"/>
        <family val="2"/>
        <scheme val="minor"/>
      </rPr>
      <t>Pedastal concrete etc., complete</t>
    </r>
  </si>
  <si>
    <r>
      <t xml:space="preserve">~do~ for  </t>
    </r>
    <r>
      <rPr>
        <b/>
        <sz val="10"/>
        <rFont val="Calibri"/>
        <family val="2"/>
        <scheme val="minor"/>
      </rPr>
      <t>Columns etc., complete</t>
    </r>
  </si>
  <si>
    <r>
      <t xml:space="preserve">~do~ for  </t>
    </r>
    <r>
      <rPr>
        <b/>
        <sz val="10"/>
        <rFont val="Calibri"/>
        <family val="2"/>
        <scheme val="minor"/>
      </rPr>
      <t>Plinth beam etc., complete</t>
    </r>
  </si>
  <si>
    <r>
      <t xml:space="preserve">~do~ for  </t>
    </r>
    <r>
      <rPr>
        <b/>
        <sz val="10"/>
        <rFont val="Calibri"/>
        <family val="2"/>
        <scheme val="minor"/>
      </rPr>
      <t>Beams etc., complete</t>
    </r>
  </si>
  <si>
    <r>
      <t xml:space="preserve">~do~ for  </t>
    </r>
    <r>
      <rPr>
        <b/>
        <sz val="10"/>
        <rFont val="Calibri"/>
        <family val="2"/>
        <scheme val="minor"/>
      </rPr>
      <t>Waist slab 150mm thick etc., complete</t>
    </r>
  </si>
  <si>
    <r>
      <t xml:space="preserve">~do~ for  </t>
    </r>
    <r>
      <rPr>
        <b/>
        <sz val="10"/>
        <rFont val="Calibri"/>
        <family val="2"/>
        <scheme val="minor"/>
      </rPr>
      <t>Roof slab 125mm thick etc., complete</t>
    </r>
  </si>
  <si>
    <t xml:space="preserve">Brick Masonary for Superstructure with CM (1:8)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</si>
  <si>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 xml:space="preserve">Supplying and Fixing of 25mm dia 2.2 mm thick PVC Conduit pipe concealed in wall with all required accessories including chiseling the wall wherever necessity including masonry work for Light, Fan and separate plug point with wooden.Deep box including all labour charges etc </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</si>
  <si>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32mm dia</t>
    </r>
  </si>
  <si>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25mm dia</t>
    </r>
  </si>
  <si>
    <t>Tiolets</t>
  </si>
  <si>
    <t xml:space="preserve">Mazdoor </t>
  </si>
  <si>
    <t>Taking output-6 Cum</t>
  </si>
  <si>
    <t>Rate per 6 cum</t>
  </si>
  <si>
    <t>Steps</t>
  </si>
  <si>
    <t xml:space="preserve">Plastering to brick masonary wall with  20mm thick double coat in CM (1:6) 16 mm thick base coat and CM (1:4) of 4mm thick top coat with dubara sponge finish including c/c of all materials including all operational, incidental and labour charges such as mixing cement mortar and curing etc complete for finished item of work (APSS 901,  903 &amp; 904) </t>
  </si>
  <si>
    <t>Base Coat in CM(1:6), 16 mm thick</t>
  </si>
  <si>
    <t>Sand Aggregate</t>
  </si>
  <si>
    <t>Base Coat in CM(1:4), 4 mm thick</t>
  </si>
  <si>
    <t>Shutters : Medium Teak Wood</t>
  </si>
  <si>
    <t>Index-code</t>
  </si>
  <si>
    <t>Description</t>
  </si>
  <si>
    <t>Rate Rs.</t>
  </si>
  <si>
    <t>Amount
 Rs.</t>
  </si>
  <si>
    <t>Nos</t>
  </si>
  <si>
    <t>10</t>
  </si>
  <si>
    <t>b) Material</t>
  </si>
  <si>
    <t>Supplying and Fixing European Water Closet of 1st quality make white glazed with 'P' trap with low down porcelain flushing tank 10 Lit Capacity internal components and Fixing best Indian make plastic seat and lid for European water closets with rubber or plastic Buffers including all labour charges for fixing etc., complete.</t>
  </si>
  <si>
    <t>European Water Closet of 1st quality BMW-D.13</t>
  </si>
  <si>
    <t>Flushing Tank 10 Lit capacity BMW-D.11</t>
  </si>
  <si>
    <t>plastic seat and lid BMW-D.16</t>
  </si>
  <si>
    <t>Contract profit @ 13.615%</t>
  </si>
  <si>
    <t>Supplying and fixing Indian make Flat Back Wash Hand Basin (HSW/Parryware/ Neycer) 1st quality conforming to IS:2556-Part-4:1972 of size 450mm x 300mm with 32 mm nominal size C.P. Fitting with parallel pipe thread onforming to IS:2963-1979 and fitted with 15 mm nominal bore Chromium Plated Pillar Tap of 1st quality Indian make 400 grams Seiko/Senior/Nice or equivalent complete with  tandard CI brackets including wooden blocks ,1 No.12.70mm PVC connection with brass union nuts CP  oated , 1 No.12.70mm NP bib tap 400 gms Seiko or equivalent , 31.75mm dia. PVC flexible waste pipe 914.4mm length of 1st quality including cost and  onveyance of all materials to site, labour charges , overheads &amp; contractors profit for finished item of work</t>
  </si>
  <si>
    <t>Cost of wash hand basin SSR  BMW-D.26   S.No.158</t>
  </si>
  <si>
    <t>12.70mm NP bib tap (400gms) BMW-E.07</t>
  </si>
  <si>
    <t>12.70mm dia PVC connection with brass union nuts BMW-I.48</t>
  </si>
  <si>
    <t>31.75mm dia. PVC flexible waste pipe BMW-G.05</t>
  </si>
  <si>
    <t xml:space="preserve">Supplying and fixing of3" (76.2 mm ) Nahany Trap with Jali - UPVC/SWR Pipe fittings as per site requirements with standard practice for all floors including cost and conveyance of all materials to site, labour charges , overheads &amp; contractors profit etc., complete for finished item of work. </t>
  </si>
  <si>
    <t>Initial cost BMW-G.118</t>
  </si>
  <si>
    <t>Nahany trap cover BMW-I.12</t>
  </si>
  <si>
    <t>Supplying and fixing 4" (101.6 mm ) Floor Trap - UPVC/SWR Pipe fittings 1st quality ISI marked conforming to IS:1729-1979 with C.P. Grating fixing with  hite cement as per site requirements with standard practice for all floors  ncluding cost and conveyance of all materials to site, labour charges etc., complete for finished item of work.</t>
  </si>
  <si>
    <t>Initial cost BMW-G.125</t>
  </si>
  <si>
    <t xml:space="preserve">Prince/ Sudhakar make or equivalent quality PVC /SWR pipes &amp; fittings ( as per ISI standards) 4kg/cm2 110mm dia. double socket </t>
  </si>
  <si>
    <t>Taking out put = 3Mts</t>
  </si>
  <si>
    <t>110mm dia pipe BMW-G.13</t>
  </si>
  <si>
    <t>Rate per 3Mts</t>
  </si>
  <si>
    <t>Rate per 1Mts</t>
  </si>
  <si>
    <t xml:space="preserve">Prince/ Sudhakar make or equivalent quality PVC /SWR pipes &amp; fittings ( as per ISI standards) 4kg/cm2 90mm dia. double socket </t>
  </si>
  <si>
    <t>90mm dia pipe BMW-G.15</t>
  </si>
  <si>
    <t xml:space="preserve">Prince/ Sudhakar make or equivalent quality PVC /SWR pipes &amp; fittings ( as per ISI standards) 4kg/cm2 75mm dia. double socket </t>
  </si>
  <si>
    <t>75mm dia pipe BMW-G.14</t>
  </si>
  <si>
    <t>Labour charges for laying, fixing and commissioning the PVC pipes including couplers/ bends/ tees etc any diameter including fixing necessary fittings like bends, plugs, couplers, junctions, tees, etc with solvent jointing as per standard practice</t>
  </si>
  <si>
    <t>Initial cost BMW-G.152</t>
  </si>
  <si>
    <t>Supply &amp; fixing of tested NP bib taps at all levels of 12.70mm dia of Indian make 400g first quality including cost &amp; conveyance of all materials, labour charges for finished item of work, and all taxes complete for all floors</t>
  </si>
  <si>
    <t>Initial cost BMW-E.07</t>
  </si>
  <si>
    <t>Initial cost BMW-I.141</t>
  </si>
  <si>
    <t>Cost of Liters(BMW-G.01)</t>
  </si>
  <si>
    <t>Litrs</t>
  </si>
  <si>
    <t>Labour charges(BMW-G.02)</t>
  </si>
  <si>
    <t>15.90mm ODPipe - SDR 13.5 BMW-I.220</t>
  </si>
  <si>
    <t>22.20mm ODPipe - SDR 13.5 BMW-I.221</t>
  </si>
  <si>
    <t>28.60mm ODPipe - SDR 13.5 BMW-I.221</t>
  </si>
  <si>
    <t>34.90mm ODPipe - SDR 13.5 BMW-I.223</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</si>
  <si>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</si>
  <si>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Initial cost BMW-I.415</t>
  </si>
  <si>
    <t>Supplying and fixing Gunmetal Gate ( GM peet ) valve as per IS-778 Class - I , Indian make heavy type including cost and conveyance of all materials , labour charges etc.  omplete for finished item of work.</t>
  </si>
  <si>
    <t>25mm Nominal bore BMW-F.17</t>
  </si>
  <si>
    <t>Supply and fixing of 110mm dia ISI mark PVC rain water spouts of 4 Kg/cm2 pressure including Cost of necessary pvc bends, shoes and M.S.clamps and all other accessories and fixing in position including cost and conveyance of all materials to site , seigniorage charges sales and other taxes on all materials, all operational, incidental and labour cahrges such as fixing in alignment etc., complete for finished item of work.(APSS NO1328) in All Floors</t>
  </si>
  <si>
    <t>Taking out put=3 Rm</t>
  </si>
  <si>
    <t>Basic rate as per ssr item BMW-G.13</t>
  </si>
  <si>
    <t>3Rm</t>
  </si>
  <si>
    <t>Cost of P.V.C. Bend BMW-G.57</t>
  </si>
  <si>
    <t>Cost of Clips BMW-G.106</t>
  </si>
  <si>
    <t>Plumber 1st Class</t>
  </si>
  <si>
    <t>Plumber 2nd class</t>
  </si>
  <si>
    <t>Man Mazdoor</t>
  </si>
  <si>
    <t>Cost of 3Rm</t>
  </si>
  <si>
    <t>Rate per 1.00 Rm</t>
  </si>
  <si>
    <t xml:space="preserve">Initial cost </t>
  </si>
  <si>
    <t>Initial cost</t>
  </si>
  <si>
    <t xml:space="preserve">Supply and Transportation of control panel for single phasesubmersible motors up to 3 HP @ 220V 50Hz operating range between 80 to 240V including supply and fixing of Direct - on - Line LTLK / SIEMENS / CROMPTON make Volt meter and Ammeter with starting and running capacitors assembled with ISI mark contactors and fitted with Legrand make ISI mark MCB etc., complete. 
</t>
  </si>
  <si>
    <t>Initial cost ELEC-5.4.15</t>
  </si>
  <si>
    <t>Unite</t>
  </si>
  <si>
    <t>a) Labour charges :</t>
  </si>
  <si>
    <t>Mtr</t>
  </si>
  <si>
    <t>Material Rate for 100 Mtrs</t>
  </si>
  <si>
    <t>Material Rate for  1 Mtr</t>
  </si>
  <si>
    <t>Total Cost of Material + Labour Charges</t>
  </si>
  <si>
    <t>Labour charges for Grooves 2-3mm thick for PVC pipes</t>
  </si>
  <si>
    <t xml:space="preserve"> Initial cost BMM-V.51</t>
  </si>
  <si>
    <t>Copper Cable Makes:Makes: Finolex / RR kabel / Havells /KEI/Polycab/Gloster</t>
  </si>
  <si>
    <t>Accessories Makes:Makes: Legrand Arteor / Schneider Zen celo/ Crabtree Murano or Amare/L&amp;Tenglaze/GM-Zenova/ Goldmedal (GIFA)</t>
  </si>
  <si>
    <t>Mtrs</t>
  </si>
  <si>
    <t>Cost of Material for 6 Points</t>
  </si>
  <si>
    <t>Cost of Material Rate per 1 Point</t>
  </si>
  <si>
    <t>Supply and fixing of 6A/10A ISI Mark 3/2 pin Modular socket with 6A/10A 1way Modular switch, 3 Module box with cover frame on a Common switch board including cost and conveyance of all materials and all labour charges etc., complete in N.R.B.(Data No.             )</t>
  </si>
  <si>
    <t>Accessories MakesLegrand Arteor / Schneider Zen celo/ Crabtree Murano or Amare/L&amp;Tenglaze/GM-Zenova/ Goldmedal (GIFA)</t>
  </si>
  <si>
    <t>Cost of Material for 100 Metres</t>
  </si>
  <si>
    <t>Cost of Material Rate per Mtr= C/100</t>
  </si>
  <si>
    <t>Supply and  Run of 2 of 36/0.3mm (2.50 Sq.mm) with  Run 1 of 22/0.3mm(1.5Sqmm)  FRLS / HFFR PVC insulated flexible ISI mark copper cable in existing pipe for run of mains inlcuding all labour charges etc., complete.(Data No.             )</t>
  </si>
  <si>
    <t>Supply and  Run of 2 of 56/0.3mm (4.00 Sq.mm) with  Run 1 of 22/0.3mm(1.5Sqmm)  FRLS / HFFR PVC insulated flexible ISI mark copper cable in existing pipe for run of mains inlcuding all labour charges etc., complete.(Data No.             )</t>
  </si>
  <si>
    <t>Copper Cable Makes: Finolex / RR kabel / Havells /KEI/Polycab/Gloster</t>
  </si>
  <si>
    <t>BH Makes: GM G Home / Gold Medal Olive / Million Zoom / Great whiteOmega/Koncept/Vimal opel/ Anchor/Vihan/CPL</t>
  </si>
  <si>
    <t>Cost of Material</t>
  </si>
  <si>
    <r>
      <t xml:space="preserve">Supply, Transportation and Fixing of 48" (1200mm) Sweep </t>
    </r>
    <r>
      <rPr>
        <b/>
        <sz val="8"/>
        <color indexed="8"/>
        <rFont val="Calibri"/>
        <family val="2"/>
        <scheme val="minor"/>
      </rPr>
      <t>5 Star rated Ceiling Fan</t>
    </r>
    <r>
      <rPr>
        <sz val="8"/>
        <color indexed="8"/>
        <rFont val="Calibri"/>
        <family val="2"/>
        <scheme val="minor"/>
      </rPr>
      <t xml:space="preserve"> with double ball bearings but without regulator including all standard accessories and all labour charges etc., complete.(Data No.             )</t>
    </r>
  </si>
  <si>
    <t>Ceiling Fan Makes:  Crompton HS Decora / Bajaj Regal Star /
Havells Spark deco / Orient summer crown
/Halonix(Zephyr) /Polycab(India Glory</t>
  </si>
  <si>
    <t>Twin Core Wire Makes:  Finolex / Polycab / Havells / V-Guard / GoldMedal / GM / Million / Vimal /Airson/CRI/ Tamra/
ollvin/Avocab</t>
  </si>
  <si>
    <t xml:space="preserve">a) Labour charges  </t>
  </si>
  <si>
    <t xml:space="preserve">b) Material </t>
  </si>
  <si>
    <t>Transportation Charges on Unit Cost @1%</t>
  </si>
  <si>
    <t>Supply and Transportation and fixing of 1200 mm length,Box type powder coatedtube light luminaire with necessary wiring suitable for fixing 2 Nos retrofit T8 LED tubes but without tube and
choke Makes: Phillips / Crompton /Bajaj/Surya/Havells/HPL</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</si>
  <si>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complete.(Data No.             )</t>
  </si>
  <si>
    <t xml:space="preserve">b) labour charges for fixing pipe ring and connections </t>
  </si>
  <si>
    <t>Sets</t>
  </si>
  <si>
    <t>Set</t>
  </si>
  <si>
    <t>25% extra for narrow trench &amp; pit and back filling with Sand, Coke, Salt etc., and leveling</t>
  </si>
  <si>
    <r>
      <t xml:space="preserve">Cement Qty in </t>
    </r>
    <r>
      <rPr>
        <b/>
        <sz val="10"/>
        <rFont val="Calibri"/>
        <family val="2"/>
        <scheme val="minor"/>
      </rPr>
      <t>Kg</t>
    </r>
  </si>
  <si>
    <r>
      <t>M</t>
    </r>
    <r>
      <rPr>
        <vertAlign val="superscript"/>
        <sz val="10"/>
        <rFont val="Calibri"/>
        <family val="2"/>
        <scheme val="minor"/>
      </rPr>
      <t>3</t>
    </r>
  </si>
  <si>
    <r>
      <t>M</t>
    </r>
    <r>
      <rPr>
        <vertAlign val="superscript"/>
        <sz val="10"/>
        <rFont val="Calibri"/>
        <family val="2"/>
        <scheme val="minor"/>
      </rPr>
      <t>2</t>
    </r>
  </si>
  <si>
    <r>
      <t>Rate / M</t>
    </r>
    <r>
      <rPr>
        <vertAlign val="superscript"/>
        <sz val="10"/>
        <rFont val="Calibri"/>
        <family val="2"/>
        <scheme val="minor"/>
      </rPr>
      <t>3</t>
    </r>
  </si>
  <si>
    <t>To be done</t>
  </si>
  <si>
    <t>110mm dia</t>
  </si>
  <si>
    <t>Providing Electrification items</t>
  </si>
  <si>
    <t>Supply of  Hot Dip galvanized 20/18 SWG Module box with earthing terminal for 12 Module box</t>
  </si>
  <si>
    <t>Supply of  Hot Dip galvanized 20/18 SWG Module box with earthing terminal for 2 Module box</t>
  </si>
  <si>
    <t>Supply and  Run of 2 of 36/0.3mm (2.50 Sq.mm) with  Run 1 of 22/0.3mm(1.5Sqmm)  FRLS / HFFR PVC insulated flexible ISI mark copper cable in existing pipe for run of mains inlcuding all labour charges etc., complete.</t>
  </si>
  <si>
    <t>Supply and  Run of 2 of 56/0.3mm (4.00 Sq.mm) with  Run 1 of 22/0.3mm(1.5Sqmm)  FRLS / HFFR PVC insulated flexible ISI mark copper cable in existing pipe for run of mains inlcuding all labour charges etc., complete</t>
  </si>
  <si>
    <t>Point</t>
  </si>
  <si>
    <t>1Point</t>
  </si>
  <si>
    <t>Supply and fixing of 6A 3/2 pin wall plug socket with 6A switch control on a common switch board with earth continuity including wire leads, earth connections along with all labour charges etc., complete.</t>
  </si>
  <si>
    <t>Supply, Transportation and Fixing of 48" (1200mm) Sweep 5 Star rated Ceiling Fan with double ball bearings but without regulator including all standard accessories and all labour charges etc., complete.</t>
  </si>
  <si>
    <t xml:space="preserve"> Initial cost ELEC-1.3.1 f</t>
  </si>
  <si>
    <t xml:space="preserve"> Initial cost ELEC-1.3.1 a</t>
  </si>
  <si>
    <t>Wiring with run of 2 of 14/0.3mm (1.0 Sq.mm) FRLS / HFFR PVC insulated flexible ISI mark copper cable in existing PVC conduit pipe including Supply and fixing of Jumbo Ceiling rose and 6A/10A ISI Mark 1way Modular switch  in existing Surface or Concealed pipe wiring including cost and conveyance of all material and all labour charges etc., complete for Fan points</t>
  </si>
  <si>
    <t>Wiring with run of 2 of 14/0.3mm (1.0 Sq.mm) FRLS / HFFR PVC insulated flexible ISI mark copper cable in existing PVC conduit pipe including Supply and fixing of  6A/10A ISI Mark 1way Modular switch  in existing Surface or Concealed pipe wiring including cost and conveyance of all material and all labour charges etc., complete for light and bell  points</t>
  </si>
  <si>
    <t>Supply of Cover frames for 12 module box</t>
  </si>
  <si>
    <t xml:space="preserve"> Initial cost ELEC-1.8.3 f</t>
  </si>
  <si>
    <t>Supply of Cover frames for 2 module box</t>
  </si>
  <si>
    <t xml:space="preserve"> Initial cost ELEC-1.8.3 a</t>
  </si>
  <si>
    <t>ELE 2.1.4</t>
  </si>
  <si>
    <t>Supply and Transportation and fixing of 1200 mm length,Box type powder coatedtube light luminaire with necessary wiring suitable for fixing 2 Nos retrofit T8 LED tubes but without tube and choke</t>
  </si>
  <si>
    <t>Provision for Seignorage charges</t>
  </si>
  <si>
    <t>Provision for Name board</t>
  </si>
  <si>
    <t>PCC (1:5:10)</t>
  </si>
  <si>
    <t>CC Steps</t>
  </si>
  <si>
    <t>Drilling of 165mm dia Bore well by down the hole hammer at a fiished dia of 165mm dia in all formations suitable for down the hole hammer drilling such as meduim hard rock formation, all consolidated frormation etc and reaming the borewell to subinsertation of required casing pipe etc including insertion of casing pipe with couplings, caps any other relevant materials upto required depth as directed by the dept, transportation of drilling rigs and supporting vehicle and including bore development. Flushing of Borewell at an avarage pressure of 150PSI conducting yield test, crew charegs required in fixation of pipe assembly completely done to the satisfaction of the dept and incuding all labour charges, but excluding the cost of casing pipe etc. The entire work should be carried out as per IS-2800 part I and II 1979</t>
  </si>
  <si>
    <t>Providing PVC Casing pipe 180mm dia of 6 Kgs/cm2 including cost and conveyance of Pipe and labour charges etc complete for Borewell of 165mm dia. Item No 20 of PH items in SoR 2019-20 Page 67 Rs 636-00 per 1.00 RM</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</si>
  <si>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t>
  </si>
  <si>
    <t>COMPARATIVE STATEMENT</t>
  </si>
  <si>
    <t>Est Rs.</t>
  </si>
  <si>
    <t xml:space="preserve">Difference </t>
  </si>
  <si>
    <t>Remarks</t>
  </si>
  <si>
    <t xml:space="preserve">Quantity </t>
  </si>
  <si>
    <t xml:space="preserve">Rate </t>
  </si>
  <si>
    <t>Excess</t>
  </si>
  <si>
    <t>Less</t>
  </si>
  <si>
    <t>1</t>
  </si>
  <si>
    <t>2</t>
  </si>
  <si>
    <t>3</t>
  </si>
  <si>
    <t>4</t>
  </si>
  <si>
    <t>5</t>
  </si>
  <si>
    <t>6</t>
  </si>
  <si>
    <t>7</t>
  </si>
  <si>
    <t>8</t>
  </si>
  <si>
    <t>9</t>
  </si>
  <si>
    <t>11</t>
  </si>
  <si>
    <t>Construction of Ground floor</t>
  </si>
  <si>
    <t>Earthwork excavation for foundation</t>
  </si>
  <si>
    <t>12</t>
  </si>
  <si>
    <t>13</t>
  </si>
  <si>
    <t>14</t>
  </si>
  <si>
    <t>15</t>
  </si>
  <si>
    <t>16</t>
  </si>
  <si>
    <t>Cost of steel</t>
  </si>
  <si>
    <t>17</t>
  </si>
  <si>
    <t>18</t>
  </si>
  <si>
    <t>19</t>
  </si>
  <si>
    <t>20</t>
  </si>
  <si>
    <t>Ornamental Plastering 12mm thick to ceiling</t>
  </si>
  <si>
    <t>21</t>
  </si>
  <si>
    <t>22</t>
  </si>
  <si>
    <t>23</t>
  </si>
  <si>
    <t>24</t>
  </si>
  <si>
    <t>25</t>
  </si>
  <si>
    <t>26</t>
  </si>
  <si>
    <t>27</t>
  </si>
  <si>
    <t>28</t>
  </si>
  <si>
    <t>29</t>
  </si>
  <si>
    <t>30</t>
  </si>
  <si>
    <t>32</t>
  </si>
  <si>
    <t>33</t>
  </si>
  <si>
    <t>34</t>
  </si>
  <si>
    <t>35</t>
  </si>
  <si>
    <t>Construction of First Floor</t>
  </si>
  <si>
    <t>41</t>
  </si>
  <si>
    <t>42</t>
  </si>
  <si>
    <t>43</t>
  </si>
  <si>
    <t>44</t>
  </si>
  <si>
    <t>45</t>
  </si>
  <si>
    <t xml:space="preserve">Plastering 12mm thick inside in single coats </t>
  </si>
  <si>
    <t>49</t>
  </si>
  <si>
    <t xml:space="preserve">Flooring with vitrified tiles </t>
  </si>
  <si>
    <t>50</t>
  </si>
  <si>
    <t>Providing skirting to internal walls to 15 cm height</t>
  </si>
  <si>
    <t>51</t>
  </si>
  <si>
    <t>Flooring with Ceramic non skid tiles</t>
  </si>
  <si>
    <t>53</t>
  </si>
  <si>
    <t>54</t>
  </si>
  <si>
    <t>55</t>
  </si>
  <si>
    <t>56</t>
  </si>
  <si>
    <t>57</t>
  </si>
  <si>
    <t>58</t>
  </si>
  <si>
    <t>59</t>
  </si>
  <si>
    <t>60</t>
  </si>
  <si>
    <t>61</t>
  </si>
  <si>
    <t>62</t>
  </si>
  <si>
    <t>63</t>
  </si>
  <si>
    <t>Providing &amp; Supply of Water supply  and Sanitation items</t>
  </si>
  <si>
    <t>64</t>
  </si>
  <si>
    <t>65</t>
  </si>
  <si>
    <t>66</t>
  </si>
  <si>
    <t>67</t>
  </si>
  <si>
    <t>69</t>
  </si>
  <si>
    <t>71</t>
  </si>
  <si>
    <t>72</t>
  </si>
  <si>
    <t>73</t>
  </si>
  <si>
    <t>74</t>
  </si>
  <si>
    <t>76</t>
  </si>
  <si>
    <t>77</t>
  </si>
  <si>
    <t>Provision for GST on cement</t>
  </si>
  <si>
    <t>Provision for GST on Steel</t>
  </si>
  <si>
    <t>TOTAL</t>
  </si>
  <si>
    <t>Difference in estimate</t>
  </si>
  <si>
    <t xml:space="preserve">Clearing light  jungle </t>
  </si>
  <si>
    <t>PCC (1:4:8) for bed concrete</t>
  </si>
  <si>
    <t>PCC (1:5:10) for bed concrete</t>
  </si>
  <si>
    <t>Refilling with excavated soil</t>
  </si>
  <si>
    <t>Plastering 20mm thick double coat</t>
  </si>
  <si>
    <t xml:space="preserve">Supplying  &amp; fixing of Iron  Grills </t>
  </si>
  <si>
    <t>S&amp;F of 32mm dia CPVC pipes</t>
  </si>
  <si>
    <t>S&amp;F of 25mm dia CPVC pipes</t>
  </si>
  <si>
    <t xml:space="preserve">Labour charges for CPVC PIPes </t>
  </si>
  <si>
    <t>S&amp;F of Bib Type Taps</t>
  </si>
  <si>
    <t>S&amp;F of 110mm dia PVC Pipes</t>
  </si>
  <si>
    <t>S&amp;F of 90mm dia PVC Pipes</t>
  </si>
  <si>
    <t>S&amp;F of 75mm dia PVC Pipes</t>
  </si>
  <si>
    <t xml:space="preserve">Labour charges for PVC PIPes </t>
  </si>
  <si>
    <t>S&amp;F of European type water closet</t>
  </si>
  <si>
    <t>S&amp;F of Synthatic Water storage tank</t>
  </si>
  <si>
    <t>Drilling with165mm dia borewell</t>
  </si>
  <si>
    <t>S&amp;F of 180mm dia casing pipe</t>
  </si>
  <si>
    <t xml:space="preserve">S&amp;F  of 25mm dia 2.2 mm thick PVC Conduit pipe </t>
  </si>
  <si>
    <t>200/18 SWG Module box w for 12 Module box</t>
  </si>
  <si>
    <t>200/18 SWG Module box w for 2 Module box</t>
  </si>
  <si>
    <t xml:space="preserve">Wiring with run of 2 of 14/0.3mm (1.0 Sq.mm) </t>
  </si>
  <si>
    <t>Supply and  Run of 2 of 36/0.3mm (2.50 Sq.mm)</t>
  </si>
  <si>
    <t>Supply and  Run of 2 of 56/0.3mm (4.00 Sq.mm)</t>
  </si>
  <si>
    <t>Supply and fixing of 6A 3/2 pin wall plug socket</t>
  </si>
  <si>
    <t>S&amp;F of ISI mark batten holder / angle holder</t>
  </si>
  <si>
    <t>S&amp;F of ceiling fan</t>
  </si>
  <si>
    <t>S&amp;F of Tube light</t>
  </si>
  <si>
    <t>Providng Independent earthing</t>
  </si>
  <si>
    <t xml:space="preserve">Provision for QC @0.5% </t>
  </si>
  <si>
    <t>Provision for Work file</t>
  </si>
  <si>
    <t>Poi</t>
  </si>
  <si>
    <t>As per working estimate</t>
  </si>
  <si>
    <t>Dadoing with Glazed tiles</t>
  </si>
  <si>
    <t>Painting  with Emulsion paint for inernal walls</t>
  </si>
  <si>
    <t>Labour  for Grooves 2-3mm thick for PVC pipes</t>
  </si>
  <si>
    <t>lt</t>
  </si>
  <si>
    <t>SPECIFICATION REPORT</t>
  </si>
  <si>
    <t>Estt. Rs.</t>
  </si>
  <si>
    <t>Verandah</t>
  </si>
  <si>
    <t>Deduct door</t>
  </si>
  <si>
    <r>
      <t xml:space="preserve">~do~ for  </t>
    </r>
    <r>
      <rPr>
        <b/>
        <sz val="10"/>
        <rFont val="Calibri"/>
        <family val="2"/>
        <scheme val="minor"/>
      </rPr>
      <t>lintels etc., complete</t>
    </r>
  </si>
  <si>
    <t>Deduct ventilators</t>
  </si>
  <si>
    <r>
      <t xml:space="preserve">~do~ for  </t>
    </r>
    <r>
      <rPr>
        <b/>
        <sz val="10"/>
        <rFont val="Calibri"/>
        <family val="2"/>
        <scheme val="minor"/>
      </rPr>
      <t>Roof slab 100mm thick etc., complete</t>
    </r>
  </si>
  <si>
    <t>Ground floor</t>
  </si>
  <si>
    <t>First floor</t>
  </si>
  <si>
    <t>Supply and Fixing of ISI  25mm outer dia medium (1.80mm thickness) grade with IS:9537 part 3 regid PVC pipe with PVC / Metallic Junction boxes and all accessories  including Fixing of existing suitable size Consealed box PVC / MS with hook for fan including all labour charges etc., complete.</t>
  </si>
  <si>
    <t>Carridor</t>
  </si>
  <si>
    <t>Alround building</t>
  </si>
  <si>
    <t>Slab projection</t>
  </si>
  <si>
    <t>Deduct doors</t>
  </si>
  <si>
    <t>Upto 90 Mts</t>
  </si>
  <si>
    <t>90Mts to 150 Mts</t>
  </si>
  <si>
    <t>150Mts to 240 Mts</t>
  </si>
  <si>
    <t>S&amp; F 40  mm HDPE pipe pipe properties &amp; weight as per IS 1239 ISI mark with GI fittings including the cost of pipe &amp; its fittings &amp; labour charges.</t>
  </si>
  <si>
    <t>Supply and Transportation of 2.00HP single phase ISI  submersible mortor Pumpset subitable for 4" bore well Makes:Kirloskar/ Crompton/ CRI/ KSB/ Texmo/Aryan Varsha</t>
  </si>
  <si>
    <t>Qty.P.No. 18 of M.B.No.233-B/2016-17</t>
  </si>
  <si>
    <t>Qty.P.No. 23 of M.B.No.233-B/2016-17</t>
  </si>
  <si>
    <t xml:space="preserve">Plastering in CM (1:5) 20mm thick  single coat including c/c of all materials including all operational, incidental and labour charges such as mixing cement mortar and curing etc complete for finished item of work (APSS 901,  903 &amp; 904)  </t>
  </si>
  <si>
    <t>Frames : Medium Teak Wood</t>
  </si>
  <si>
    <t>Initial cost  ELEC-5.4.1 e</t>
  </si>
  <si>
    <t>180mm dia PVC pipe for casing etc., complete
(Addendum minutes (LR No. RC/ENC (AW)/ADA/AEE/ 24686/Vol.XII/2019 Dt 03.03.2020 of the Engineer in Chief, Water resource department.</t>
  </si>
  <si>
    <t>Supply of 3 core 2.5 sqm flat copper cable as per for submersible motors of makes polycab for service mains including cost of material and labour charges and taxes etc., complete.</t>
  </si>
  <si>
    <t>Initial cost ELEC-1.6.3</t>
  </si>
  <si>
    <t>Plaster'ing 20mm thick double</t>
  </si>
  <si>
    <t>Plaster'ing 20mm thick single</t>
  </si>
  <si>
    <t>RCC  Roof Slab 100mm th</t>
  </si>
  <si>
    <t>Qty.P.No.     of M.B.No.</t>
  </si>
  <si>
    <t>Supplying &amp; Fixing Indian pattern white glazed W.C 1st quality ISI marked conforming to IS:2556-Part-3-1981 with"P" or "S" trap: 630 mm Long</t>
  </si>
  <si>
    <t>Initial cost BMW-D.02</t>
  </si>
  <si>
    <t>Supply of  Hot Dip galvanized 20/18 SWG Module box with earthing terminal for 8 Module box</t>
  </si>
  <si>
    <t xml:space="preserve"> Initial cost ELEC-1.3.1 e</t>
  </si>
  <si>
    <t>Supply of  Hot Dip galvanized 20/18 SWG Module box with earthing terminal for 18 Module box</t>
  </si>
  <si>
    <t xml:space="preserve"> Initial cost ELEC-1.3.1 d 6M</t>
  </si>
  <si>
    <t xml:space="preserve"> Initial cost ELEC-1.3.1 f 12M</t>
  </si>
  <si>
    <t>Supply of Cover frames for 8 module box</t>
  </si>
  <si>
    <t xml:space="preserve"> Initial cost ELEC-1.8.3 e</t>
  </si>
  <si>
    <t>Supply of Cover frames for 18 module box</t>
  </si>
  <si>
    <t xml:space="preserve"> Initial cost ELEC-1.8.3 f 12M</t>
  </si>
  <si>
    <t xml:space="preserve"> Initial cost ELEC-1.8.3 d 6M</t>
  </si>
  <si>
    <t>Supply and fixing of 6A 2 pin wall plug socket with 6A switch control on a common switch board with earth continuity including wire leads, earth connections along with all labour charges etc., complete.</t>
  </si>
  <si>
    <t>Supply of  6A / 10A 1 Way flush type switch 1.7.1 a</t>
  </si>
  <si>
    <t>Supply of  6A / 10A 3/2 Pin flush type socket 1.7.1 d</t>
  </si>
  <si>
    <t>Supply of  6A / 10A 2 Pin flush type socket 1.7.1 c</t>
  </si>
  <si>
    <t>Supply and fixing of 6A flush type Neon Indicator.</t>
  </si>
  <si>
    <t xml:space="preserve"> Initial cost ELEC-1.7.1 e</t>
  </si>
  <si>
    <t>Supplying  &amp; fixing of MS tubes of any design including labour charges for fabricating steel including cost of welding rods, power charges &amp; fixing the grill in position etc complete</t>
  </si>
  <si>
    <t>Supplying  &amp; fixing of MS tubes &amp; Pipes including labour charges for fabricating steel including cost of welding rods, power charges &amp; fixing the grill in position etc complete</t>
  </si>
  <si>
    <t>MS Tubes and pipes BMT-F.04</t>
  </si>
  <si>
    <t>Labour charge  fabricating steel grills BMM.V.16</t>
  </si>
  <si>
    <t>Labour charg fixing grill in position BMM.V.17</t>
  </si>
  <si>
    <t>Plastering 20mm thick single coat</t>
  </si>
  <si>
    <t>Supplying  &amp; fixing of MS tube</t>
  </si>
  <si>
    <t>S&amp;F of Indian type water closet</t>
  </si>
  <si>
    <t>S&amp;F of Wash basin</t>
  </si>
  <si>
    <t>S&amp;F of 2 HP Submersible mortor</t>
  </si>
  <si>
    <t>S&amp; F 40  mm HDPE pip</t>
  </si>
  <si>
    <t>Supply of 3 core 1.50 sqm flat copper cable</t>
  </si>
  <si>
    <t xml:space="preserve">Supply and Transportation of control panel </t>
  </si>
  <si>
    <t>200/18 SWG Module box w for 8 Module box</t>
  </si>
  <si>
    <t>200/18 SWG Module box w for 18 Module box</t>
  </si>
  <si>
    <t>Supply and fixing of 6A 2 pin wall plug socket</t>
  </si>
  <si>
    <t>78</t>
  </si>
  <si>
    <t>80</t>
  </si>
  <si>
    <t>86</t>
  </si>
  <si>
    <t>89</t>
  </si>
  <si>
    <t>94</t>
  </si>
  <si>
    <r>
      <t xml:space="preserve">~do~ for  </t>
    </r>
    <r>
      <rPr>
        <b/>
        <sz val="10"/>
        <rFont val="Calibri"/>
        <family val="2"/>
        <scheme val="minor"/>
      </rPr>
      <t>sunshades etc., complete</t>
    </r>
  </si>
  <si>
    <t xml:space="preserve">Brick Masonary for Superstructure with CM (1:6)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</si>
  <si>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Secretary room</t>
  </si>
  <si>
    <t>Ramp</t>
  </si>
  <si>
    <t>Front ramp</t>
  </si>
  <si>
    <t>Qty.p.69 of M.B.No.103-A/2016-17</t>
  </si>
  <si>
    <t>Filling Basement with Gravel by watering and ramming including all operational, incidental and including c/c of material and labour charges etc complete for finished item of the work (APSS No 309&amp; 310) per 1 Cum</t>
  </si>
  <si>
    <t>Back side stair</t>
  </si>
  <si>
    <t>Extra ramp</t>
  </si>
  <si>
    <t>Front verandah</t>
  </si>
  <si>
    <t>Stone, Platform</t>
  </si>
  <si>
    <t>Stone Ramp</t>
  </si>
  <si>
    <t>Ladies tiolet</t>
  </si>
  <si>
    <t>Godown</t>
  </si>
  <si>
    <t>Staircase ventilators</t>
  </si>
  <si>
    <t>Filling Basement with Gravel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</si>
  <si>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Gravel filling</t>
  </si>
  <si>
    <t>Gravel</t>
  </si>
  <si>
    <t>Flooring with high polished granite 16 to 18 mm mm thick slabs other than black 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</si>
  <si>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BLD-CSTN-7-7</t>
  </si>
  <si>
    <t>High polished granite 16 to 18 mm thick slab other than black</t>
  </si>
  <si>
    <t>BLD-CSTN-7-21</t>
  </si>
  <si>
    <t xml:space="preserve">Sand for Moratr CM (1:3) proportion </t>
  </si>
  <si>
    <t>White cement</t>
  </si>
  <si>
    <t>Providing skirting to internal walls to 15 cm height/risers of steps with 16-18 mm thick  polished granite tiles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</si>
  <si>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</si>
  <si>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</si>
  <si>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BLD-CSTN-7-4</t>
  </si>
  <si>
    <t>Cement for CM (1:6) proportion for basecoat</t>
  </si>
  <si>
    <t xml:space="preserve">Sand for Mortar CM (1:6) proportion </t>
  </si>
  <si>
    <t>Chequerred terrazzo tiles of 22 mm thick (medium shade) BMT-D.01</t>
  </si>
  <si>
    <t>Providing skirting to internal walls to 15 cm height/risers of steps with chequrred terrazzo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</si>
  <si>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 xml:space="preserve">Providing Skirting to internal walls to 15cm height / risers of steps with chequrred terrazzo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</si>
  <si>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Supply &amp; fixing of Rolling shutter made of 80 x 1.25 mm machine rolled CRCA laths, interlocked together through their entire length and jointed together at the ends by endlocks, mounted on specially designed pipe shaft of 50mm dia nominal bore MS B class pipe with brackets, plates, guide channels, stoppers, bottom locking plates and arrangements for inside &amp; outside locking with push-pull operations including cost of hood cover and springs complete, painted with one coat of approved steel primer, locks, ball bearings, all accessories etc complete for finished item of work as per special spn: 1108</t>
  </si>
  <si>
    <t>Flooring Granite stone</t>
  </si>
  <si>
    <t>Skirting Granite stone</t>
  </si>
  <si>
    <t>Flooring Terrazo tiles</t>
  </si>
  <si>
    <t>Skirting Terrazo tiles</t>
  </si>
  <si>
    <t>Supplying &amp; fixing 15 mm bib tap with flange Chromeum plated Jaquar make queen series</t>
  </si>
  <si>
    <t>Initial cost BMW-I.140</t>
  </si>
  <si>
    <t>For water pipes</t>
  </si>
  <si>
    <t>Gents tiolet</t>
  </si>
  <si>
    <t>Sarpanch tiolet</t>
  </si>
  <si>
    <t>Supply of  Hot Dip galvanized 20/18 SWG Module box with earthing terminal for 6 Module box</t>
  </si>
  <si>
    <t xml:space="preserve"> Initial cost ELEC-1.3.1 d</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</si>
  <si>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light and bell  points</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</si>
  <si>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Fan points</t>
  </si>
  <si>
    <t>Supply of Cover frames for 6 module box</t>
  </si>
  <si>
    <t>Sal Wood for Scantlings/Frames  BMT-E.15</t>
  </si>
  <si>
    <t>Supplying and fixing of  Door of size 1.05X2.10M with single panels of frames made with sal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</si>
  <si>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 xml:space="preserve">Sal Wood </t>
  </si>
  <si>
    <t>Stainless Steel Tubes BMT-F.06</t>
  </si>
  <si>
    <t>Labour charge  fabricating stainless steel railing BMM-V.18</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</si>
  <si>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t>
  </si>
  <si>
    <t xml:space="preserve">Skilled Electrician. </t>
  </si>
  <si>
    <t>Helper (Electrical)</t>
  </si>
  <si>
    <t>SPN 4way D.B with IP-20 Protection suitable for single phase ECCB / RCCB/ DP Isolator. ELEC-2.13.1a</t>
  </si>
  <si>
    <t>40A D.P.Isolator / ECCB / RCCB ELEC-2.11.1 b</t>
  </si>
  <si>
    <t>10 kA - 6-32A range SP MCBs ELEC-2.10.1 a</t>
  </si>
  <si>
    <t>Filling basement with Sand filling</t>
  </si>
  <si>
    <t>Reinforced Brick Masonry for partition walls (11.5 cm thick) i</t>
  </si>
  <si>
    <t xml:space="preserve">Cost, Supply and Fixing of rolling shutter to Godown </t>
  </si>
  <si>
    <t xml:space="preserve">White washing three coats with whiting </t>
  </si>
  <si>
    <t>Flooring with Granite stones</t>
  </si>
  <si>
    <t>skirting to internal walls  with Granite stones</t>
  </si>
  <si>
    <t>Flooring with Terrazo tiles</t>
  </si>
  <si>
    <t>skirting to internal walls  with Terrazo tiles</t>
  </si>
  <si>
    <t>Providing and fixing 28 -30 MM thick solid Wood PolymerComposite(WPC) door</t>
  </si>
  <si>
    <t>Supplying and fixing of  ventilator</t>
  </si>
  <si>
    <t>Supplying  &amp; fixing of stainless steel</t>
  </si>
  <si>
    <t>S&amp;F of Bib Type Taps  flange Chromeum plated Jaquar make queen series</t>
  </si>
  <si>
    <t>200/18 SWG Module box w for 6 Module box</t>
  </si>
  <si>
    <t>Supply and fixing SPN Distribution board</t>
  </si>
  <si>
    <t>Filling basement with Gravel</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</si>
  <si>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</si>
  <si>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Supplying &amp; fixing 4" (101.6 mm ) Nahany trap with Jali-  PVC/SWR Pipe fittings</t>
  </si>
  <si>
    <t>Initial cost BMW-G.119</t>
  </si>
  <si>
    <t>Nahany trap with Jali-  PVC/SWR Pipe fittings</t>
  </si>
  <si>
    <t>BLD-ELEC-2.1.1</t>
  </si>
  <si>
    <t>BLD-ELEC-2.1.4</t>
  </si>
  <si>
    <t>BLD-ELEC-3.1.4</t>
  </si>
  <si>
    <t>BLD-ELEC-3.1.5</t>
  </si>
  <si>
    <t>BLD-ELEC-2.1.8</t>
  </si>
  <si>
    <t>BLD-ELEC- 8.2.2 and 
7.9.3</t>
  </si>
  <si>
    <t xml:space="preserve"> BLD ELE 4.4.1</t>
  </si>
  <si>
    <t xml:space="preserve"> BLD ELE 5.1.1</t>
  </si>
  <si>
    <t>40mm Nominal Bore Medium grade G.I.Pipe. ELEC-8.4.17d</t>
  </si>
  <si>
    <t>25mm x 6 mm G.I.Strip (ELEC-8.3.6</t>
  </si>
  <si>
    <t>No.8 G.I.Wire (ELEC-8.3.6)</t>
  </si>
  <si>
    <t>Drilling of 16 Nos through holes of 12mm dia to G.I pipe. ELEC-8.4.20</t>
  </si>
  <si>
    <t>G.I Nuts, Bolts an Washers each set. ELEC-8.4.21</t>
  </si>
  <si>
    <t>18" dia  2" thick hume pipe ring. ELEC-8.4.22</t>
  </si>
  <si>
    <t>2" thick  CC cover for hume pipe ring with handle.ELEC-8.4.24</t>
  </si>
  <si>
    <t>Hard Coke  ELEC-8.1.10</t>
  </si>
  <si>
    <t>Salt. ELEC-8.1.11</t>
  </si>
  <si>
    <t>Earth Work Excavation of Hard gravel Soil with small boulder for trench 1st step of size 1.2 x 0.6 x 0.9 m (4'x2'x3') ELEC-8.4.19</t>
  </si>
  <si>
    <t>Excavation of Hard disteggrated rocks and boulders for trench 2nd Step of size 0.9 x 0.6 x 1.2 m  (3'x2'x4') ELEC-8.4.19</t>
  </si>
  <si>
    <t>Qty.p. 2 of M.B.No.435-C/2017-18</t>
  </si>
  <si>
    <t>Horizontal Top &amp; Bottom</t>
  </si>
  <si>
    <t>Sand for Filling</t>
  </si>
  <si>
    <t>Supply of  Hot Dip galvanized 20/18 SWG Module box with earthing terminal for 4 Module box</t>
  </si>
  <si>
    <t xml:space="preserve"> Initial cost ELEC-1.3.1 c</t>
  </si>
  <si>
    <t>Supply of Cover frames for 4 module box</t>
  </si>
  <si>
    <t xml:space="preserve"> Initial cost ELEC-1.8.3 c </t>
  </si>
  <si>
    <t>Supply of 9" (225mm), Light duty exhaust fan with double ball bearing and wire guard etc complete.</t>
  </si>
  <si>
    <t xml:space="preserve"> Initial cost ELEC-5.1.12</t>
  </si>
  <si>
    <t>200/18 SWG Module box w for 4 Module box</t>
  </si>
  <si>
    <t>Light duty exhaust fan</t>
  </si>
  <si>
    <t>Deduct ventilator</t>
  </si>
  <si>
    <t>Hall</t>
  </si>
  <si>
    <t>2nd flight</t>
  </si>
  <si>
    <t>1st flight</t>
  </si>
  <si>
    <t>Deduct window</t>
  </si>
  <si>
    <t xml:space="preserve">Plastering 20mm thick inside in single coats </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</si>
  <si>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</si>
  <si>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 xml:space="preserve">Plastering to brick masonary wall with  12mm thick double coat in CM (1:5) 8 mm thick base coat and CM (1:3) of 4mm thick top coat with dubara sponge finish including c/c of all materials including all operational, incidental and labour charges such as mixing cement mortar and curing etc complete for finished item of work (APSS 901,  903 &amp; 904) </t>
  </si>
  <si>
    <t>Long walls A1 to E1</t>
  </si>
  <si>
    <t>Short walls E1 to E3</t>
  </si>
  <si>
    <t>Short walls A1 to A3</t>
  </si>
  <si>
    <t>Front projection L/W</t>
  </si>
  <si>
    <t>Front projection S/W</t>
  </si>
  <si>
    <t>Steps bottom</t>
  </si>
  <si>
    <t>1st step</t>
  </si>
  <si>
    <t>2nd step</t>
  </si>
  <si>
    <t>Front projection</t>
  </si>
  <si>
    <t>South side</t>
  </si>
  <si>
    <t>East side</t>
  </si>
  <si>
    <t>Room-1</t>
  </si>
  <si>
    <t>West side</t>
  </si>
  <si>
    <t>North side</t>
  </si>
  <si>
    <t>Room-2</t>
  </si>
  <si>
    <t>Bottom of sunshades in Hall</t>
  </si>
  <si>
    <t>Bottom of slab projection</t>
  </si>
  <si>
    <t>Bottom of first flight</t>
  </si>
  <si>
    <t>Hall alround</t>
  </si>
  <si>
    <t>Godown 3 sides</t>
  </si>
  <si>
    <t>Inside projection front side</t>
  </si>
  <si>
    <t>Staircase inside</t>
  </si>
  <si>
    <t>Upto landing</t>
  </si>
  <si>
    <t>Deduct Main door</t>
  </si>
  <si>
    <t>Front entrane</t>
  </si>
  <si>
    <t>GF 1st flight raisers</t>
  </si>
  <si>
    <t>2nd flight raisers</t>
  </si>
  <si>
    <t>20 mm HBG  metal(SS 5)</t>
  </si>
  <si>
    <t>12 mm HBG  metal(SS 5)</t>
  </si>
  <si>
    <t>10 mm HBG  metal(SS 5)</t>
  </si>
  <si>
    <t>6 mm HBG  metal(SS 5)</t>
  </si>
  <si>
    <t>Rate per Cum</t>
  </si>
  <si>
    <t>20 mm GRADED METAL( CW 07 20 mm(48%) and 12 mm(12%)10 mm(12%) 6 mm(8)%  (34822))</t>
  </si>
  <si>
    <t>Brick masonery in CM (1:8) for basement</t>
  </si>
  <si>
    <t>Brick masonery in CM (1:6) for superstructure</t>
  </si>
  <si>
    <t>Plastering 12mm thick double coat</t>
  </si>
  <si>
    <t>Granolithic Concrete Flooring</t>
  </si>
  <si>
    <t>Fan regulator</t>
  </si>
  <si>
    <t xml:space="preserve"> steel tube down rod for ceiling  fan</t>
  </si>
  <si>
    <t>Supply and  Run of  4 of 84/0.3mm (6.0 Sq.mm)</t>
  </si>
  <si>
    <t xml:space="preserve">Centering charges SS material hire charges </t>
  </si>
  <si>
    <t xml:space="preserve">Centering charges SS Labour charges </t>
  </si>
  <si>
    <t xml:space="preserve">Name of the Work: </t>
  </si>
  <si>
    <t>Sand</t>
  </si>
  <si>
    <t>Est. Rs.</t>
  </si>
  <si>
    <t>Sl. No.</t>
  </si>
  <si>
    <t>unit</t>
  </si>
  <si>
    <t>Quarry</t>
  </si>
  <si>
    <t>Convey-ance Charges</t>
  </si>
  <si>
    <t xml:space="preserve">Initial Cost </t>
  </si>
  <si>
    <t>Crushing charges</t>
  </si>
  <si>
    <t>Brick</t>
  </si>
  <si>
    <t>Cement</t>
  </si>
  <si>
    <t xml:space="preserve">MS Flats </t>
  </si>
  <si>
    <t>6mm Ms roads</t>
  </si>
  <si>
    <t>Sand for Mortar (screened)</t>
  </si>
  <si>
    <t>Sand for Mortar (concrete)</t>
  </si>
  <si>
    <t>1000 nos</t>
  </si>
  <si>
    <t>40mm HBG metal SS5, M/C</t>
  </si>
  <si>
    <t>20mm HBG SS5 M/c chips</t>
  </si>
  <si>
    <t>PRI Sub Division</t>
  </si>
  <si>
    <t>Mandal Praja parishad</t>
  </si>
  <si>
    <t>Loading</t>
  </si>
  <si>
    <t>Unloading</t>
  </si>
  <si>
    <t>A. MATERIALS:</t>
  </si>
  <si>
    <t>Mazdoor (unskilled)</t>
  </si>
  <si>
    <t>1st Class Mason</t>
  </si>
  <si>
    <t>Lintels</t>
  </si>
  <si>
    <t xml:space="preserve">Basic Rate </t>
  </si>
  <si>
    <t>Unit = 10 sqm</t>
  </si>
  <si>
    <t>BASIC COST per 10 sqm</t>
  </si>
  <si>
    <t>Add extra for Scaffolding Material  Charges  @Rs 1.03 Sqm</t>
  </si>
  <si>
    <t>Add Labour Comp on LC</t>
  </si>
  <si>
    <t>BASIC COST per 1 sqm GF</t>
  </si>
  <si>
    <t>kgs</t>
  </si>
  <si>
    <t>Cement for CM (1:8) for base coat</t>
  </si>
  <si>
    <t>Painter 2nd class</t>
  </si>
  <si>
    <t>Sundries including brushes, soaps, putty etc.,</t>
  </si>
  <si>
    <t>Painter 2nd Class</t>
  </si>
  <si>
    <t>Skirting with Granite stones</t>
  </si>
  <si>
    <t>BLD-CSTN-9-4</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</si>
  <si>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</si>
  <si>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Sundries including brushes, ladders, etc.,5%</t>
  </si>
  <si>
    <t>BLD-ELEC-6.1.1</t>
  </si>
  <si>
    <t>Supply and Run of 2 of 6 Sq.mm WPSC Aluminium cable along with No.10 SWG G.I bearer wire through PVC cleats with all accessories including labour charges etc., complete for service mains.</t>
  </si>
  <si>
    <t>6 Sq.mm WPSC Aluminium cable ELEC-1.6.1</t>
  </si>
  <si>
    <t>No.10 SWG G.I wire. (0.026 Kg / Mtr) Length 100 RM ELEC-8.3.6</t>
  </si>
  <si>
    <t>PVC Cleats ELEC-8.1.13</t>
  </si>
  <si>
    <t xml:space="preserve">Semi Skilled Electrician / Lineman </t>
  </si>
  <si>
    <t>75mm dia</t>
  </si>
  <si>
    <t xml:space="preserve">Providing and applying synthetic plaster putty </t>
  </si>
  <si>
    <t>Construction of Second Floor</t>
  </si>
  <si>
    <t>Providing Door, Windows, Ventilators and Grills</t>
  </si>
  <si>
    <t>Providing and applying Wall putty of White Cement or Polymer or Cement based of average 1 to 2 mm thickness over plastered surface to prepare the surface even and smooth after thoroughly brushing the surface to remove all dirt and remains of loose powdered materials, applying emery paper, Sand the surface, clean &amp; wipe off loose dust, applying knifing paste filler by putty knife / muslin pad, air dry for 2 - 3 hrs, sand with 180 and 320 No., emery paper for the surface preparation including cost and conveyance of all materials and all operational, incidental and all labour charges etc., complete for finished item of work in all floors for internal walls</t>
  </si>
  <si>
    <t>wall putty (BMT-J.31)</t>
  </si>
  <si>
    <t>Sundries</t>
  </si>
  <si>
    <t>Rate per 1.00 MT</t>
  </si>
  <si>
    <t>Water charges 1%</t>
  </si>
  <si>
    <t>Name of the  work</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</si>
  <si>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</si>
  <si>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Rate per 10 Sqm</t>
  </si>
  <si>
    <t xml:space="preserve">Reinforced Brick Masonry for partition walls (11.0 cm thick) in CM (1:6) prop. (Cement : Sand) using common burnt clay bricks of class as per Table- I of IS:1077-1992, Non- Modular or traditional size    23 x 11 x 7 cms from approved source having minimum crushing strength of 40 Kg/Sq.cm and placing 2 Nos. of 6mm M.S plain rods in every third layer with free ends of the reinforcement pegged into mortar joints of main brick walls where applicable including cost and conveyance of all materials and  all operational, incidental charges such as labour charges for mixing cement mortar, scaffolding charges, lift charges,and all labour charges etc., but excluding cost of steel and its fabrication charges complete for finished item of work. </t>
  </si>
  <si>
    <t>Or</t>
  </si>
  <si>
    <t>Plaster'ing 12mm thick double</t>
  </si>
  <si>
    <t>second floor</t>
  </si>
  <si>
    <t xml:space="preserve">BM CM (1:6) </t>
  </si>
  <si>
    <t>BM CM (1:6) 115mm</t>
  </si>
  <si>
    <t>Rate per 2.556 Sqm</t>
  </si>
  <si>
    <t>Taking output Unit = 2.556 Sqm</t>
  </si>
  <si>
    <t>Cost of Aluminium door stopper</t>
  </si>
  <si>
    <t>50mm dia SS pipe ( 1 x 4.60)</t>
  </si>
  <si>
    <t>25mm dia SS pipe (8 x 0.90)</t>
  </si>
  <si>
    <t xml:space="preserve">Base Plate 75mm dia. </t>
  </si>
  <si>
    <t>Add for anchor bars</t>
  </si>
  <si>
    <t>Add for bonding</t>
  </si>
  <si>
    <t>Taking output = 4.60 Rm</t>
  </si>
  <si>
    <t>Rate per 4.60 Rm</t>
  </si>
  <si>
    <t>Rate per 1.00 Sqm (Rm Quantity / 0.90)</t>
  </si>
  <si>
    <t>50mm dia SS pipe ( 1 x 10.00)</t>
  </si>
  <si>
    <t>25mm dia SS pipe (9 x 0.30)</t>
  </si>
  <si>
    <t>Taking output = 10.00 Rm</t>
  </si>
  <si>
    <t xml:space="preserve">Base Plate 25mm dia. </t>
  </si>
  <si>
    <t>Rate per 10.00 Rm</t>
  </si>
  <si>
    <t>Drilling of 25mm dia hole(9 x 0.10)</t>
  </si>
  <si>
    <r>
      <t>Supplying and fixing of stainless steel (grade 304)</t>
    </r>
    <r>
      <rPr>
        <b/>
        <sz val="10"/>
        <rFont val="Calibri"/>
        <family val="2"/>
        <scheme val="minor"/>
      </rPr>
      <t xml:space="preserve"> hand railing </t>
    </r>
    <r>
      <rPr>
        <sz val="10"/>
        <rFont val="Calibri"/>
        <family val="2"/>
        <scheme val="minor"/>
      </rPr>
      <t>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</si>
  <si>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t>1st class mason</t>
  </si>
  <si>
    <t>2nd class mason</t>
  </si>
  <si>
    <t>Mazdoor(unskilled)</t>
  </si>
  <si>
    <t>S&amp;F of Cement Jolleys 50mm thick</t>
  </si>
  <si>
    <t>Supply and fixing of ornamental grill made of 25mm x 10mm MS flats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</si>
  <si>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Cost of MS flats</t>
  </si>
  <si>
    <t>Cost of MS Grill</t>
  </si>
  <si>
    <t>Rate per 2.025 Sqm</t>
  </si>
  <si>
    <t>Full Rounding the edges of Marble/ Granite stone slabs of all thicknesses including polishing the same.</t>
  </si>
  <si>
    <t>Initial Cost BMM-V.11</t>
  </si>
  <si>
    <t>Staircase 1st flight</t>
  </si>
  <si>
    <t>Staircase 2nd flight</t>
  </si>
  <si>
    <t>Supply and fixing of 2 Nos of 32A, 240V Porcelain Rewirable Fuse Units of  makes : GM / Sputnik / Kundancab / Million / Gold Medal  / Vimal / Star / Benlo on 12" x 18" peta board with connections and labour charges etc complete.</t>
  </si>
  <si>
    <t>32 A  240V Porcelain Rewirable Fuse Units.2.7.1.a</t>
  </si>
  <si>
    <t>Peeta Board of Size 15" x 20" 1.4.3.c</t>
  </si>
  <si>
    <t>Visiters waiting area</t>
  </si>
  <si>
    <t>Cost of Material Rate</t>
  </si>
  <si>
    <t>Supply and Transportation of 48" (1200mm) Sweep 5 star rated Ceiling Fan , with double ball bearings, air delivery more than 200 cubic meter/min but without Regulator.</t>
  </si>
  <si>
    <t>Supply and fixing of Modular type Electronic fan regulator hum free step type socket size in the existing switch board.</t>
  </si>
  <si>
    <t>Labour charges for fixing of ceiling fan with regulator including transportation, 3 core  wire leads etc complete</t>
  </si>
  <si>
    <t>Supply and erecting 19/20mm steel tube down rod of one meter length with bolts &amp; nuts duly painted with matching colour of  fan complete</t>
  </si>
  <si>
    <t>19/20mm steel tube down rod with bolts &amp; nuts for  fan with maching colour.</t>
  </si>
  <si>
    <t>Supply, transportation and fixing of 60Watt LED Street light Luminaire made of pressure diecast alluminium body with powder coated, having protective toughned glass, Supply Input voltage 120 - 270 V AC, P.F &gt; 0.90, high power LED's System efficacy &gt;110 lm/W and junction temprature &lt; 70°C, with Ingrees protection IP66,</t>
  </si>
  <si>
    <t>Initial Cost ELEC-3.8.23 d</t>
  </si>
  <si>
    <t xml:space="preserve">S&amp;F of 48" dia(1.20Mts) 2" thick Precasted rcc hume rings including cost and conveyance of all material and labour charges etc., complete for septic Tank </t>
  </si>
  <si>
    <t xml:space="preserve">S&amp;F of 1200 mm dia 2" thick Precasted  cc cover for hume pipe including cost and conveyance of all material and labour charges etc., complete for septic Tank </t>
  </si>
  <si>
    <t>48" dia(1.20Mts) 2" thick hume pipe ring</t>
  </si>
  <si>
    <t>48.00" dia(1.20Mts) 2" thick hume pipe ring</t>
  </si>
  <si>
    <t>Full Rounding the edges of  Granite stone slabs of all thicknesses including polishing the same.</t>
  </si>
  <si>
    <t xml:space="preserve">White washing one coat with whiting </t>
  </si>
  <si>
    <t xml:space="preserve">Providing and applying Wall putty </t>
  </si>
  <si>
    <t>Painting New Wood / iron work with Two coats of ready mixed Synthatic Enamil paint</t>
  </si>
  <si>
    <t>Full Rounding the edges of  Granite stone slabs</t>
  </si>
  <si>
    <t>Supply and fixing of  Door  of size 1.05  x 2.10mt GF</t>
  </si>
  <si>
    <t>Supply and fixing of  Door  of size 1.05  x 2.10mt FF</t>
  </si>
  <si>
    <t>Providing and fixing factory made uPVC  windows 3track</t>
  </si>
  <si>
    <t>Providing and fixing factory made uPVC  windows single track</t>
  </si>
  <si>
    <t>Labour charges for fixing fan</t>
  </si>
  <si>
    <t>S&amp;F of street light</t>
  </si>
  <si>
    <t>Supply and fixing of 2 Nos of 32A, 240V Porcelain Rewirable Fuse Units</t>
  </si>
  <si>
    <t>Supply and fixing of ornamental grill made of 20mm x 10mm MS flats and MS Grill 8mm x 8mm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</si>
  <si>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Unit = 2.025 Sqm</t>
  </si>
  <si>
    <t>MS Flat  25 x 10 Horizantal</t>
  </si>
  <si>
    <t>MS Flat  25 x 10 Verticals</t>
  </si>
  <si>
    <t>MS Grill  10 x 10 Verticals</t>
  </si>
  <si>
    <t>MS Grill  10 x 10 Horizantal</t>
  </si>
  <si>
    <t>Cost of 48" Fan ELEC-5.1.4</t>
  </si>
  <si>
    <t>P.No.</t>
  </si>
  <si>
    <t>84</t>
  </si>
  <si>
    <t>100</t>
  </si>
  <si>
    <t>105</t>
  </si>
  <si>
    <t>106</t>
  </si>
  <si>
    <t>107</t>
  </si>
  <si>
    <t>108</t>
  </si>
  <si>
    <t>111</t>
  </si>
  <si>
    <t>112</t>
  </si>
  <si>
    <t>113</t>
  </si>
  <si>
    <t>116</t>
  </si>
  <si>
    <t>119</t>
  </si>
  <si>
    <t>129</t>
  </si>
  <si>
    <t>132</t>
  </si>
  <si>
    <t>135</t>
  </si>
  <si>
    <t>137</t>
  </si>
  <si>
    <t>138</t>
  </si>
  <si>
    <t>Painting  with Emulsion paint for inernal walls GF</t>
  </si>
  <si>
    <t>Painting  with Emulsion paint for external walls  GF</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</si>
  <si>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internal walls</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</si>
  <si>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external walls</t>
  </si>
  <si>
    <t>Long walls A2 to E3</t>
  </si>
  <si>
    <t>281.21</t>
  </si>
  <si>
    <t>RCM facia 5cm thick in CM (1:3) for drop walls,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903)</t>
  </si>
  <si>
    <t xml:space="preserve">Cement Mortar 1:3 for 25 mm thick </t>
  </si>
  <si>
    <t xml:space="preserve">Dry Cement for making Lumps </t>
  </si>
  <si>
    <t>12 mm Plastering 2 coats in 1:4 &amp; 1:2 cm both sides</t>
  </si>
  <si>
    <t>B) LABOUR CHARGES</t>
  </si>
  <si>
    <t>c) Machinery</t>
  </si>
  <si>
    <t>Hrs</t>
  </si>
  <si>
    <t>Supply &amp; application of One Coat Water based Cement Primer, One coat of Deco / PMCC Orient Base Exterior Texture &amp; two coats of Altek Harmony (Emulsion paint exterior grade) inclusive of all taxes for finished item of work</t>
  </si>
  <si>
    <t>Basic coat per 1 sqm</t>
  </si>
  <si>
    <t>Supply &amp; applying Poly-Urethane Water Proof Polish Glossy/ Matt finish to the wood works duly cleaning the surface and applying emery paper, Sand the wood with 180 No., emery paper and then with 320 No., emery paper, clean &amp; wipe off loose dust, applying suitable knifing paste filler / wood filler by putty knife / muslin pad, air dry for 2 - 3 hrs, sand with 180 and 320 No., emery paper, applying two component wood sealer, after the surface preparation applying one coat of approved spraying PU thinner (for spraying) / applying one coat of approved brushing PU thinner or general purpose thinner (for brushing) and apply one coat of PU by brush or spray, air-dry overnight, Sand again with 180 No. emery paper and removing dust, applying second coat of PU, air drying for 4 - 6 Hrs, Sand with 320 No emery paper, and applying (either with spray or brush) two coats of approved brand PU including cost &amp; labour charges, emery papers, cost of thinner &amp; PU of approved brands such as Jenson &amp; Nicholson, Asian Paints, Berger Paints or equivalent etc., complete for finished item</t>
  </si>
  <si>
    <t xml:space="preserve">Painting, Lettering and Picturing to walls with  two coats over primary coat with Emulsion paint (Like Birds, Animals, Cartoons, Numbers etc.,) to Angnwadi center building as per the instructions of Engineer - in - charge including cost and conveyance of all paints and all labour charges etc complete. </t>
  </si>
  <si>
    <t>As per quotation rate</t>
  </si>
  <si>
    <t>Random Rubble mansonary in CM(1:6)  including Cost and Conveyance of all materials and curing charges but excluding unskilled wages etc., complete for finished item of work</t>
  </si>
  <si>
    <t>for windows</t>
  </si>
  <si>
    <t>Roofing tiles</t>
  </si>
  <si>
    <t>S.Earth</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</si>
  <si>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t>
  </si>
  <si>
    <t>Rough stone</t>
  </si>
  <si>
    <t>Masonry work in CM (1:8) prop with Flyash Cement solid blocks of size 290 x 225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</si>
  <si>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Cost of Cement Mortar (1:6)</t>
  </si>
  <si>
    <t>Woman Mazdoor</t>
  </si>
  <si>
    <t>No of blocks required for one cum of Masonry BMT-A.03</t>
  </si>
  <si>
    <t>8mm dia rods</t>
  </si>
  <si>
    <t>Supplying and fixing of  ventilator of size 0.60 x 0.45 Mts including fixing of 8mm dia roads and 4mm plain glass including all labour charges etc., complete</t>
  </si>
  <si>
    <t>Masonry work in CM (1:8) prop with Flyash Cement solid blocks of size 290 x 150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</si>
  <si>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Flush Pointing with CM (1:3) to Brick Masonry</t>
  </si>
  <si>
    <t xml:space="preserve">Flooring with pressed clay flooring tiles, set over base coat of cement mortar (1:8) 12 mm thick over CC bed already laid or RCC roof slab, including neat cement slurry of honey like consistency spread @ 3.3.kgs per sqm &amp; jointed neatly with cement mixed with pigment of matching shade to full depth, including cost of all materials like cement, sand water and tiles etc., complete, for finished item of work,     </t>
  </si>
  <si>
    <t>20 X 20 cm pressed clay flooring tiles</t>
  </si>
  <si>
    <t>Cement for jointing &amp; pointing</t>
  </si>
  <si>
    <t>Pointing with CM (1:3)</t>
  </si>
  <si>
    <t>Deduct CM (1:3)</t>
  </si>
  <si>
    <t>Sand for CM (1:8)</t>
  </si>
  <si>
    <t>Pressed type tiles</t>
  </si>
  <si>
    <t>Ongole</t>
  </si>
  <si>
    <t xml:space="preserve">for  platforms and shelves.  </t>
  </si>
  <si>
    <t xml:space="preserve">Hire charges of centering and scaffolding 
(50% of roof slab) </t>
  </si>
  <si>
    <t xml:space="preserve">Centering charges for Roof Slab Labour charges  (50% of roof slab) </t>
  </si>
  <si>
    <t>Fly cement bricks</t>
  </si>
  <si>
    <t>RCM drop wall</t>
  </si>
  <si>
    <t>Pressed tiles</t>
  </si>
  <si>
    <t>VKC</t>
  </si>
  <si>
    <t>Fine aggregate (Sand) for Mortor</t>
  </si>
  <si>
    <t>Filling basement with Selected earth</t>
  </si>
  <si>
    <t>RR Masonary in CM (1:6) for basement</t>
  </si>
  <si>
    <t>for Elevation work</t>
  </si>
  <si>
    <t xml:space="preserve">Add water charges 1% </t>
  </si>
  <si>
    <t>Fly ash cement bricks</t>
  </si>
  <si>
    <t>Pressed floor tiles</t>
  </si>
  <si>
    <t>Supply &amp; applying Poly-Urethane Water Proof Polish</t>
  </si>
  <si>
    <t>VRCC M30 design mix Concrete  for column footings</t>
  </si>
  <si>
    <t>VRCC M30 design mix Concrete  for Pedastal</t>
  </si>
  <si>
    <t>VRCC M30 design mix Concrete  for Columns</t>
  </si>
  <si>
    <t>VRCC M30 design mix Concrete  for Plinth beam</t>
  </si>
  <si>
    <t>VRCC M30 design mix Concrete  for Beams</t>
  </si>
  <si>
    <t xml:space="preserve">VRCC M30 design mix Concrete  for Slab 125mm </t>
  </si>
  <si>
    <t xml:space="preserve">VRCC M30 design mix Concrete  for Slab 150mm </t>
  </si>
  <si>
    <t xml:space="preserve">VRCC M30 design mix Concrete  for Slab 175mm </t>
  </si>
  <si>
    <t>VRCC M30 design mix Concrete  for Lintels</t>
  </si>
  <si>
    <t>VRCC M30 design mix Concrete  for Sunshades</t>
  </si>
  <si>
    <t>PCC M30 for Steps</t>
  </si>
  <si>
    <t xml:space="preserve">VRCC M30 design mix Concrete  for Slab 100mm </t>
  </si>
  <si>
    <t>Acco Plaster'g CM (1:3) 20mm</t>
  </si>
  <si>
    <t>Painting  with Emulsion paint for external walls</t>
  </si>
  <si>
    <t>Supply and fixing of  Door  of size 1.20 x 2.10mt</t>
  </si>
  <si>
    <t xml:space="preserve">Supply and fixing of  Door  of size 1.20 x 2.10mt </t>
  </si>
  <si>
    <t>50mm thick</t>
  </si>
  <si>
    <t>Qty.p.10 of M.B.No.174/B/ZP/16</t>
  </si>
  <si>
    <t>Qty.p.11 of M.B.No.174/B/ZP/16</t>
  </si>
  <si>
    <t>Qty.p.13 of M.B.No.174/B/ZP/16</t>
  </si>
  <si>
    <t>Qty.p.14 of M.B.No.174/B/ZP/16</t>
  </si>
  <si>
    <t>Precasted slab 50mm</t>
  </si>
  <si>
    <t xml:space="preserve">S&amp;F of 36" dia(0.90Mts) 2" thick Precasted rcc hume rings including cost and conveyance of all material and labour charges etc., complete for septic Tank </t>
  </si>
  <si>
    <t>36" dia(0.90Mts) 2" thick hume pipe ring</t>
  </si>
  <si>
    <t>Supplying and fixing of  Door of size 1.20X2.10M with single panels of frames made with sal wood and Shutter made with WPC door shutters including  MS Z hold fasts , Alluminium tower bolts, handle and butt hinges with all furniture fittings including c/c of all materials and furniture fittings etc complete as per specification  (APSS No 1001 &amp; 1002) Door Frame with Shutters</t>
  </si>
  <si>
    <t>Qty.p.23 of M.B.No.911/A/ZP/20</t>
  </si>
  <si>
    <t>Supply and fixing of 16A 3pin / 6A 3pin  plug socket with indicator lamp and 16Amps  fuse unit and 16 Amps  switch control (5 in one) on decolam sheet covered board including earth connection and all labour charges etc., complete on wall.</t>
  </si>
  <si>
    <t>Septic tank</t>
  </si>
  <si>
    <t>Plantation walls</t>
  </si>
  <si>
    <t>Ramp slope</t>
  </si>
  <si>
    <t>For water tank</t>
  </si>
  <si>
    <t>Beam sides</t>
  </si>
  <si>
    <t>Staff room</t>
  </si>
  <si>
    <t>Waiting room</t>
  </si>
  <si>
    <t>Agri cum aqua store</t>
  </si>
  <si>
    <t>Below staircase</t>
  </si>
  <si>
    <t>Deduct</t>
  </si>
  <si>
    <t xml:space="preserve">Hall </t>
  </si>
  <si>
    <t>Landing</t>
  </si>
  <si>
    <t>Entrance steps treads</t>
  </si>
  <si>
    <t>Steps godown</t>
  </si>
  <si>
    <t>Staircase steps</t>
  </si>
  <si>
    <t>Entrance steps risers</t>
  </si>
  <si>
    <t>Godown steps risers</t>
  </si>
  <si>
    <t>Manufacture, Supply and Delivery of Unplasticised PVCs Pipes for potable water supplies conforming to IS : 4985/2000 (3rd revision) with bell ends (Socket) as per specification.</t>
  </si>
  <si>
    <t>Supplying &amp; Fixing white glazed flat back half stall urinals 1st quality conforming to IS:2556-1995 with standard C.P. Spreader of overall size 95 x 95 x 57 mm conforming to IS:2556-Part6, Sec-6-1974 fixed with screws complete Indian make : 410 x 265 x 305 mm</t>
  </si>
  <si>
    <t>Initial cost BMW-D.34</t>
  </si>
  <si>
    <t>VRCC M30 design mix Concrete  for Slab 50mm</t>
  </si>
  <si>
    <t xml:space="preserve">VRCC M30 design mix Concrete  for Slab 50mm </t>
  </si>
  <si>
    <t>S&amp;F of 25mm dia PVC pies</t>
  </si>
  <si>
    <t>S&amp;F of Urinals</t>
  </si>
  <si>
    <t>Supply and fixing of 16A 3/2 pin wall plug socket</t>
  </si>
  <si>
    <t>121</t>
  </si>
  <si>
    <t>126</t>
  </si>
  <si>
    <t>128</t>
  </si>
  <si>
    <t>130</t>
  </si>
  <si>
    <t>131</t>
  </si>
  <si>
    <t>133</t>
  </si>
  <si>
    <t>134</t>
  </si>
  <si>
    <t>136</t>
  </si>
  <si>
    <t>Manufacture, Supply and Delivery of Unplasticised PVCs Pipes for potable water supplies conforming to IS : 4985/2000 (3rd revision) with bell ends (Socket) as per specification. 25mm dia</t>
  </si>
  <si>
    <t>BLD-ELEC-2.1.5</t>
  </si>
  <si>
    <t>20 x 15 cms (8" x6") Decolam sheet covered board ELEC-1.4.2 d</t>
  </si>
  <si>
    <t>16A / 20A 1 Way 1 Module Modular Switch. ELEC-1.8.1 h</t>
  </si>
  <si>
    <t>0.5W LED bulb ELEC-3.7.5 a</t>
  </si>
  <si>
    <t xml:space="preserve">Supply and fixing of ISI mark batten holder / angle holder on existing block, but with bulb including all connections etc., complete </t>
  </si>
  <si>
    <r>
      <t>1</t>
    </r>
    <r>
      <rPr>
        <vertAlign val="superscript"/>
        <sz val="10"/>
        <rFont val="Calibri"/>
        <family val="2"/>
        <scheme val="minor"/>
      </rPr>
      <t xml:space="preserve">st </t>
    </r>
    <r>
      <rPr>
        <sz val="10"/>
        <rFont val="Calibri"/>
        <family val="2"/>
        <scheme val="minor"/>
      </rPr>
      <t xml:space="preserve"> Class Barbender</t>
    </r>
  </si>
  <si>
    <r>
      <t>1</t>
    </r>
    <r>
      <rPr>
        <vertAlign val="superscript"/>
        <sz val="10"/>
        <rFont val="Calibri"/>
        <family val="2"/>
        <scheme val="minor"/>
      </rPr>
      <t>st</t>
    </r>
    <r>
      <rPr>
        <sz val="10"/>
        <rFont val="Calibri"/>
        <family val="2"/>
        <scheme val="minor"/>
      </rPr>
      <t xml:space="preserve"> Class Carpenter, 1</t>
    </r>
    <r>
      <rPr>
        <vertAlign val="superscript"/>
        <sz val="10"/>
        <rFont val="Calibri"/>
        <family val="2"/>
        <scheme val="minor"/>
      </rPr>
      <t xml:space="preserve">st </t>
    </r>
    <r>
      <rPr>
        <sz val="10"/>
        <rFont val="Calibri"/>
        <family val="2"/>
        <scheme val="minor"/>
      </rPr>
      <t xml:space="preserve"> Class Painter</t>
    </r>
  </si>
  <si>
    <r>
      <t>1</t>
    </r>
    <r>
      <rPr>
        <vertAlign val="superscript"/>
        <sz val="10"/>
        <rFont val="Calibri"/>
        <family val="2"/>
        <scheme val="minor"/>
      </rPr>
      <t xml:space="preserve">st  </t>
    </r>
    <r>
      <rPr>
        <sz val="10"/>
        <rFont val="Calibri"/>
        <family val="2"/>
        <scheme val="minor"/>
      </rPr>
      <t>Class Mason, Brick Layer</t>
    </r>
  </si>
  <si>
    <r>
      <t>2</t>
    </r>
    <r>
      <rPr>
        <vertAlign val="superscript"/>
        <sz val="10"/>
        <rFont val="Calibri"/>
        <family val="2"/>
        <scheme val="minor"/>
      </rPr>
      <t xml:space="preserve">nd </t>
    </r>
    <r>
      <rPr>
        <sz val="10"/>
        <rFont val="Calibri"/>
        <family val="2"/>
        <scheme val="minor"/>
      </rPr>
      <t>Class Mason, 2</t>
    </r>
    <r>
      <rPr>
        <vertAlign val="superscript"/>
        <sz val="10"/>
        <rFont val="Calibri"/>
        <family val="2"/>
        <scheme val="minor"/>
      </rPr>
      <t xml:space="preserve">nd </t>
    </r>
    <r>
      <rPr>
        <sz val="10"/>
        <rFont val="Calibri"/>
        <family val="2"/>
        <scheme val="minor"/>
      </rPr>
      <t>Brick Layer, 2</t>
    </r>
    <r>
      <rPr>
        <vertAlign val="superscript"/>
        <sz val="10"/>
        <rFont val="Calibri"/>
        <family val="2"/>
        <scheme val="minor"/>
      </rPr>
      <t xml:space="preserve">nd </t>
    </r>
    <r>
      <rPr>
        <sz val="10"/>
        <rFont val="Calibri"/>
        <family val="2"/>
        <scheme val="minor"/>
      </rPr>
      <t>Carpentor, 2</t>
    </r>
    <r>
      <rPr>
        <vertAlign val="superscript"/>
        <sz val="10"/>
        <rFont val="Calibri"/>
        <family val="2"/>
        <scheme val="minor"/>
      </rPr>
      <t xml:space="preserve">nd </t>
    </r>
    <r>
      <rPr>
        <sz val="10"/>
        <rFont val="Calibri"/>
        <family val="2"/>
        <scheme val="minor"/>
      </rPr>
      <t xml:space="preserve">Class Painter </t>
    </r>
  </si>
  <si>
    <r>
      <t>Water Charges Rs</t>
    </r>
    <r>
      <rPr>
        <b/>
        <sz val="10"/>
        <rFont val="Calibri"/>
        <family val="2"/>
        <scheme val="minor"/>
      </rPr>
      <t xml:space="preserve"> 107-00 in Urban </t>
    </r>
    <r>
      <rPr>
        <sz val="10"/>
        <rFont val="Calibri"/>
        <family val="2"/>
        <scheme val="minor"/>
      </rPr>
      <t>Area</t>
    </r>
    <r>
      <rPr>
        <b/>
        <sz val="10"/>
        <rFont val="Calibri"/>
        <family val="2"/>
        <scheme val="minor"/>
      </rPr>
      <t xml:space="preserve"> </t>
    </r>
    <r>
      <rPr>
        <sz val="10"/>
        <rFont val="Calibri"/>
        <family val="2"/>
        <scheme val="minor"/>
      </rPr>
      <t>and in</t>
    </r>
    <r>
      <rPr>
        <b/>
        <sz val="10"/>
        <rFont val="Calibri"/>
        <family val="2"/>
        <scheme val="minor"/>
      </rPr>
      <t xml:space="preserve"> Rural Area</t>
    </r>
  </si>
  <si>
    <r>
      <rPr>
        <sz val="10"/>
        <rFont val="Calibri"/>
        <family val="2"/>
        <scheme val="minor"/>
      </rPr>
      <t>Roof Slabs 100mm Basic Rat</t>
    </r>
    <r>
      <rPr>
        <b/>
        <sz val="10"/>
        <rFont val="Calibri"/>
        <family val="2"/>
        <scheme val="minor"/>
      </rPr>
      <t xml:space="preserve">e </t>
    </r>
    <r>
      <rPr>
        <sz val="10"/>
        <rFont val="Calibri"/>
        <family val="2"/>
        <scheme val="minor"/>
      </rPr>
      <t>1sqm</t>
    </r>
  </si>
  <si>
    <r>
      <rPr>
        <sz val="10"/>
        <rFont val="Calibri"/>
        <family val="2"/>
        <scheme val="minor"/>
      </rPr>
      <t>Roof Slabs 125mm Basic Rat</t>
    </r>
    <r>
      <rPr>
        <b/>
        <sz val="10"/>
        <rFont val="Calibri"/>
        <family val="2"/>
        <scheme val="minor"/>
      </rPr>
      <t xml:space="preserve">e </t>
    </r>
    <r>
      <rPr>
        <sz val="10"/>
        <rFont val="Calibri"/>
        <family val="2"/>
        <scheme val="minor"/>
      </rPr>
      <t>1sqm</t>
    </r>
  </si>
  <si>
    <r>
      <t>1.0MX0.6MX(0.075+0.05)2 = 0.0375Cum/</t>
    </r>
    <r>
      <rPr>
        <b/>
        <sz val="10"/>
        <rFont val="Calibri"/>
        <family val="2"/>
        <scheme val="minor"/>
      </rPr>
      <t>1M</t>
    </r>
  </si>
  <si>
    <r>
      <rPr>
        <sz val="10"/>
        <rFont val="Calibri"/>
        <family val="2"/>
        <scheme val="minor"/>
      </rPr>
      <t>Roof Slabs 50mm Basic Rat</t>
    </r>
    <r>
      <rPr>
        <b/>
        <sz val="10"/>
        <rFont val="Calibri"/>
        <family val="2"/>
        <scheme val="minor"/>
      </rPr>
      <t xml:space="preserve">e </t>
    </r>
    <r>
      <rPr>
        <sz val="10"/>
        <rFont val="Calibri"/>
        <family val="2"/>
        <scheme val="minor"/>
      </rPr>
      <t>1sqm</t>
    </r>
  </si>
  <si>
    <r>
      <t xml:space="preserve">Labour </t>
    </r>
    <r>
      <rPr>
        <sz val="10"/>
        <rFont val="Calibri"/>
        <family val="2"/>
        <scheme val="minor"/>
      </rPr>
      <t>for cutting, bending, shifting to site, tying and placing in position</t>
    </r>
  </si>
  <si>
    <r>
      <rPr>
        <sz val="10"/>
        <rFont val="Calibri"/>
        <family val="2"/>
        <scheme val="minor"/>
      </rPr>
      <t>Basic Rate</t>
    </r>
    <r>
      <rPr>
        <b/>
        <sz val="10"/>
        <rFont val="Calibri"/>
        <family val="2"/>
        <scheme val="minor"/>
      </rPr>
      <t xml:space="preserve"> </t>
    </r>
    <r>
      <rPr>
        <sz val="10"/>
        <rFont val="Calibri"/>
        <family val="2"/>
        <scheme val="minor"/>
      </rPr>
      <t>10.00sqm</t>
    </r>
  </si>
  <si>
    <r>
      <rPr>
        <sz val="10"/>
        <rFont val="Calibri"/>
        <family val="2"/>
        <scheme val="minor"/>
      </rPr>
      <t>Basic Rate</t>
    </r>
    <r>
      <rPr>
        <b/>
        <sz val="10"/>
        <rFont val="Calibri"/>
        <family val="2"/>
        <scheme val="minor"/>
      </rPr>
      <t xml:space="preserve"> </t>
    </r>
    <r>
      <rPr>
        <sz val="10"/>
        <rFont val="Calibri"/>
        <family val="2"/>
        <scheme val="minor"/>
      </rPr>
      <t>10sqm</t>
    </r>
  </si>
  <si>
    <r>
      <t xml:space="preserve">Whiting / White Cement / </t>
    </r>
    <r>
      <rPr>
        <b/>
        <sz val="10"/>
        <rFont val="Calibri"/>
        <family val="2"/>
        <scheme val="minor"/>
      </rPr>
      <t>BMT-J.31</t>
    </r>
  </si>
  <si>
    <r>
      <rPr>
        <sz val="10"/>
        <rFont val="Calibri"/>
        <family val="2"/>
        <scheme val="minor"/>
      </rPr>
      <t>Basic Rate</t>
    </r>
    <r>
      <rPr>
        <b/>
        <sz val="10"/>
        <rFont val="Calibri"/>
        <family val="2"/>
        <scheme val="minor"/>
      </rPr>
      <t xml:space="preserve"> </t>
    </r>
    <r>
      <rPr>
        <sz val="10"/>
        <rFont val="Calibri"/>
        <family val="2"/>
        <scheme val="minor"/>
      </rPr>
      <t>10 sqm</t>
    </r>
  </si>
  <si>
    <r>
      <t xml:space="preserve">Centering </t>
    </r>
    <r>
      <rPr>
        <b/>
        <sz val="10"/>
        <rFont val="Calibri"/>
        <family val="2"/>
        <scheme val="minor"/>
      </rPr>
      <t>:</t>
    </r>
    <r>
      <rPr>
        <sz val="10"/>
        <rFont val="Calibri"/>
        <family val="2"/>
        <scheme val="minor"/>
      </rPr>
      <t xml:space="preserve"> Columns Footings material hire charges </t>
    </r>
  </si>
  <si>
    <r>
      <t xml:space="preserve">Centering </t>
    </r>
    <r>
      <rPr>
        <b/>
        <sz val="10"/>
        <rFont val="Calibri"/>
        <family val="2"/>
        <scheme val="minor"/>
      </rPr>
      <t>:</t>
    </r>
    <r>
      <rPr>
        <sz val="10"/>
        <rFont val="Calibri"/>
        <family val="2"/>
        <scheme val="minor"/>
      </rPr>
      <t xml:space="preserve"> Columns Footings Labour charges</t>
    </r>
  </si>
  <si>
    <r>
      <t xml:space="preserve">Centering </t>
    </r>
    <r>
      <rPr>
        <b/>
        <sz val="10"/>
        <rFont val="Calibri"/>
        <family val="2"/>
        <scheme val="minor"/>
      </rPr>
      <t>:</t>
    </r>
    <r>
      <rPr>
        <sz val="10"/>
        <rFont val="Calibri"/>
        <family val="2"/>
        <scheme val="minor"/>
      </rPr>
      <t xml:space="preserve"> Column Pedastals material hire charges </t>
    </r>
  </si>
  <si>
    <r>
      <t xml:space="preserve">Centering </t>
    </r>
    <r>
      <rPr>
        <b/>
        <sz val="10"/>
        <rFont val="Calibri"/>
        <family val="2"/>
        <scheme val="minor"/>
      </rPr>
      <t>:</t>
    </r>
    <r>
      <rPr>
        <sz val="10"/>
        <rFont val="Calibri"/>
        <family val="2"/>
        <scheme val="minor"/>
      </rPr>
      <t xml:space="preserve"> Column Pedastals  Labour charges</t>
    </r>
  </si>
  <si>
    <r>
      <t xml:space="preserve">Centering </t>
    </r>
    <r>
      <rPr>
        <b/>
        <sz val="10"/>
        <rFont val="Calibri"/>
        <family val="2"/>
        <scheme val="minor"/>
      </rPr>
      <t>:</t>
    </r>
    <r>
      <rPr>
        <sz val="10"/>
        <rFont val="Calibri"/>
        <family val="2"/>
        <scheme val="minor"/>
      </rPr>
      <t xml:space="preserve"> Plinth Beams material hire charges </t>
    </r>
  </si>
  <si>
    <r>
      <t xml:space="preserve">Centering </t>
    </r>
    <r>
      <rPr>
        <b/>
        <sz val="10"/>
        <rFont val="Calibri"/>
        <family val="2"/>
        <scheme val="minor"/>
      </rPr>
      <t>:</t>
    </r>
    <r>
      <rPr>
        <sz val="10"/>
        <rFont val="Calibri"/>
        <family val="2"/>
        <scheme val="minor"/>
      </rPr>
      <t xml:space="preserve"> Plinth Beam  Labour charges</t>
    </r>
  </si>
  <si>
    <r>
      <t xml:space="preserve">Columns Basic Rate </t>
    </r>
    <r>
      <rPr>
        <sz val="10"/>
        <rFont val="Calibri"/>
        <family val="2"/>
        <scheme val="minor"/>
      </rPr>
      <t>for 1.00 Cum</t>
    </r>
  </si>
  <si>
    <r>
      <t xml:space="preserve">Add Lift Charges @ 10%, 20% on Labour charges </t>
    </r>
    <r>
      <rPr>
        <b/>
        <sz val="10"/>
        <rFont val="Calibri"/>
        <family val="2"/>
        <scheme val="minor"/>
      </rPr>
      <t>B</t>
    </r>
  </si>
  <si>
    <r>
      <t xml:space="preserve">Lintels Basic Rate </t>
    </r>
    <r>
      <rPr>
        <sz val="10"/>
        <rFont val="Calibri"/>
        <family val="2"/>
        <scheme val="minor"/>
      </rPr>
      <t>for 1.00 Cum</t>
    </r>
  </si>
  <si>
    <r>
      <t xml:space="preserve">Roof Beams Basic Rate </t>
    </r>
    <r>
      <rPr>
        <sz val="10"/>
        <rFont val="Calibri"/>
        <family val="2"/>
        <scheme val="minor"/>
      </rPr>
      <t>1.00 Cum</t>
    </r>
  </si>
  <si>
    <r>
      <t xml:space="preserve">Roof Slabs 100mm Basic Rate </t>
    </r>
    <r>
      <rPr>
        <sz val="10"/>
        <rFont val="Calibri"/>
        <family val="2"/>
        <scheme val="minor"/>
      </rPr>
      <t>1sqm</t>
    </r>
  </si>
  <si>
    <r>
      <t xml:space="preserve">Add Lift Charges @ 10%, 20% on Labour charges  </t>
    </r>
    <r>
      <rPr>
        <b/>
        <sz val="10"/>
        <rFont val="Calibri"/>
        <family val="2"/>
        <scheme val="minor"/>
      </rPr>
      <t>B</t>
    </r>
  </si>
  <si>
    <r>
      <t xml:space="preserve">Roof Slabs 125mm Basic Rate </t>
    </r>
    <r>
      <rPr>
        <sz val="10"/>
        <rFont val="Calibri"/>
        <family val="2"/>
        <scheme val="minor"/>
      </rPr>
      <t>1sqm</t>
    </r>
  </si>
  <si>
    <r>
      <t xml:space="preserve">Roof Slabs 150mm Basic Rate </t>
    </r>
    <r>
      <rPr>
        <sz val="10"/>
        <rFont val="Calibri"/>
        <family val="2"/>
        <scheme val="minor"/>
      </rPr>
      <t>1sqm</t>
    </r>
  </si>
  <si>
    <r>
      <t xml:space="preserve">Waist Slab 175mm Basic Rate </t>
    </r>
    <r>
      <rPr>
        <sz val="10"/>
        <rFont val="Calibri"/>
        <family val="2"/>
        <scheme val="minor"/>
      </rPr>
      <t>1sqm</t>
    </r>
  </si>
  <si>
    <r>
      <t xml:space="preserve">Chajjas of 0.50M width </t>
    </r>
    <r>
      <rPr>
        <sz val="10"/>
        <rFont val="Calibri"/>
        <family val="2"/>
        <scheme val="minor"/>
      </rPr>
      <t>with 2" thick</t>
    </r>
  </si>
  <si>
    <r>
      <t xml:space="preserve">50mm thick platforms / lofts: </t>
    </r>
    <r>
      <rPr>
        <sz val="10"/>
        <rFont val="Calibri"/>
        <family val="2"/>
        <scheme val="minor"/>
      </rPr>
      <t>1sqm</t>
    </r>
  </si>
  <si>
    <r>
      <t xml:space="preserve">25mm thick platforms / lofts: </t>
    </r>
    <r>
      <rPr>
        <sz val="10"/>
        <rFont val="Calibri"/>
        <family val="2"/>
        <scheme val="minor"/>
      </rPr>
      <t>1sqm</t>
    </r>
  </si>
  <si>
    <r>
      <t xml:space="preserve">For Steps Basic Rate </t>
    </r>
    <r>
      <rPr>
        <sz val="10"/>
        <rFont val="Calibri"/>
        <family val="2"/>
        <scheme val="minor"/>
      </rPr>
      <t>1.00 Cum</t>
    </r>
  </si>
  <si>
    <r>
      <t xml:space="preserve">Supplying and fixing of stainless steel (grade 304) </t>
    </r>
    <r>
      <rPr>
        <b/>
        <sz val="10"/>
        <rFont val="Calibri"/>
        <family val="2"/>
        <scheme val="minor"/>
      </rPr>
      <t>hand railing</t>
    </r>
    <r>
      <rPr>
        <sz val="10"/>
        <rFont val="Calibri"/>
        <family val="2"/>
        <scheme val="minor"/>
      </rPr>
      <t xml:space="preserve"> 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</si>
  <si>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 xml:space="preserve">Supplying and fixing of stainless steel (grade 304) </t>
    </r>
    <r>
      <rPr>
        <b/>
        <sz val="10"/>
        <rFont val="Calibri"/>
        <family val="2"/>
        <scheme val="minor"/>
      </rPr>
      <t>railing for ramp</t>
    </r>
    <r>
      <rPr>
        <sz val="10"/>
        <rFont val="Calibri"/>
        <family val="2"/>
        <scheme val="minor"/>
      </rPr>
      <t xml:space="preserve"> as per approved drawing with top rail of 50mm dia pipe and 2mm thick medium class fixed in to wall with 25mm dia pipe of 0.30m length @ 1m centre to centre and welding,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</si>
  <si>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Brick Masonary for Basement with CM (1:6)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</si>
  <si>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23X11X7cms 2nd class</t>
  </si>
  <si>
    <r>
      <t>Brick Masonary for Superstructure with CM (1:8)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</si>
  <si>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 2nd class</t>
  </si>
  <si>
    <r>
      <t xml:space="preserve">Ceiling Plastering in CM (1:3) 12mm thick with dubara sponge finishing  including cost and conveyance of all materials including all labour charges such as mixing cement mortar and curing etc complete for finished item of work (APSS 901 &amp; 903) </t>
    </r>
    <r>
      <rPr>
        <b/>
        <sz val="10"/>
        <rFont val="Calibri"/>
        <family val="2"/>
        <scheme val="minor"/>
      </rPr>
      <t>as per Amendment Data SoR 16-17</t>
    </r>
  </si>
  <si>
    <r>
      <t xml:space="preserve">Plastering in CM (1:5) 12mm thick  single coat including c/c of all materials including all operational, incidental and labour charges such as mixing cement mortar and curing etc complete for finished item of work (APSS 901,  903 &amp; 904)  for internal walls </t>
    </r>
    <r>
      <rPr>
        <b/>
        <sz val="10"/>
        <rFont val="Calibri"/>
        <family val="2"/>
        <scheme val="minor"/>
      </rPr>
      <t>as per Amendment Data SoR 16-17</t>
    </r>
  </si>
  <si>
    <r>
      <t xml:space="preserve">Plastering in CM (1:5)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</si>
  <si>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t xml:space="preserve">Plastering in CM (1:3)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</si>
  <si>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sal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</si>
  <si>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sal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</si>
  <si>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</si>
  <si>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BLD-CSTN-8-25</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</si>
  <si>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of wall &amp; slab etc complete for finished item of work (APSS 901,903) </t>
  </si>
  <si>
    <r>
      <t xml:space="preserve">~do~ for  </t>
    </r>
    <r>
      <rPr>
        <b/>
        <sz val="10"/>
        <rFont val="Calibri"/>
        <family val="2"/>
        <scheme val="minor"/>
      </rPr>
      <t>Roof slab 50mm thick etc., complete</t>
    </r>
  </si>
  <si>
    <r>
      <t xml:space="preserve">~do~ for  </t>
    </r>
    <r>
      <rPr>
        <b/>
        <sz val="10"/>
        <rFont val="Calibri"/>
        <family val="2"/>
        <scheme val="minor"/>
      </rPr>
      <t>Roof slab 25mm thick etc., complete</t>
    </r>
  </si>
  <si>
    <t>BLD-CSTN-6-18</t>
  </si>
  <si>
    <t xml:space="preserve">Common burnt clay bricks of class </t>
  </si>
  <si>
    <t xml:space="preserve">Loading charges
</t>
  </si>
  <si>
    <t xml:space="preserve">High Polished Granite 16 to 18 mm </t>
  </si>
  <si>
    <t>unloading charges</t>
  </si>
  <si>
    <t>RSSR 19-20</t>
  </si>
  <si>
    <t>BLD-CSTN-2-9
Amendment as per 2015-16</t>
  </si>
  <si>
    <t>RBR-FNDN    -2- (I)
Amendment as per 2015-16</t>
  </si>
  <si>
    <t>RBR-FNDN -        2- (I)
Amendment as per 2015-16</t>
  </si>
  <si>
    <t xml:space="preserve">BLD-CSTN-    2-18
Amendment </t>
  </si>
  <si>
    <t>Supplying, fitting &amp; placing HYSD bar reinforcement in foundation complete as per drawings and  technical Specifications including labour charges for cutting, bending to required sizes and shapes, placing in position and tying with binding wire, forming grills for reinforcement work including cost and conveyance of steel bars below 36mm dia including overlaps and wastage, where they are not welded</t>
  </si>
  <si>
    <t>Amendment ofasper Building SSR 2011-12</t>
  </si>
  <si>
    <t>Providing  Mild Steel (MS) steel bars  of different diameters for RCC works , including labour charges for straightening, cutting, bending to required sizes and shapes, placing in position with cover blocks of approved materials and size and tying and welding using electrodes, forming grills for reinforcement work as per approved designs and drawings, including cost and conveyance of steel bars, including all wastages such as overlaps, couplings, welding, chairs, spacer bars including cost and conveyance of binding wire, cover blocks and all incidental, operational, labour charges such as cutting, bending, placing in position, welding including sales and other taxes on all materials etc., complete for finished item of work.</t>
  </si>
  <si>
    <t>Unit = t</t>
  </si>
  <si>
    <t>(a) Material</t>
  </si>
  <si>
    <t>HYSD/ TMT/ MS bars including 2.5 per cent for wastage</t>
  </si>
  <si>
    <t>Welding Electrodes @ 5 per joint (14 joints / ton)</t>
  </si>
  <si>
    <t>each</t>
  </si>
  <si>
    <t>Binding wire ( MATERIAL &amp; WORK ITEM
RATES S.No.173)</t>
  </si>
  <si>
    <t>(b) Labour for cutting, bending, shifting to site, tying and placing in position</t>
  </si>
  <si>
    <t>Welder</t>
  </si>
  <si>
    <t>Black smith</t>
  </si>
  <si>
    <t>Mazdoor (Unskilled)</t>
  </si>
  <si>
    <t>Welding Charges (Hire charges of Welding Machine)</t>
  </si>
  <si>
    <t>Hr</t>
  </si>
  <si>
    <t>Rate per tonne</t>
  </si>
  <si>
    <t>Rate per Kg</t>
  </si>
  <si>
    <t>1 RM = 1.96 Kgs</t>
  </si>
  <si>
    <t>1 RM = 0.78 Kgs</t>
  </si>
  <si>
    <t>BLD-CSTN-4-9</t>
  </si>
  <si>
    <t>BLD-CSTN-    3-1a (v)</t>
  </si>
  <si>
    <t>BLD-CSTN-6-10</t>
  </si>
  <si>
    <t>BLD-CSTN-6-9</t>
  </si>
  <si>
    <t xml:space="preserve">Add Lift Charges @ 10%, 20% on Labour charges </t>
  </si>
  <si>
    <t>BLD-CSTN-5-1</t>
  </si>
  <si>
    <t>BLD-CSTN-7-11</t>
  </si>
  <si>
    <t>20Kg</t>
  </si>
  <si>
    <t>BLD-CSTN-10-2</t>
  </si>
  <si>
    <t>Painting, Priming Coat on New Plastered Surface for internal walls</t>
  </si>
  <si>
    <t>Unit: 10 sqm</t>
  </si>
  <si>
    <t>A. MATERIALS :</t>
  </si>
  <si>
    <t>B. LABOUR</t>
  </si>
  <si>
    <t>Total cost for 10 sqm</t>
  </si>
  <si>
    <t>Painting, Priming Coat on New Plastered Surface for external walls</t>
  </si>
  <si>
    <t>PRIMARY COAT:</t>
  </si>
  <si>
    <t>10 Sqm</t>
  </si>
  <si>
    <t xml:space="preserve">A) MATERIALS : </t>
  </si>
  <si>
    <t xml:space="preserve">acrylic Emulsion paint (at 20 sqm / liter as per British Paints (I) Ltd. </t>
  </si>
  <si>
    <t xml:space="preserve">B) LABOUR </t>
  </si>
  <si>
    <t xml:space="preserve">Painter - 1st Class </t>
  </si>
  <si>
    <t xml:space="preserve">Painter - 2nd class </t>
  </si>
  <si>
    <t>Lift Charges per 10 Sqmt.</t>
  </si>
  <si>
    <t>BASIC COST per 1 sqm</t>
  </si>
  <si>
    <t>Painting to new walls with 2 coats of acrylic Emulsion paint Asian  or equivalent and shade over Priming coat with Cement primer water base exterior Gr-2 Asian or equivalent on new plastered surface after throughly brushing the surace remove all dirt and remains of loose powdered materials including c/c of all materials to worksite and all oparational, incidental ,labour charges etc complete for finished item of work as per SS 912 for External walls</t>
  </si>
  <si>
    <t xml:space="preserve">Painting, Priming Coat with Cement Primer </t>
  </si>
  <si>
    <t xml:space="preserve">acrylic Emulsion paint </t>
  </si>
  <si>
    <t>BMT-F.29</t>
  </si>
  <si>
    <t xml:space="preserve">Teak Wood for Scantlings/Frames  </t>
  </si>
  <si>
    <t>BMT-E.01</t>
  </si>
  <si>
    <t xml:space="preserve">Teak Wood for Planks/Shutters </t>
  </si>
  <si>
    <t>BMT-E.04</t>
  </si>
  <si>
    <r>
      <t xml:space="preserve">150mm </t>
    </r>
    <r>
      <rPr>
        <sz val="10"/>
        <color rgb="FFFF0000"/>
        <rFont val="Calibri"/>
        <family val="2"/>
        <scheme val="minor"/>
      </rPr>
      <t>Brass</t>
    </r>
    <r>
      <rPr>
        <sz val="10"/>
        <rFont val="Calibri"/>
        <family val="2"/>
        <scheme val="minor"/>
      </rPr>
      <t xml:space="preserve"> tower bolts </t>
    </r>
  </si>
  <si>
    <t>BMT-G.02</t>
  </si>
  <si>
    <r>
      <t xml:space="preserve">Butt Hinges 125mm  </t>
    </r>
    <r>
      <rPr>
        <sz val="10"/>
        <color rgb="FFFF0000"/>
        <rFont val="Calibri"/>
        <family val="2"/>
        <scheme val="minor"/>
      </rPr>
      <t>Brass</t>
    </r>
    <r>
      <rPr>
        <sz val="10"/>
        <rFont val="Calibri"/>
        <family val="2"/>
        <scheme val="minor"/>
      </rPr>
      <t xml:space="preserve"> </t>
    </r>
  </si>
  <si>
    <t>BMT-G.21</t>
  </si>
  <si>
    <t xml:space="preserve">150mm Alluminium Door handle </t>
  </si>
  <si>
    <t>BMT-G.34</t>
  </si>
  <si>
    <r>
      <t xml:space="preserve">300mm </t>
    </r>
    <r>
      <rPr>
        <sz val="10"/>
        <color rgb="FFFF0000"/>
        <rFont val="Calibri"/>
        <family val="2"/>
        <scheme val="minor"/>
      </rPr>
      <t>Brass</t>
    </r>
    <r>
      <rPr>
        <sz val="10"/>
        <rFont val="Calibri"/>
        <family val="2"/>
        <scheme val="minor"/>
      </rPr>
      <t xml:space="preserve"> Aldrop </t>
    </r>
  </si>
  <si>
    <t>BMT-G.37</t>
  </si>
  <si>
    <t xml:space="preserve">Brass door stoppers </t>
  </si>
  <si>
    <t>BMT-G.46</t>
  </si>
  <si>
    <t xml:space="preserve">MS Z Hold fasts 300mm Long </t>
  </si>
  <si>
    <t>BMS-W.69</t>
  </si>
  <si>
    <t xml:space="preserve">wrought &amp; Putup Labour charges </t>
  </si>
  <si>
    <t>BMM-V.25</t>
  </si>
  <si>
    <t xml:space="preserve">WPC shutter door </t>
  </si>
  <si>
    <t>BMT-N.88</t>
  </si>
  <si>
    <t xml:space="preserve">Fixing WPC door </t>
  </si>
  <si>
    <t>BMM-V.42</t>
  </si>
  <si>
    <t xml:space="preserve">150mm Alluminium tower bolts </t>
  </si>
  <si>
    <t>BMT-G.08</t>
  </si>
  <si>
    <t xml:space="preserve">Butt Hinges 125mm  Alluminiu </t>
  </si>
  <si>
    <t>BMT-G.25</t>
  </si>
  <si>
    <t xml:space="preserve">300mm Alluminium Aldrop </t>
  </si>
  <si>
    <t>BMT-G.42</t>
  </si>
  <si>
    <t xml:space="preserve">Door stopper MS Powder coated </t>
  </si>
  <si>
    <t>BMT-G.53</t>
  </si>
  <si>
    <t>wrought &amp; Putup Labour charges 
For frames only (1/3)</t>
  </si>
  <si>
    <t>Rate per 1 Sqm</t>
  </si>
  <si>
    <t>Rate per 1 No</t>
  </si>
  <si>
    <t xml:space="preserve">Plain float glass </t>
  </si>
  <si>
    <t>BMT-I.01</t>
  </si>
  <si>
    <t>BMS-W.17</t>
  </si>
  <si>
    <t>BMT-N.83.C</t>
  </si>
  <si>
    <t xml:space="preserve">Labour charges for Shutter </t>
  </si>
  <si>
    <t xml:space="preserve">200mm Alluminium tower bolts </t>
  </si>
  <si>
    <t>BMT-G.09</t>
  </si>
  <si>
    <t>Initial cost  two track panels</t>
  </si>
  <si>
    <t>BMT-P.80.A</t>
  </si>
  <si>
    <t xml:space="preserve">Initial cost  Three track </t>
  </si>
  <si>
    <t>Initial cost  Glazed window</t>
  </si>
  <si>
    <t>BMT-P.79</t>
  </si>
  <si>
    <t>Initial cost  (SSR 2012-13)</t>
  </si>
  <si>
    <t>BMT-J.46</t>
  </si>
  <si>
    <t xml:space="preserve">Poly-Urethene Polish - exteritor Grade </t>
  </si>
  <si>
    <t>BMT-J.13</t>
  </si>
  <si>
    <t xml:space="preserve">Thinner for Polyurethane polish </t>
  </si>
  <si>
    <t xml:space="preserve">18" dia(0.45Mts) 2" thick hume pipe ring </t>
  </si>
  <si>
    <t>ELEC-8.4.22</t>
  </si>
  <si>
    <t xml:space="preserve">CC Cover for hume pipe </t>
  </si>
  <si>
    <t>ELEC-8.4.24</t>
  </si>
  <si>
    <t>Jungle</t>
  </si>
  <si>
    <t>Earthwork</t>
  </si>
  <si>
    <t>Columns</t>
  </si>
  <si>
    <t>Plinth beam</t>
  </si>
  <si>
    <t>Plain Cement Concrete  M30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</si>
  <si>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 xml:space="preserve">S&amp;F of 1200 &amp; 900 mm dia 2" thick Precasted  cc cover for hume pipe including cost and conveyance of all material and labour charges etc., complete for septic Tank </t>
  </si>
  <si>
    <t>Precasted slab 25mm</t>
  </si>
  <si>
    <t>Acco Plaster'g CM (1:3) 12mm</t>
  </si>
  <si>
    <t>110mm dia pvc pipe</t>
  </si>
  <si>
    <t>90mm dia pvc pipe</t>
  </si>
  <si>
    <t>75mm dia pvc pipe</t>
  </si>
  <si>
    <t>Nahany trap</t>
  </si>
  <si>
    <t>180mm dia bore cap</t>
  </si>
  <si>
    <t>12 Module box</t>
  </si>
  <si>
    <t>8 Module box</t>
  </si>
  <si>
    <t>6 Module box</t>
  </si>
  <si>
    <t>4 Module box</t>
  </si>
  <si>
    <t>exhaust fan</t>
  </si>
  <si>
    <t>Certified that the above leads are correct to the best of my knowledge.</t>
  </si>
  <si>
    <t>1)</t>
  </si>
  <si>
    <t>2)</t>
  </si>
  <si>
    <t>VRCC M30 design mix Concrete  for Slab 25mm</t>
  </si>
  <si>
    <t>impervious coat over roof slab-12mm</t>
  </si>
  <si>
    <t>impervious coat over roof slab-20mm</t>
  </si>
  <si>
    <t xml:space="preserve">Providing skirting to vitrified tiles </t>
  </si>
  <si>
    <t>1200mm dia  2" thick Precasted rcc hume rings</t>
  </si>
  <si>
    <t>900mm dia  2" thick Precasted rcc hume rings</t>
  </si>
  <si>
    <t>Precasted hume ring slab</t>
  </si>
  <si>
    <t xml:space="preserve">VRCC M30 design mix Concrete  for Slab 25mm </t>
  </si>
  <si>
    <t>Qty.p. 27  of M.B.No.689/A/ZP/19</t>
  </si>
  <si>
    <t>Qty.p.23 of M.B.No.689/A/ZP/19</t>
  </si>
  <si>
    <t>50 thick</t>
  </si>
  <si>
    <t>Parapet wall</t>
  </si>
  <si>
    <t>Qty.p.39 of M.B.No.689/A/ZP/19</t>
  </si>
  <si>
    <t>Qty.p.3 of M.B.No.702/C/ZP/20</t>
  </si>
  <si>
    <t>Demo quipment</t>
  </si>
  <si>
    <t>Agristore</t>
  </si>
  <si>
    <t>Ele 1.4.2 (b)</t>
  </si>
  <si>
    <t>Taking Output = 100 M</t>
  </si>
  <si>
    <t>25mm dia 1,2,3 &amp; 4 way deep Junction Box</t>
  </si>
  <si>
    <t>25mm PVC bends</t>
  </si>
  <si>
    <t>Semi Skilled Electrician</t>
  </si>
  <si>
    <t xml:space="preserve">Helper (Electrical) </t>
  </si>
  <si>
    <t>ELEC-1.2.6 b</t>
  </si>
  <si>
    <t>ELEC-1.2.8 b</t>
  </si>
  <si>
    <t>ELEC-1.2.2 b</t>
  </si>
  <si>
    <t>Supply and Fixing of 25mm dia 1.8mm thick PVC pipe (ISI MARK) concealed in Roof Slabs with all required accessories including masonary work  and labour charges etc., complete.</t>
  </si>
  <si>
    <t>U' Links</t>
  </si>
  <si>
    <t>Mason Ist class</t>
  </si>
  <si>
    <t>25mm dia 1.8mm thick PVC pipe</t>
  </si>
  <si>
    <t>Supply and Fixing of 25mm dia 1.8mm thick PVC pipe (ISI MARK) concealed in wall with all required accessories including masonary work  and labour charges etc., complete.</t>
  </si>
  <si>
    <t>ELEC-8.1.4</t>
  </si>
  <si>
    <t>Supply of  Hot Dip galvanized 20/18 SWG Module box with earthing terminal for 16 Module box</t>
  </si>
  <si>
    <t xml:space="preserve"> Initial cost ELEC-1.8.3 c  4M</t>
  </si>
  <si>
    <t>200/18 SWG Module box w for 16 Module box</t>
  </si>
  <si>
    <t>31</t>
  </si>
  <si>
    <t>36</t>
  </si>
  <si>
    <t>37</t>
  </si>
  <si>
    <t>38</t>
  </si>
  <si>
    <t>39</t>
  </si>
  <si>
    <t>40</t>
  </si>
  <si>
    <t>Tiles</t>
  </si>
  <si>
    <t>Qty.p.12 of M.B.No.269/A/ZP/19</t>
  </si>
  <si>
    <t>Qty.p.17 of M.B.No.269/A/ZP/19</t>
  </si>
  <si>
    <t>Qty.p.23 of M.B.No.269/A/ZP/19</t>
  </si>
  <si>
    <t>Qty.p.95 of M.B.No.269/A/ZP/19</t>
  </si>
  <si>
    <t>Qty.p.62 of M.B.No.269/A/ZP/19</t>
  </si>
  <si>
    <t>Qty.p.67 of M.B.No.269/A/ZP/19</t>
  </si>
  <si>
    <t>Qty.p.65 of M.B.No.269/A/ZP/19</t>
  </si>
  <si>
    <t>Qty.p. 77 of M.B.No.269/A/ZP/19</t>
  </si>
  <si>
    <t>Qty.p.57 of M.B.No.269/A/ZP/19</t>
  </si>
  <si>
    <t>Qty.p. 47 of M.B.No.269/A/ZP/19</t>
  </si>
  <si>
    <t>Qty.p. 72 of M.B.No.269/A/ZP/19</t>
  </si>
  <si>
    <t>Qty.P.No. 73 of M.B.No.269/A/ZP/19</t>
  </si>
  <si>
    <t>Qty.p.21 of M.B.No.269/A/ZP/19</t>
  </si>
  <si>
    <t>Qty.p.26 of M.B.No.269/A/ZP/19</t>
  </si>
  <si>
    <t>Qty.p.37 of M.B.No.269/A/ZP/19</t>
  </si>
  <si>
    <t>Qty.p.68 of M.B.No.269/A/ZP/19</t>
  </si>
  <si>
    <t>Qty.p.69 of M.B.No.269/A/ZP/19</t>
  </si>
  <si>
    <t>Qty.p.     of M.B.No.269/A/ZP/19</t>
  </si>
  <si>
    <t>Qty.p.98 of M.B.No.269/A/ZP/19</t>
  </si>
  <si>
    <t>Qty.p.91 of M.B.No.269/A/ZP/19</t>
  </si>
  <si>
    <t>Qty.p.51 of M.B.No.269/A/ZP/19</t>
  </si>
  <si>
    <t>Qty.p.52 of M.B.No.269/A/ZP/19</t>
  </si>
  <si>
    <t>Qty.P.No. 53 of M.B.No.269/A/ZP/19</t>
  </si>
  <si>
    <t>Qty.P.No. 62 of M.B.No.269/A/ZP/19</t>
  </si>
  <si>
    <t>Qty.P.No. 81 of M.B.No.269/A/ZP/19</t>
  </si>
  <si>
    <t>Qty.P.No. 99 of M.B.No.269/A/ZP/19</t>
  </si>
  <si>
    <t>Qty.p.84 of M.B.No.269/A/ZP/19</t>
  </si>
  <si>
    <t>Landing side</t>
  </si>
  <si>
    <t>Supply and Transportation of 1.00HP single phase ISI  submersible mortor Pumpset subitable for 4" bore well Makes:Kirloskar/ Crompton/ CRI/ KSB/ Texmo/Aryan Varsha</t>
  </si>
  <si>
    <t>Qty.p.9 of M.B.No.109/A/ZP/20</t>
  </si>
  <si>
    <t>Ceiling</t>
  </si>
  <si>
    <t>Projection right and left</t>
  </si>
  <si>
    <t>Qty.p.33 of M.B.No.109/A/ZP/20</t>
  </si>
  <si>
    <t>Street light</t>
  </si>
  <si>
    <t>Stainless steel</t>
  </si>
  <si>
    <t>Initial cost  ELEC-5.4.1 c</t>
  </si>
  <si>
    <t>S&amp;F of 12 / 15 MS plain rod fan hook</t>
  </si>
  <si>
    <t xml:space="preserve"> Initial cost ELEC-8.1.20</t>
  </si>
  <si>
    <t>Fan hook</t>
  </si>
  <si>
    <t>Qty.p.23 of M.B.No.471/A/ZP/19</t>
  </si>
  <si>
    <t>Qty.p.95 of M.B.No.471/A/ZP/19</t>
  </si>
  <si>
    <t>Qty.p.62 of M.B.No.471/A/ZP/19</t>
  </si>
  <si>
    <t>Qty.p.67 of M.B.No.471/A/ZP/19</t>
  </si>
  <si>
    <t>Qty.p.17 of M.B.No.471/A/ZP/19</t>
  </si>
  <si>
    <t>Qty.p.21 of M.B.No.471/A/ZP/19</t>
  </si>
  <si>
    <t>Qty.p.12 of M.B.No.52/C/ZP/18</t>
  </si>
  <si>
    <t>Qty.p.37 of M.B.No.470/A/ZP/19</t>
  </si>
  <si>
    <t>Qty.p.60 of M.B.No.470/A/ZP/19</t>
  </si>
  <si>
    <t>Qty.p.68 of M.B.No.470/A/ZP/19</t>
  </si>
  <si>
    <t>Qty.p.52 of M.B.No.470/A/ZP/19</t>
  </si>
  <si>
    <t>Staff wash room</t>
  </si>
  <si>
    <t>Clinic wash rooms</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</si>
  <si>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20mm dia</t>
    </r>
  </si>
  <si>
    <t>Qty.p.83 of M.B.No.470/A/ZP/19</t>
  </si>
  <si>
    <t>Supplying and fixing of  Door of size 0.90X2.10M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</si>
  <si>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0.80X2.10M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</si>
  <si>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Qty.p.84 of M.B.No.470/A/ZP/19</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</si>
  <si>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</si>
  <si>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0.80X2.10M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</si>
  <si>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S&amp;F of 20mm dia CPVC pipes</t>
  </si>
  <si>
    <t xml:space="preserve">Supply and fixing of  Door  of size 0.90 x 2.10mt </t>
  </si>
  <si>
    <t xml:space="preserve">Supply and fixing of  Door  of size 0.80 x 2.10mt </t>
  </si>
  <si>
    <t>B1 to B2</t>
  </si>
  <si>
    <t>C1 to C2</t>
  </si>
  <si>
    <t>D1 to D2</t>
  </si>
  <si>
    <t>E2 to E3</t>
  </si>
  <si>
    <t>Staircase first flight</t>
  </si>
  <si>
    <t>Beam and slab</t>
  </si>
  <si>
    <t>A1 to A2</t>
  </si>
  <si>
    <t>B2 to B3</t>
  </si>
  <si>
    <t>B3 to E3</t>
  </si>
  <si>
    <t>B1 to E2</t>
  </si>
  <si>
    <t>A1 to E1</t>
  </si>
  <si>
    <t>B2 to E2</t>
  </si>
  <si>
    <t>Inside tiolet blocks</t>
  </si>
  <si>
    <t>FF 1st flight raisers</t>
  </si>
  <si>
    <t>Head room column</t>
  </si>
  <si>
    <t>Head room beams</t>
  </si>
  <si>
    <t>Head room slab</t>
  </si>
  <si>
    <t>water tank</t>
  </si>
  <si>
    <t>Staircase room inside</t>
  </si>
  <si>
    <t>Top Inside</t>
  </si>
  <si>
    <t>Inside parapet alround</t>
  </si>
  <si>
    <t>Front Projection alround</t>
  </si>
  <si>
    <t>Back</t>
  </si>
  <si>
    <t xml:space="preserve">Staircase external </t>
  </si>
  <si>
    <t>25mm dia</t>
  </si>
  <si>
    <t>Eng Assist room</t>
  </si>
  <si>
    <t>Digital asst room</t>
  </si>
  <si>
    <t>Qty.p.80 of M.B.No.220/A/ZP/19</t>
  </si>
  <si>
    <t>Qty.p.94  of M.B.No.220/A/ZP/19</t>
  </si>
  <si>
    <t>Qty.p.75  of M.B.No.220/A/ZP/19</t>
  </si>
  <si>
    <t>Qty.p.77 of M.B.No.220/A/ZP/19</t>
  </si>
  <si>
    <t>Protection  wall front side</t>
  </si>
  <si>
    <t>Qty.p.89 of M.B.No.220/A/ZP/19</t>
  </si>
  <si>
    <t>Qty.p.91 of M.B.No.220/A/ZP/19</t>
  </si>
  <si>
    <t>Qty.p.98  of M.B.No.220/A/ZP/19</t>
  </si>
  <si>
    <t>Qty.p.100  of M.B.No.220/A/ZP/19</t>
  </si>
  <si>
    <t>Alround</t>
  </si>
  <si>
    <t>Deduct for columns</t>
  </si>
  <si>
    <t>Deduct for door</t>
  </si>
  <si>
    <t>Qty.p.2 of M.B.No.482/A/ZP/19</t>
  </si>
  <si>
    <t>Back side of First floor</t>
  </si>
  <si>
    <t>Qty.p.3 of M.B.No.482/A/ZP/19</t>
  </si>
  <si>
    <t>Parapet wall alround</t>
  </si>
  <si>
    <t>Qty.p.5  of M.B.No.482/A/ZP/19</t>
  </si>
  <si>
    <t>Qty.p.6  of M.B.No.482/A/ZP/19</t>
  </si>
  <si>
    <t>Qty.p.12  of M.B.No.482/A/ZP/19</t>
  </si>
  <si>
    <t>Qty.p.48  of M.B.No.482/A/ZP/20</t>
  </si>
  <si>
    <t>Qty.p.55  of M.B.No.482/A/ZP/20</t>
  </si>
  <si>
    <t>Qty.p.57  of M.B.No.482/A/ZP/20</t>
  </si>
  <si>
    <t>Qty.p.60  of M.B.No.482/A/ZP/20</t>
  </si>
  <si>
    <t>Qty.p.78 of M.B.No.482/A/ZP/20</t>
  </si>
  <si>
    <t>Qty.p.86 of M.B.No.482/A/ZP/20</t>
  </si>
  <si>
    <t>Qty.p.67 of M.B.No.482/A/ZP/20</t>
  </si>
  <si>
    <t>Qty.p.92 of M.B.No.482/A/ZP/20</t>
  </si>
  <si>
    <t>Qty.p.95 of M.B.No.482/A/ZP/19</t>
  </si>
  <si>
    <t>Qty.p.95 of M.B.No.482/A/ZP/20</t>
  </si>
  <si>
    <t>Qty.p.96 of M.B.No.482/A/ZP/20</t>
  </si>
  <si>
    <t>( Single Tracks)</t>
  </si>
  <si>
    <t>Ele 1.4.2 (a)</t>
  </si>
  <si>
    <t>Supply and run of 2 of 22/0.3mm (1.5 Sq.mm) F.R P.V.C. insulated flexible copper cable in existing pipe for mains inlcuding all labour charges etc., complete</t>
  </si>
  <si>
    <t>Ele 3.1.3</t>
  </si>
  <si>
    <t>Ele 9.7.35</t>
  </si>
  <si>
    <t>Supply of 23 / 0060 twin core twisted  ELEC-1.5.6</t>
  </si>
  <si>
    <t xml:space="preserve">Supply of 48" (1200mm) Sweep 5 Star rated Ceiling Fan ELEC-5.1.4 </t>
  </si>
  <si>
    <t>Stepped type fan regulator ELEC-1.7.1 I</t>
  </si>
  <si>
    <t>Supply and fixing of  Stepped Electronic fan regulator hum free step type socket size in the existing switch board.</t>
  </si>
  <si>
    <t>Ele 9.7.26</t>
  </si>
  <si>
    <t>Ele 9.7.2</t>
  </si>
  <si>
    <t>Ele 9.7.25</t>
  </si>
  <si>
    <t>Supply and erecting fan hook of 12/15mm dia M.S. rod / bar grouted in RCC slab with making the slab as original.</t>
  </si>
  <si>
    <t>Ele 9.7.24</t>
  </si>
  <si>
    <t>Mason</t>
  </si>
  <si>
    <t xml:space="preserve">Helper </t>
  </si>
  <si>
    <t>30mm thick Solid panel PVC door</t>
  </si>
  <si>
    <t>Supply and  Run of 2 of 36/0.3mm (1.50 Sq.mm)</t>
  </si>
  <si>
    <t>Modular telephone jack</t>
  </si>
  <si>
    <t>DB with 1 No 20A single phase</t>
  </si>
  <si>
    <t>8 Way TPN DB Horizontal with IP 20</t>
  </si>
  <si>
    <t>Supply,laying ,testing and commisioning of 4-pair</t>
  </si>
  <si>
    <t>Supply and run of 5 pair telephone copper wire</t>
  </si>
  <si>
    <t>Inspection chamber</t>
  </si>
  <si>
    <t>Supplying and fixing 4" (101.6 mm ) Floor Trap</t>
  </si>
  <si>
    <t>S&amp;F of 15mm dia CPVC pipes</t>
  </si>
  <si>
    <t>Gunmetal gate value</t>
  </si>
  <si>
    <t>PVC water spouts</t>
  </si>
  <si>
    <t>S&amp;F of NP bip taps</t>
  </si>
  <si>
    <t>Provision for GST charges</t>
  </si>
  <si>
    <t>70</t>
  </si>
  <si>
    <t>81</t>
  </si>
  <si>
    <t>93</t>
  </si>
  <si>
    <t>95</t>
  </si>
  <si>
    <t>96</t>
  </si>
  <si>
    <t>97</t>
  </si>
  <si>
    <t>98</t>
  </si>
  <si>
    <t>99</t>
  </si>
  <si>
    <t>101</t>
  </si>
  <si>
    <t>102</t>
  </si>
  <si>
    <t>103</t>
  </si>
  <si>
    <t>104</t>
  </si>
  <si>
    <t>124</t>
  </si>
  <si>
    <t>125</t>
  </si>
  <si>
    <t>146</t>
  </si>
  <si>
    <t>Code</t>
  </si>
  <si>
    <t>MAT-00005</t>
  </si>
  <si>
    <t xml:space="preserve">Steel Fe 500 </t>
  </si>
  <si>
    <t>Steel Fe 415</t>
  </si>
  <si>
    <t>MAT-00027</t>
  </si>
  <si>
    <t>MAT-00028</t>
  </si>
  <si>
    <t>MAT-00029</t>
  </si>
  <si>
    <t>BMT-A.01</t>
  </si>
  <si>
    <t>12 mm nominal size</t>
  </si>
  <si>
    <t>10mm nominal size</t>
  </si>
  <si>
    <t>6mm nominal size</t>
  </si>
  <si>
    <t>MAT-00220</t>
  </si>
  <si>
    <t>MAT-00218</t>
  </si>
  <si>
    <t>MAT-00217</t>
  </si>
  <si>
    <t>MAT-00216</t>
  </si>
  <si>
    <t>MAT-00215</t>
  </si>
  <si>
    <t>MAT-00302</t>
  </si>
  <si>
    <t>BMT-A.04</t>
  </si>
  <si>
    <t>40mm HBG metal SS-5</t>
  </si>
  <si>
    <t>20mm HBG metal SS-5</t>
  </si>
  <si>
    <t>12mm HBG metal SS-5</t>
  </si>
  <si>
    <t>10mm HBG metal SS-5</t>
  </si>
  <si>
    <t>6mm HBG metal SS-5</t>
  </si>
  <si>
    <t xml:space="preserve">Steel Fe 415 </t>
  </si>
  <si>
    <t>Name</t>
  </si>
  <si>
    <t xml:space="preserve">Code </t>
  </si>
  <si>
    <t>Mason skilled</t>
  </si>
  <si>
    <t>Mason Semi skilled</t>
  </si>
  <si>
    <t>Mazdoor</t>
  </si>
  <si>
    <t>Painter skilled</t>
  </si>
  <si>
    <t>Painter semi skilled</t>
  </si>
  <si>
    <t>Common burnt clay bricks</t>
  </si>
  <si>
    <t xml:space="preserve">Granite 16 to 18 mm </t>
  </si>
  <si>
    <t>LAB-00011</t>
  </si>
  <si>
    <t>LAB-00091</t>
  </si>
  <si>
    <t>LAB-00120</t>
  </si>
  <si>
    <t>RSSR</t>
  </si>
  <si>
    <t>Water for Rural</t>
  </si>
  <si>
    <t>MAT- 00333</t>
  </si>
  <si>
    <t>Concrete mixer</t>
  </si>
  <si>
    <t>HIR-00018</t>
  </si>
  <si>
    <t>needle Vibration 40 petrol</t>
  </si>
  <si>
    <t>Hire</t>
  </si>
  <si>
    <t>Labour</t>
  </si>
  <si>
    <t>Bed blocks</t>
  </si>
  <si>
    <t>Pedastal</t>
  </si>
  <si>
    <t>Sunshade</t>
  </si>
  <si>
    <t>Beams</t>
  </si>
  <si>
    <t>Slab upto 150mm</t>
  </si>
  <si>
    <t>Slab upto 150 to 300mm</t>
  </si>
  <si>
    <t xml:space="preserve">Centering charges for bed block material hire charges </t>
  </si>
  <si>
    <t xml:space="preserve">Centering charges for bed block Labour charges </t>
  </si>
  <si>
    <t>MAT-00003</t>
  </si>
  <si>
    <t>Bar bender</t>
  </si>
  <si>
    <t>LAB-00001</t>
  </si>
  <si>
    <t>Welding eletrodes</t>
  </si>
  <si>
    <t>MAT-00082</t>
  </si>
  <si>
    <t>LAB-00041</t>
  </si>
  <si>
    <t>LAB-00002</t>
  </si>
  <si>
    <t>Welding set</t>
  </si>
  <si>
    <t>HIR-00065
HIR-00199</t>
  </si>
  <si>
    <t>BMM-V.14</t>
  </si>
  <si>
    <t>BMM-V.15</t>
  </si>
  <si>
    <t xml:space="preserve">MS Tubes </t>
  </si>
  <si>
    <t>BMT-F.04</t>
  </si>
  <si>
    <t>Grills Fabrication of steel</t>
  </si>
  <si>
    <t xml:space="preserve">Grills  Labour charges </t>
  </si>
  <si>
    <t>Tube Fabrication of steel</t>
  </si>
  <si>
    <t xml:space="preserve">Tube  Labour charges </t>
  </si>
  <si>
    <t>BMM-V.16</t>
  </si>
  <si>
    <t>BMM-V.17</t>
  </si>
  <si>
    <t>BMT-F.06</t>
  </si>
  <si>
    <t>BMM-V.18</t>
  </si>
  <si>
    <t>S.S.Steel  Fabrication</t>
  </si>
  <si>
    <t>Drilling of 25mm dia hole(13 x 0.10) BMS-W.76</t>
  </si>
  <si>
    <t>Drilling hard rock</t>
  </si>
  <si>
    <t>BMS-W.76</t>
  </si>
  <si>
    <t>Brick work scaffolding</t>
  </si>
  <si>
    <t>Labour-GF</t>
  </si>
  <si>
    <t>Labour-FF</t>
  </si>
  <si>
    <t>Labour-SF</t>
  </si>
  <si>
    <t>scaffolding material hire charge</t>
  </si>
  <si>
    <t>scaffolding Labour charges</t>
  </si>
  <si>
    <t>scaffolding material hire charges</t>
  </si>
  <si>
    <t>scaffoldi material hire charge (1/0.115 = 8.70)</t>
  </si>
  <si>
    <t>Fly ash cement brick</t>
  </si>
  <si>
    <t>BMT-A.03</t>
  </si>
  <si>
    <t xml:space="preserve">scaffolding material hire charges </t>
  </si>
  <si>
    <t xml:space="preserve"> plastering</t>
  </si>
  <si>
    <t>Ceiling plastering</t>
  </si>
  <si>
    <t>Rabbit wire mesh</t>
  </si>
  <si>
    <t>BMT-F.28</t>
  </si>
  <si>
    <t>Rabbit wire mesh BMT-F.28</t>
  </si>
  <si>
    <t>Add extra for Scaffolding labour  Charges</t>
  </si>
  <si>
    <t>Water proof compound</t>
  </si>
  <si>
    <t>Water proof compound BMT-H.91</t>
  </si>
  <si>
    <t>MAT-00478</t>
  </si>
  <si>
    <t>Full Rounding the edges</t>
  </si>
  <si>
    <t>BMM-V.11</t>
  </si>
  <si>
    <t>Terrazo tiles</t>
  </si>
  <si>
    <t>BMT-D.01</t>
  </si>
  <si>
    <t>Vitrified tiles double</t>
  </si>
  <si>
    <t>BMT-C.09</t>
  </si>
  <si>
    <t>Ceramic tiles non skid</t>
  </si>
  <si>
    <t xml:space="preserve">BMT.C.01 </t>
  </si>
  <si>
    <t xml:space="preserve">Non-Skid Ceramic tiles 300X300 BMT-C.01 </t>
  </si>
  <si>
    <t>Glazed tiles for walls</t>
  </si>
  <si>
    <t>BMT.C.21</t>
  </si>
  <si>
    <t>BMT-J.31</t>
  </si>
  <si>
    <t>LAB-00035</t>
  </si>
  <si>
    <t>Wallputty</t>
  </si>
  <si>
    <t>LAB-00093</t>
  </si>
  <si>
    <t>Cement Primer Interior Grade  BMT-J.01</t>
  </si>
  <si>
    <t>Cement Primer</t>
  </si>
  <si>
    <t>BMT-J.01</t>
  </si>
  <si>
    <t>BMT-J.02</t>
  </si>
  <si>
    <t>Cement Primer external Grade  BMT-J.02</t>
  </si>
  <si>
    <t>BMT-J.24</t>
  </si>
  <si>
    <t>BMT-J.34</t>
  </si>
  <si>
    <t>Wood primer</t>
  </si>
  <si>
    <t>BMT-J.05</t>
  </si>
  <si>
    <t>Enamel paint</t>
  </si>
  <si>
    <t>BMT-J.29</t>
  </si>
  <si>
    <t>Poly-Urethene Polish</t>
  </si>
  <si>
    <t>BMT-J.18</t>
  </si>
  <si>
    <t>Rolling shutter</t>
  </si>
  <si>
    <t>Hume pipe</t>
  </si>
  <si>
    <t>CC cover</t>
  </si>
  <si>
    <t xml:space="preserve">European Water Closet of 1st quality </t>
  </si>
  <si>
    <t>BMW-D.13</t>
  </si>
  <si>
    <t xml:space="preserve">Flushing Tank 10 Lit capacity </t>
  </si>
  <si>
    <t>BMW-D.11</t>
  </si>
  <si>
    <t xml:space="preserve">plastic seat and lid </t>
  </si>
  <si>
    <t>BMW-D.16</t>
  </si>
  <si>
    <t>Indian type WC</t>
  </si>
  <si>
    <t>BMW-D.02</t>
  </si>
  <si>
    <t>BMW-D.34</t>
  </si>
  <si>
    <t>Urinals</t>
  </si>
  <si>
    <t>Hand wash basin</t>
  </si>
  <si>
    <t>BMW-D.26</t>
  </si>
  <si>
    <t>BMW-E.07</t>
  </si>
  <si>
    <t>BMW-I.48</t>
  </si>
  <si>
    <t>PVC connections</t>
  </si>
  <si>
    <t>BMW-G.05</t>
  </si>
  <si>
    <t>Waste pipe</t>
  </si>
  <si>
    <t>BMW-G.118</t>
  </si>
  <si>
    <t>BMW-I.12</t>
  </si>
  <si>
    <t>Nahany trap cover</t>
  </si>
  <si>
    <t>Floor Trap - UPVC/SWR Pipe</t>
  </si>
  <si>
    <t>BMW-G.125</t>
  </si>
  <si>
    <t>BMW-G.13</t>
  </si>
  <si>
    <t>BMW-G.15</t>
  </si>
  <si>
    <t>BMW-G.14</t>
  </si>
  <si>
    <t>PVC Labour charges</t>
  </si>
  <si>
    <t>BMW-G.152</t>
  </si>
  <si>
    <t>Chromeum plated  tap</t>
  </si>
  <si>
    <t>BMW-I.140</t>
  </si>
  <si>
    <t xml:space="preserve">NP bib taps </t>
  </si>
  <si>
    <t xml:space="preserve"> health faucet</t>
  </si>
  <si>
    <t>BMW-I.141</t>
  </si>
  <si>
    <t>Water storage tank</t>
  </si>
  <si>
    <t>Tank labour</t>
  </si>
  <si>
    <t>BMW-I.220</t>
  </si>
  <si>
    <t>BMW-I.221</t>
  </si>
  <si>
    <t>BMW-I.223</t>
  </si>
  <si>
    <t>15.90mm CPVC</t>
  </si>
  <si>
    <t>22.20mm CPVC</t>
  </si>
  <si>
    <t>28.60mm CPVC</t>
  </si>
  <si>
    <t>34.90mm CPVC</t>
  </si>
  <si>
    <t>25mm PVC</t>
  </si>
  <si>
    <t>Labour for pvc</t>
  </si>
  <si>
    <t>BMW-I.415</t>
  </si>
  <si>
    <t xml:space="preserve">Gunmetal Gate </t>
  </si>
  <si>
    <t>BMW-F.17</t>
  </si>
  <si>
    <t>BMW-G.57</t>
  </si>
  <si>
    <t>110mm bend</t>
  </si>
  <si>
    <t xml:space="preserve">Clips </t>
  </si>
  <si>
    <t>BMW-G.106</t>
  </si>
  <si>
    <t>Plumber skilled</t>
  </si>
  <si>
    <t>Plumber semi skilled</t>
  </si>
  <si>
    <t>MAT-07665</t>
  </si>
  <si>
    <t>LAB-00036</t>
  </si>
  <si>
    <t>Drilling 0 to 90</t>
  </si>
  <si>
    <t>Drilling 90 to 150</t>
  </si>
  <si>
    <t>Drilling 150 to 250</t>
  </si>
  <si>
    <t>2.00HP single phase</t>
  </si>
  <si>
    <t>ELEC-5.4.1 e</t>
  </si>
  <si>
    <t>ELEC-5.4.1 c</t>
  </si>
  <si>
    <t>180mm dia PVC pipe</t>
  </si>
  <si>
    <t>40mm HDPE pipe</t>
  </si>
  <si>
    <t>25mm dia clamp set</t>
  </si>
  <si>
    <t xml:space="preserve">MAT- 00260 </t>
  </si>
  <si>
    <t>32mm dia GI pipe</t>
  </si>
  <si>
    <t>32mm dia GI Bends</t>
  </si>
  <si>
    <t>2.5 sqm flat copper</t>
  </si>
  <si>
    <t>ELEC-5.4.15</t>
  </si>
  <si>
    <t>Controle panel board</t>
  </si>
  <si>
    <t>MAT- 07334</t>
  </si>
  <si>
    <t>BMW-F.09</t>
  </si>
  <si>
    <t>S&amp;F of 32mm dia GI Bends</t>
  </si>
  <si>
    <t>Initial cost BMW-F.09</t>
  </si>
  <si>
    <t>S&amp;F of 32mm dia GI pipe</t>
  </si>
  <si>
    <t>Initial cost  (P.No.201 of SSR 2021-22)</t>
  </si>
  <si>
    <t>Initial cost MAT- 00260</t>
  </si>
  <si>
    <t>Initial cost  MAT- 07334</t>
  </si>
  <si>
    <t>Drilling of 165 mm dia Bore well by down the hole hammer drilling in all formations suitable for drilling with hammer drilling such as medium hard rock upto deepth specified by department including cost of trasportation charges crew charge</t>
  </si>
  <si>
    <t>LAB-00005</t>
  </si>
  <si>
    <t>LAB-00079</t>
  </si>
  <si>
    <t>Grooves</t>
  </si>
  <si>
    <t>BMM-V.51</t>
  </si>
  <si>
    <t>18Module box</t>
  </si>
  <si>
    <t>16Module box</t>
  </si>
  <si>
    <t>2Module box</t>
  </si>
  <si>
    <t>Box</t>
  </si>
  <si>
    <t>Cover</t>
  </si>
  <si>
    <t>ELEC-1.3.1 f</t>
  </si>
  <si>
    <t>ELEC-1.3.1 e</t>
  </si>
  <si>
    <t>ELEC-1.3.1 d</t>
  </si>
  <si>
    <t>ELEC-1.3.1 c</t>
  </si>
  <si>
    <t>ELEC-1.3.1 a</t>
  </si>
  <si>
    <t>ELEC-1.8.3 f</t>
  </si>
  <si>
    <t>ELEC-1.8.3 e</t>
  </si>
  <si>
    <t>ELEC-1.8.3 d</t>
  </si>
  <si>
    <t xml:space="preserve">ELEC-1.8.3 c </t>
  </si>
  <si>
    <t>ELEC-1.8.3 a</t>
  </si>
  <si>
    <t>Neon Indicator.</t>
  </si>
  <si>
    <t>ELEC-1.7.1 e</t>
  </si>
  <si>
    <t>ELEC-5.1.12</t>
  </si>
  <si>
    <t xml:space="preserve">6A / 10A 1 Way flush type switch </t>
  </si>
  <si>
    <t>1.7.1 a</t>
  </si>
  <si>
    <t>Supply of 14/0.3mm (1.0 Sqmm)</t>
  </si>
  <si>
    <t>1.5.1</t>
  </si>
  <si>
    <t>Ceiling rose</t>
  </si>
  <si>
    <t>1.7.1-M)</t>
  </si>
  <si>
    <t>1.7.1 d</t>
  </si>
  <si>
    <t xml:space="preserve">Decolam sheet </t>
  </si>
  <si>
    <t xml:space="preserve">Module Modular Switch. </t>
  </si>
  <si>
    <t>ELEC-1.8.1 h</t>
  </si>
  <si>
    <t xml:space="preserve">16A 3 pin / 6A 3pin Plug socket with indicator lamp, fuse unit (5 in 1) </t>
  </si>
  <si>
    <t>ELEC-1.8.1 g</t>
  </si>
  <si>
    <t>Supply of  6A / 10A 1 Way Modular Switch</t>
  </si>
  <si>
    <t>1.8.1-A)</t>
  </si>
  <si>
    <t>Supply of  6A / 10A 3/2 Pin Modular Socke</t>
  </si>
  <si>
    <t>1.8.1-D)</t>
  </si>
  <si>
    <t xml:space="preserve">1.3.1-B) </t>
  </si>
  <si>
    <t xml:space="preserve">Supply of 3 Module box </t>
  </si>
  <si>
    <t>Supply of 3 Modular Cover Frame</t>
  </si>
  <si>
    <t xml:space="preserve">Supply of 22/0.3mm (1.5 Sqmm) </t>
  </si>
  <si>
    <t>1.5.1-B)</t>
  </si>
  <si>
    <t>Supply of 36/0.3mm (2.5 Sqmm)</t>
  </si>
  <si>
    <t>1.5.1-c</t>
  </si>
  <si>
    <t>Supply of 56/0.3mm (4.0 Sqmm)</t>
  </si>
  <si>
    <t>1.5.1-d</t>
  </si>
  <si>
    <t xml:space="preserve">6 Sq.mm WPSC Aluminium cable </t>
  </si>
  <si>
    <t>No.10 SWG G.I wire.</t>
  </si>
  <si>
    <t>ELEC-8.3.6</t>
  </si>
  <si>
    <t>PVC Cleats</t>
  </si>
  <si>
    <t>ELEC-8.1.13</t>
  </si>
  <si>
    <t>battan holders</t>
  </si>
  <si>
    <t>1.7.1-N)</t>
  </si>
  <si>
    <t>0.5W LED bulb</t>
  </si>
  <si>
    <t xml:space="preserve"> ELEC-3.7.5 a</t>
  </si>
  <si>
    <t>Supply of 23 / 0060 twin</t>
  </si>
  <si>
    <t>Stepped type fan regulator</t>
  </si>
  <si>
    <t xml:space="preserve"> ELEC-1.7.1 I</t>
  </si>
  <si>
    <t xml:space="preserve"> Ceiling Fan</t>
  </si>
  <si>
    <t xml:space="preserve">ELEC-5.1.4 </t>
  </si>
  <si>
    <t>19/20mm steel tube down</t>
  </si>
  <si>
    <t>Supply of 1200 mm length,Box type</t>
  </si>
  <si>
    <t>ELEC-2.13.1a</t>
  </si>
  <si>
    <t xml:space="preserve">40A D.P.Isolator / ECCB / RCCB </t>
  </si>
  <si>
    <t>ELEC-2.11.1 b</t>
  </si>
  <si>
    <t xml:space="preserve">10 kA - 6-32A range SP MCBs </t>
  </si>
  <si>
    <t>ELEC-2.10.1 a</t>
  </si>
  <si>
    <t>32 A  240V Porcelain Rewirable Fuse Units.</t>
  </si>
  <si>
    <t>2.7.1.a</t>
  </si>
  <si>
    <t xml:space="preserve">Supply of 6.0 Sqmm PVC  insulated flexible Copper cable. </t>
  </si>
  <si>
    <t>1.5.2.e</t>
  </si>
  <si>
    <t xml:space="preserve">Peeta Board of Size 15" x 20" </t>
  </si>
  <si>
    <t>1.4.3.c</t>
  </si>
  <si>
    <t xml:space="preserve">40mm Nominal Bore Medium grade G.I.Pipe. </t>
  </si>
  <si>
    <t>ELEC-8.4.17d</t>
  </si>
  <si>
    <t xml:space="preserve">25mm x 6 mm G.I.Strip </t>
  </si>
  <si>
    <t>(ELEC-8.3.6</t>
  </si>
  <si>
    <t xml:space="preserve">No.8 G.I.Wire </t>
  </si>
  <si>
    <t xml:space="preserve">Drilling of 16 Nos through holes of 12mm dia to G.I pipe. </t>
  </si>
  <si>
    <t>ELEC-8.4.20</t>
  </si>
  <si>
    <t xml:space="preserve">G.I Nuts, Bolts an Washers each set. </t>
  </si>
  <si>
    <t>ELEC-8.4.21</t>
  </si>
  <si>
    <t xml:space="preserve">18" dia  2" thick hume pipe ring. </t>
  </si>
  <si>
    <t>2" thick  CC cover for hume pipe ring with handle.</t>
  </si>
  <si>
    <t xml:space="preserve">Hard Coke  </t>
  </si>
  <si>
    <t>ELEC-8.1.10</t>
  </si>
  <si>
    <t xml:space="preserve">Salt. </t>
  </si>
  <si>
    <t>ELEC-8.1.11</t>
  </si>
  <si>
    <t>ELEC-8.4.19</t>
  </si>
  <si>
    <t xml:space="preserve">Earth Work Excavation </t>
  </si>
  <si>
    <t xml:space="preserve"> ELEC-3.8.23 d</t>
  </si>
  <si>
    <t>ELEC-3.8.18</t>
  </si>
  <si>
    <t>ELEC-8.1.21</t>
  </si>
  <si>
    <t>1.8.3 b</t>
  </si>
  <si>
    <t>Supply of 14/0.3mm (1.0 Sqmm) Ele 1.5.1</t>
  </si>
  <si>
    <t>Supply of  3 Plate Jumbo Ceiling Rose  Ele 1.7.1-M</t>
  </si>
  <si>
    <t>Semi Skilled Electrician / Lineman</t>
  </si>
  <si>
    <t>16A 3 pin / 6A 3pin Plug socket with indicator ELEC-1.8.1 g</t>
  </si>
  <si>
    <t>1.7.1 c</t>
  </si>
  <si>
    <t xml:space="preserve"> flush type socket 2 pin</t>
  </si>
  <si>
    <t xml:space="preserve"> flush type socket 3/2 pin</t>
  </si>
  <si>
    <t>Supply of  6A / 10A 1 Way Modular Switch  Ele 1.8.1-A</t>
  </si>
  <si>
    <t>Supply of  6A / 10A 3/2 Pin Modular Socket  ELEC-1.8.1-D)</t>
  </si>
  <si>
    <t xml:space="preserve">Supply of 3 Module box (ELEC 1.3.1-B) </t>
  </si>
  <si>
    <t>Supply of 3 Modular Cover Frame (ELEC-1.8.3)</t>
  </si>
  <si>
    <t>Supply of 22/0.3mm (1.5 Sqmm) (ELEC-1.5.1-B)</t>
  </si>
  <si>
    <t>Supply of 36/0.3mm (2.5 Sqmm) ELEC-19-20-1.5.1-C</t>
  </si>
  <si>
    <t>Supply of 56/0.3mm (4.0 Sqmm)  (ELEC-1.5.1-d)</t>
  </si>
  <si>
    <t>Supply of  BH / SBH (ELEC-1.7.1-N)</t>
  </si>
  <si>
    <t>ELEC-8.1.20</t>
  </si>
  <si>
    <t>Supply of 1200 mm length (ELEC- 3.8.18)</t>
  </si>
  <si>
    <t xml:space="preserve">SPN 4way D.B with IP-20 </t>
  </si>
  <si>
    <t>Cost of Material for 1 Metres</t>
  </si>
  <si>
    <t xml:space="preserve">Supply and transportation of .........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 complete </t>
  </si>
  <si>
    <t xml:space="preserve">Teak Wood Frames  </t>
  </si>
  <si>
    <t xml:space="preserve">Teak Wood Shutters </t>
  </si>
  <si>
    <t>Door Labour (Teak wood)</t>
  </si>
  <si>
    <t>Door Labour (Flush)</t>
  </si>
  <si>
    <t xml:space="preserve">Sal wood Frames  </t>
  </si>
  <si>
    <t xml:space="preserve">Sal Wood Shutters </t>
  </si>
  <si>
    <t>BMT-E.15</t>
  </si>
  <si>
    <t>BMT-E.16</t>
  </si>
  <si>
    <t>Door Labour (Sal wood)</t>
  </si>
  <si>
    <t>BMM-V.38</t>
  </si>
  <si>
    <t>Plain glass</t>
  </si>
  <si>
    <t>Cement Jolleys 50mm thick</t>
  </si>
  <si>
    <t>WPC Frame</t>
  </si>
  <si>
    <t>Door stopper Alluminum</t>
  </si>
  <si>
    <t>BMT-G.57</t>
  </si>
  <si>
    <t>UPVC windows -3 Tier</t>
  </si>
  <si>
    <t>UPVC windows -2 Tier</t>
  </si>
  <si>
    <t>UPVC windows -1 Tier</t>
  </si>
  <si>
    <t>BMT-P.80.B</t>
  </si>
  <si>
    <t>Site Clearence</t>
  </si>
  <si>
    <t>Al round the Building</t>
  </si>
  <si>
    <t>Deduction for Column's</t>
  </si>
  <si>
    <t>duduct Plinth beam</t>
  </si>
  <si>
    <t>Under plinth beam</t>
  </si>
  <si>
    <t>Short wall</t>
  </si>
  <si>
    <t>Deduct for Columns</t>
  </si>
  <si>
    <t xml:space="preserve"> for Flooring bed</t>
  </si>
  <si>
    <t xml:space="preserve">Long beam  </t>
  </si>
  <si>
    <t>Short beam</t>
  </si>
  <si>
    <t>Deduction for Beam Junctions</t>
  </si>
  <si>
    <t>Long walls</t>
  </si>
  <si>
    <t>Deductions</t>
  </si>
  <si>
    <t>for doors</t>
  </si>
  <si>
    <t>For Windows</t>
  </si>
  <si>
    <t>for Ventilator</t>
  </si>
  <si>
    <t>for Lintels</t>
  </si>
  <si>
    <t>for Lintes</t>
  </si>
  <si>
    <t>for Slab Projection</t>
  </si>
  <si>
    <t xml:space="preserve">for sunshade </t>
  </si>
  <si>
    <t>Short walls</t>
  </si>
  <si>
    <t>for Ventilators</t>
  </si>
  <si>
    <t>Deduct For Door</t>
  </si>
  <si>
    <t xml:space="preserve">           For Windows</t>
  </si>
  <si>
    <t xml:space="preserve">                 Ventilator</t>
  </si>
  <si>
    <t>in First Floor</t>
  </si>
  <si>
    <t>Roof slab</t>
  </si>
  <si>
    <t xml:space="preserve"> for ceiling in First Floor</t>
  </si>
  <si>
    <t>As per Machinery</t>
  </si>
  <si>
    <t>Earth/Sand/Gravel</t>
  </si>
  <si>
    <t xml:space="preserve">Bricks 1000Nos </t>
  </si>
  <si>
    <t xml:space="preserve">Initial lead Rete </t>
  </si>
  <si>
    <t xml:space="preserve">Add Loading &amp; Unloading </t>
  </si>
  <si>
    <t xml:space="preserve">Net Lead Charges </t>
  </si>
  <si>
    <t>Stone</t>
  </si>
  <si>
    <t>MAT-00177</t>
  </si>
  <si>
    <t>BMW-I.222</t>
  </si>
  <si>
    <t>11.5 cm wide Brick masonry for super-structure on ground floor in cm (1:3) using second class traditional size bricks including cost of all materials, seigniorage charges, labour and all operations for constructing half brick masonry, mixing cement mortar, curing etc., complete for finished item of work</t>
  </si>
  <si>
    <t>Filling Basement with Selected 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</si>
  <si>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Selected earth</t>
  </si>
  <si>
    <t>Filling Basement with Selected earth by watering and ramming including all operational, incidental and including c/c of material and labour charges etc complete for finished item of the work (APSS No 309&amp; 310) per 1 Cum</t>
  </si>
  <si>
    <t>Qty.p.18 of M.B.No.134/A/ZP/20</t>
  </si>
  <si>
    <t>Qty.p.46 of M.B.No.134/A/ZP/20</t>
  </si>
  <si>
    <t>FIRST FLOOR</t>
  </si>
  <si>
    <t>SECOND FLOOR</t>
  </si>
  <si>
    <t>DOOR AND WINDOWS</t>
  </si>
  <si>
    <t>WATER AND SANITATION ITEM</t>
  </si>
  <si>
    <t>ELECTRIFICATION ITEMS</t>
  </si>
  <si>
    <t>Provision for QC charges @ 0.50%</t>
  </si>
  <si>
    <t>Provision for Supervision charges @ 3%</t>
  </si>
  <si>
    <t>Provision for Seigneorage charges</t>
  </si>
  <si>
    <t xml:space="preserve">Reinforced Cement Concrete  M-20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such as machine mixing, laying concrete, curing etc complete but excluding cost of steel and its fabrication charges for finished item of work, but excluding centering, shttering </t>
  </si>
  <si>
    <t xml:space="preserve">Reinforced Cement Concrete  M-20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suxh as machine mixing, laying concrete, curing etc complete but excluding cost of steel and its fabrication charges for finished item of work, but excluding centering, shttering </t>
  </si>
  <si>
    <t xml:space="preserve">Reinforced Cement Concrete  M 20 nominal mix using 12mm size hard granite machine crushed graded metal (coarse aggregate - as per IS 383 - 1970 and IS 2386 Part 1 to Part 8) from approved quarry, using a minimum quantity of 350 kgs. of cement per 1 cum of concrete using concrete Mixer 10 / 7 cft (0.2 / 0.8 cum) capacity including cost and conveyance of  all materials  like cement,  fine aggregate (Sand), coarse aggregate, water etc., to site including centering, shuttering, labour charges such as weigh batching, machine mixing, hire charges of concrete mixer, laying concrete, lift charges, curing etc.,   for finished item of work (APSS No. 402 &amp; 403) </t>
  </si>
  <si>
    <t>Inside of the building</t>
  </si>
  <si>
    <t>Rest room</t>
  </si>
  <si>
    <t>Tiolet</t>
  </si>
  <si>
    <t>Dining Hall</t>
  </si>
  <si>
    <t>over Roof slab</t>
  </si>
  <si>
    <t>Tiolet walls</t>
  </si>
  <si>
    <t>Supplying and fixing Gyp Board Suspended regular single layer false ceiling (GS-MFSC-4.1 as per India Gypsum) using 12.5 mm thick Gyp Board conforming to IS 2095 - 1982 fixing to Gyp steel GI perimeter channels of size 20 mm x 27 mm x 30 mm(web)  of 0.55 mm thick along the perimeter of ceiling screw fixed to brick work/ partition at 610 mm c/c and suspending the frame work using Intermediate channels (45 mm x 15mm x 15mm x 0.9 mm) from soffit at 1220 mm c/c with ceiling angle (25 mm x 10 mm x 0.55 mm) fixed with GI Cleat and steel expansion fasteners &amp; connecting clip to the ceiling channels (with knurled web of 51.5 mm x 26 mm x 10.5 mm x 0.55 mm) fixed in direction perpendicular to the intermediate channel at 457 mm c/c and fixing the 12.5 mm tapered edge Gypboard with 25 mm drywall screws at 230 mm c/c &amp; jointing and finishing using joint compound and paper tape to have a flush look including filling the tapered &amp; square edges with jointing compound, two coats of drywall topcoat complete for finished item of work as per Idia Gypsum Ltd specification.</t>
  </si>
  <si>
    <t>UNIT -1 sqm</t>
  </si>
  <si>
    <t>A) Material requirement as per India Gypsum</t>
  </si>
  <si>
    <t xml:space="preserve">12.5 mm Gypboard </t>
  </si>
  <si>
    <t>1219 mm x 1829 mm size Boards BMT-M.01</t>
  </si>
  <si>
    <t>Ceiling Angle</t>
  </si>
  <si>
    <t>25 mm x 10 mm x 0.55 mm  BMT-M.04</t>
  </si>
  <si>
    <t>Connecting Clips BMT-M.17</t>
  </si>
  <si>
    <t>Ceiling Section</t>
  </si>
  <si>
    <t>51.5 mm x 26 mm x 10.5 mm x 0.55 mm thick BMT-M.05</t>
  </si>
  <si>
    <t>Intermediate Channel</t>
  </si>
  <si>
    <t>45 mmx 15 mm x 15 mm x 0.9 mm  BMT-M.06</t>
  </si>
  <si>
    <t xml:space="preserve">Perimeter Channel </t>
  </si>
  <si>
    <t>20 mm x 27 mm x 30 mm(web)  of 0.55 mm thick BMT-M.07</t>
  </si>
  <si>
    <t>Rawl Plug BMT-M.18</t>
  </si>
  <si>
    <t>Soffit Cleats BMT-M.20</t>
  </si>
  <si>
    <t>Drywall Screws - 25 mm  BMT-M.21</t>
  </si>
  <si>
    <t>Jointing Compound  BMT-M.22</t>
  </si>
  <si>
    <t>Jointing Paper Tape BMT-M.23</t>
  </si>
  <si>
    <t>Drywall Top Coat BMT-M.24</t>
  </si>
  <si>
    <t>Lits</t>
  </si>
  <si>
    <t xml:space="preserve">1st Class Carpenter </t>
  </si>
  <si>
    <t>2nd Class Carpenter</t>
  </si>
  <si>
    <t>1st Class Painter</t>
  </si>
  <si>
    <t>2nd Class Painter</t>
  </si>
  <si>
    <t>Power Saw Cutter - Hand Operated - Operator</t>
  </si>
  <si>
    <t>Power Drill - Hand Operated - Operator</t>
  </si>
  <si>
    <t xml:space="preserve">Unskilled Mazdoor </t>
  </si>
  <si>
    <t>C) Machinery</t>
  </si>
  <si>
    <t>Power Saw Cutter - Hand Operated - Hire charges BMC-X.02</t>
  </si>
  <si>
    <t>Scaffolding charges</t>
  </si>
  <si>
    <t>Power Drill - Hand Operated - Hire Charges BMC-X.03</t>
  </si>
  <si>
    <t>hall</t>
  </si>
  <si>
    <t>ZPTC room</t>
  </si>
  <si>
    <t>Tiolet outside</t>
  </si>
  <si>
    <t>Sunshades</t>
  </si>
  <si>
    <t>cross walls</t>
  </si>
  <si>
    <t>above tiles</t>
  </si>
  <si>
    <t>tiolet</t>
  </si>
  <si>
    <t>Dining room</t>
  </si>
  <si>
    <t>Kanigiri</t>
  </si>
  <si>
    <t>Provision for GST charges @ 18%</t>
  </si>
  <si>
    <t>Qty.p.3 of M.B.No.190/A/ZP/20</t>
  </si>
  <si>
    <t>Qty.p.4 of M.B.No.190/A/ZP/20</t>
  </si>
  <si>
    <t>Qty.p.5 of M.B.No.190/A/ZP/20</t>
  </si>
  <si>
    <t>Qty.p.7 of M.B.No.190/A/ZP/20</t>
  </si>
  <si>
    <t>Qty.p.11 of M.B.No.190/A/ZP/20</t>
  </si>
  <si>
    <t>Qty.p.23 of M.B.No.190/A/ZP/20</t>
  </si>
  <si>
    <t>Qty.p.24 of M.B.No.190/A/ZP/20</t>
  </si>
  <si>
    <t>Qty.p.26 of M.B.No.190/A/ZP/20</t>
  </si>
  <si>
    <t>Qty.p.29 of M.B.No.190/A/ZP/20</t>
  </si>
  <si>
    <t>Qty.p.30 of M.B.No.190/A/ZP/20</t>
  </si>
  <si>
    <t>hDeduct gap</t>
  </si>
  <si>
    <t xml:space="preserve">Supplying and fixing Gyp Board Suspended regular single layer false ceiling </t>
  </si>
  <si>
    <t>Providing and fixing factory made uPVC  windows 2track</t>
  </si>
  <si>
    <t>poi</t>
  </si>
  <si>
    <t>no</t>
  </si>
  <si>
    <t>As per detailed estimate</t>
  </si>
  <si>
    <t>COMPLETION REPORT</t>
  </si>
  <si>
    <t>As per M.Book</t>
  </si>
  <si>
    <t>Sub Divisional Bill No.</t>
  </si>
  <si>
    <t>SUB DIVISION CHECK SLIP TO ACCOMPANYING  ALL WORK BILLS</t>
  </si>
  <si>
    <t>Name of the Grant:</t>
  </si>
  <si>
    <t>ZPGF 15% Office Maintenance Grant.</t>
  </si>
  <si>
    <t>S.No. of the Bill: 1st &amp; Final</t>
  </si>
  <si>
    <t>Name of the Sub Division</t>
  </si>
  <si>
    <t>Name of the Mandal</t>
  </si>
  <si>
    <t>Name of the Work:-</t>
  </si>
  <si>
    <t>Work ID No.</t>
  </si>
  <si>
    <t>Estimate Amount</t>
  </si>
  <si>
    <t>Admn. Sanction No. &amp; Date</t>
  </si>
  <si>
    <t>Tech. Sanction No. &amp; Date</t>
  </si>
  <si>
    <t>Agreement No. &amp; Date &amp; Value or work commencement order reference for NREGS</t>
  </si>
  <si>
    <t>Name &amp; Address of the Contractor with PAN No.</t>
  </si>
  <si>
    <t>G.Anok, Nominee, Habitation works committee, Challagiragala</t>
  </si>
  <si>
    <t>Bank Account Number (For NREGS works)</t>
  </si>
  <si>
    <t>No of Musters enclosed to this bill for NREGS works</t>
  </si>
  <si>
    <t>Nil</t>
  </si>
  <si>
    <t>Working estimate Amount</t>
  </si>
  <si>
    <t>Supplimental Agt. No./Dt &amp; Value</t>
  </si>
  <si>
    <t>Nature Contract</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</si>
  <si>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</si>
  <si>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</si>
  <si>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</si>
  <si>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</si>
  <si>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</si>
  <si>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</si>
  <si>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</si>
  <si>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</si>
  <si>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</si>
  <si>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</si>
  <si>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</si>
  <si>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</si>
  <si>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</si>
  <si>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</si>
  <si>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</si>
  <si>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</si>
  <si>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</si>
  <si>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</si>
  <si>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</si>
  <si>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</si>
  <si>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</si>
  <si>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</si>
  <si>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</si>
  <si>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</si>
  <si>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</si>
  <si>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</si>
  <si>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</si>
  <si>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</si>
  <si>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</si>
  <si>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</si>
  <si>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</si>
  <si>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</si>
  <si>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CONTRACT CERTIFICATE</t>
  </si>
  <si>
    <r>
      <t>Name of the Contractor</t>
    </r>
    <r>
      <rPr>
        <sz val="10"/>
        <rFont val="Tahoma"/>
        <family val="2"/>
      </rPr>
      <t xml:space="preserve"> : G.Anok, Nominee, Habitation works committee, Challagiragala</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</si>
  <si>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</si>
  <si>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</si>
  <si>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</si>
  <si>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</si>
  <si>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t>Mandal : Kanigiri</t>
  </si>
  <si>
    <r>
      <t xml:space="preserve">               Amount of estimate</t>
    </r>
    <r>
      <rPr>
        <sz val="10"/>
        <rFont val="Tahoma"/>
        <family val="2"/>
      </rPr>
      <t xml:space="preserve"> : </t>
    </r>
    <r>
      <rPr>
        <b/>
        <sz val="10"/>
        <rFont val="Tahoma"/>
        <family val="2"/>
      </rPr>
      <t>Rs. 5.00 Lakhs</t>
    </r>
  </si>
  <si>
    <t>Voucher No:</t>
  </si>
  <si>
    <t>Overseer's No.</t>
  </si>
  <si>
    <t>Authority Covering list No.</t>
  </si>
  <si>
    <t>Schedule No.</t>
  </si>
  <si>
    <t>Quantity executed or Supplied</t>
  </si>
  <si>
    <t>Description of Items.</t>
  </si>
  <si>
    <t>Rate in Rs.</t>
  </si>
  <si>
    <t>Upto Date</t>
  </si>
  <si>
    <t>Since last certificate</t>
  </si>
  <si>
    <t>Upto Date in Rs.</t>
  </si>
  <si>
    <t>Since last certificate in Rs.</t>
  </si>
  <si>
    <t xml:space="preserve">Total value o work done or suplies made to date </t>
  </si>
  <si>
    <t>=</t>
  </si>
  <si>
    <t xml:space="preserve">Deduct value of work supplies shown on last certificate. </t>
  </si>
  <si>
    <t>Net value of work/supplies since lst certificate</t>
  </si>
  <si>
    <t xml:space="preserve">Signature of Contractor </t>
  </si>
  <si>
    <t>Date…………..……200</t>
  </si>
  <si>
    <r>
      <t xml:space="preserve">Certificate that the proceeding claim is correct that the necessary measurements have been made by me on 200         and record on page  </t>
    </r>
    <r>
      <rPr>
        <sz val="9"/>
        <color theme="0"/>
        <rFont val="Tahoma"/>
        <family val="2"/>
      </rPr>
      <t>885/B/ZP/18</t>
    </r>
    <r>
      <rPr>
        <sz val="9"/>
        <color indexed="8"/>
        <rFont val="Tahoma"/>
        <family val="2"/>
      </rPr>
      <t xml:space="preserve"> and the work has been satisfactory performed </t>
    </r>
  </si>
  <si>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</si>
  <si>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</si>
  <si>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</si>
  <si>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</si>
  <si>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</si>
  <si>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</si>
  <si>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</si>
  <si>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</si>
  <si>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</si>
  <si>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</si>
  <si>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</si>
  <si>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</si>
  <si>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</si>
  <si>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</si>
  <si>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</si>
  <si>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</si>
  <si>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</si>
  <si>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</si>
  <si>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</si>
  <si>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</si>
  <si>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</si>
  <si>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</si>
  <si>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</si>
  <si>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</si>
  <si>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</si>
  <si>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</si>
  <si>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</si>
  <si>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</si>
  <si>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</si>
  <si>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</si>
  <si>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</si>
  <si>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</si>
  <si>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</si>
  <si>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</si>
  <si>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</si>
  <si>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</si>
  <si>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</si>
  <si>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</si>
  <si>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</si>
  <si>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</si>
  <si>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</si>
  <si>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</si>
  <si>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</si>
  <si>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</si>
  <si>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</si>
  <si>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</si>
  <si>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</si>
  <si>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</si>
  <si>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</si>
  <si>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</si>
  <si>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</si>
  <si>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</si>
  <si>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</si>
  <si>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</si>
  <si>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</si>
  <si>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</si>
  <si>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</si>
  <si>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</si>
  <si>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</si>
  <si>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</si>
  <si>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</si>
  <si>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</si>
  <si>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t>1) Name of the Work:</t>
  </si>
  <si>
    <t>2) Estimate Cost:</t>
  </si>
  <si>
    <t>3) Grant:</t>
  </si>
  <si>
    <t>CERTIFICATES</t>
  </si>
  <si>
    <t>Certified that the work was completed in all respects as per agreement conditions.</t>
  </si>
  <si>
    <t>Certified that there are no recoveries to be effected in this ill other than now proposed</t>
  </si>
  <si>
    <t>Certified that there were no liabilities outstanding against the contractor</t>
  </si>
  <si>
    <t>Certified that all the materials required have been conveyed to site form specified quarries as noted in the lead statement appended to agreement and estimates</t>
  </si>
  <si>
    <t>Certified that no departmental machinery were issued to the work</t>
  </si>
  <si>
    <t>Deputy Executive Engineer,</t>
  </si>
  <si>
    <t>PRI Sub Division: Kanigiri</t>
  </si>
  <si>
    <t>RELEASE AND DISCHARGE CERTIFICATE</t>
  </si>
  <si>
    <t>Contractor</t>
  </si>
  <si>
    <t>Connected M.Book Nos:  190/A/ZP/20</t>
  </si>
  <si>
    <t xml:space="preserve">Rc.No.P4/127-VOL-2/2022 Dt. 14.12.2022 of the Chief Executive Officer, Zilla Parishad, Prakasam District, Ongole </t>
  </si>
  <si>
    <t>DR No.       /2022-23 Dt 20.01.2023  of the  Executive Engineer, PRI  Division, Kandukur</t>
  </si>
  <si>
    <t>No.       /2022-23 Dt 06.02.2023  of the Executive Engineer, PRI Division, Kandukur</t>
  </si>
  <si>
    <t>1Poi</t>
  </si>
  <si>
    <r>
      <t xml:space="preserve">                            I do here by release and discharge with the Executive Engineer / Dy.Executive Engineer, PRI Division/ Sub Division, Kandukur all claims and demand what so ever arising out of the work or contracts with the contract vide Agt.No. </t>
    </r>
    <r>
      <rPr>
        <sz val="12"/>
        <color indexed="9"/>
        <rFont val="Calibri"/>
        <family val="2"/>
      </rPr>
      <t>12</t>
    </r>
    <r>
      <rPr>
        <sz val="12"/>
        <rFont val="Calibri"/>
        <family val="2"/>
      </rPr>
      <t xml:space="preserve"> /2022-23 Dt 06.02.2023</t>
    </r>
    <r>
      <rPr>
        <sz val="12"/>
        <rFont val="Calibri"/>
        <family val="2"/>
      </rPr>
      <t xml:space="preserve"> with full and final settlement of my all claims and demands of the work</t>
    </r>
  </si>
  <si>
    <t>Supply and fixing of  Wood Polymer Composite(WPC)  fixing 28 -30 MM thick solid Wood Polymer Composite (WPC)  double extruded door shutter with 3MM top and bottom rigid layer with an overall density of 750kg/Cum. It will be fixed to the frame using 3 inch /4 inch hinges. A minimum of 4 hinges will be required etc., complete</t>
  </si>
  <si>
    <t>Ltd to</t>
  </si>
  <si>
    <t>ZILLA PARISHAD CHECK SLIP                 IN TRIPLICATE</t>
  </si>
  <si>
    <t>Measurement Books</t>
  </si>
  <si>
    <t>Name of the Sub Diviaion</t>
  </si>
  <si>
    <t>Name of the village and Mandal</t>
  </si>
  <si>
    <t>Agt.No. &amp; Date</t>
  </si>
  <si>
    <t>Value of work done</t>
  </si>
  <si>
    <t>Date of Recoring along with Page Number by Section officer</t>
  </si>
  <si>
    <t>Date of Recoring along with Page Number by Dy.Executive engineer</t>
  </si>
  <si>
    <t>Date of Agreement</t>
  </si>
  <si>
    <t>Nature of Contract</t>
  </si>
  <si>
    <t>Amount already paid</t>
  </si>
  <si>
    <t>Amount to be paid</t>
  </si>
  <si>
    <t>Whether digital photos were taken or not</t>
  </si>
  <si>
    <t>Whether display board placed at work spot</t>
  </si>
  <si>
    <t>Date of Completion of work</t>
  </si>
  <si>
    <t>Serial No. of the Bill: 1st &amp; Final</t>
  </si>
  <si>
    <t>Name of the Grant: ZPGF 15% Office Maintenance Grant.</t>
  </si>
  <si>
    <t>190/A/ZP/20</t>
  </si>
  <si>
    <t>06.02.2023</t>
  </si>
  <si>
    <t>Qty.p.31 of M.B.No.190/A/ZP/20</t>
  </si>
  <si>
    <t>Rate per 1No</t>
  </si>
  <si>
    <t xml:space="preserve">100mm Alluminium tower bolts </t>
  </si>
  <si>
    <t>BMT-G.07</t>
  </si>
  <si>
    <t xml:space="preserve">Butt Hinges 75mm  Alluminium </t>
  </si>
  <si>
    <t>BMT-G.23</t>
  </si>
  <si>
    <t xml:space="preserve">100mm Alluminium handle </t>
  </si>
  <si>
    <t>BMT-G.32</t>
  </si>
  <si>
    <t xml:space="preserve">Deluxe window stay alluminium </t>
  </si>
  <si>
    <t>BMT-G.56</t>
  </si>
  <si>
    <t>BMM-V.44</t>
  </si>
  <si>
    <t>for window shutter only</t>
  </si>
  <si>
    <t>Supplying and fixing of Window of size 0.90X1.35M with two panels of Shutter made with Sal wood including  Alluminium tower bolts, handle and butt hinges  including c/c of all materials and furniture fittings etc complete etc complete Windows shutter only</t>
  </si>
  <si>
    <t>Supplying and fixing of Window of size 0.90X1.35M with two panels of Shutter made with Sal wood including, Alluminium tower bolts, handle and butt hinges  including c/c of all materials and furniture fittings etc complete etc complete Windows shutter only</t>
  </si>
  <si>
    <t>Intial cost for  150mts to 250mts P.No.198 of SSR 2021-22</t>
  </si>
  <si>
    <t>MAT-00252</t>
  </si>
  <si>
    <t>HIR-00040
HIR-00174</t>
  </si>
  <si>
    <t>BMW-G.01</t>
  </si>
  <si>
    <t>BMW-G.02</t>
  </si>
  <si>
    <t>1.00HP single phase</t>
  </si>
  <si>
    <t>Supply of 6.0 Sqmm PVC  insulated flexible Copper cable. 1.6.1.b</t>
  </si>
  <si>
    <t xml:space="preserve">Scraping Plaster Cement Mortar </t>
  </si>
  <si>
    <t>Filling Basement with Selected earth in trenches</t>
  </si>
  <si>
    <t>RCC M-20 Grade for plinth beam</t>
  </si>
  <si>
    <t>RCC M-20 Grade for Roof beams</t>
  </si>
  <si>
    <t>RCC M-20 Grade for Roof slab 125mm thick</t>
  </si>
  <si>
    <t>RCC M-20 Grade for Lintels</t>
  </si>
  <si>
    <t>RCC M-20 Grade for sunshades</t>
  </si>
  <si>
    <t>RCC M-20 Grade for Roof slab 100mm thick</t>
  </si>
  <si>
    <t xml:space="preserve">Brick Masonary for Superstructure with CM (1:8) proportion </t>
  </si>
  <si>
    <t xml:space="preserve">Brick Masonary for Superstructure with CM (1:6) proportion </t>
  </si>
  <si>
    <t>Ceiling Plastering to Ceiling in CM (1:3) 12mm thick</t>
  </si>
  <si>
    <t>Plastering in CM (1:5) 20mm thick  single coat</t>
  </si>
  <si>
    <t>Flooring with vitrified tiles of 1st quality</t>
  </si>
  <si>
    <t xml:space="preserve">Providing skirting to internal walls </t>
  </si>
  <si>
    <t xml:space="preserve">Supply and fixing of  Wood Polymer Composite(WPC)  </t>
  </si>
  <si>
    <t>Supplying and fixing Gyp Board Suspended regular single layer false ceiling</t>
  </si>
  <si>
    <t>Providing and applying Wall putty</t>
  </si>
  <si>
    <t xml:space="preserve">Painting to new walls with 2 coats of acrylic Emulsion paint </t>
  </si>
  <si>
    <t xml:space="preserve">Painting to new walls with 2 coats of Plastic Emulsion paint </t>
  </si>
  <si>
    <t xml:space="preserve">Supplying, fitting &amp; placing HYSD bar reinforcement </t>
  </si>
  <si>
    <t>Providing  Mild Steel (MS) steel bars</t>
  </si>
  <si>
    <t>S&amp; F 50 mm Nominal  GI pipe Light Grade</t>
  </si>
  <si>
    <t>Hot dipped Galvanised Iron Chain linkmesh 8 gauge</t>
  </si>
  <si>
    <t xml:space="preserve">                             Specification Report to accompany the  estimate for the work "</t>
  </si>
  <si>
    <t>Painting with Synthatic enamel paint</t>
  </si>
  <si>
    <t>Driling with 165mm dia bore well including all accessories</t>
  </si>
  <si>
    <t>Sal Wood Planks</t>
  </si>
  <si>
    <t xml:space="preserve">Intial cost for Upto 90mts P.No.198 </t>
  </si>
  <si>
    <t xml:space="preserve">Intial cost for  90mts to 150mts P.No.198 </t>
  </si>
  <si>
    <t xml:space="preserve">Supply of 23 / 0060 twin core twisted </t>
  </si>
  <si>
    <t>c</t>
  </si>
  <si>
    <t>Door frame and shutter</t>
  </si>
  <si>
    <t>Supplying and fixing of  Door of size 0.90X2.10M with single panels of frames made with sal wood and Shutter made with sal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</si>
  <si>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</si>
  <si>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Shutters : Sal Wood</t>
  </si>
  <si>
    <t xml:space="preserve">Sal Wood for Scantlings/Frames  </t>
  </si>
  <si>
    <t xml:space="preserve">Sal Wood for Planks/Shutters </t>
  </si>
  <si>
    <r>
      <t xml:space="preserve">150mm </t>
    </r>
    <r>
      <rPr>
        <sz val="10"/>
        <color rgb="FFFF0000"/>
        <rFont val="Calibri"/>
        <family val="2"/>
        <scheme val="minor"/>
      </rPr>
      <t>Alluminium</t>
    </r>
    <r>
      <rPr>
        <sz val="10"/>
        <rFont val="Calibri"/>
        <family val="2"/>
        <scheme val="minor"/>
      </rPr>
      <t xml:space="preserve"> tower bolts </t>
    </r>
  </si>
  <si>
    <r>
      <t xml:space="preserve">300mm </t>
    </r>
    <r>
      <rPr>
        <sz val="10"/>
        <color rgb="FFFF0000"/>
        <rFont val="Calibri"/>
        <family val="2"/>
        <scheme val="minor"/>
      </rPr>
      <t>Alluminium</t>
    </r>
    <r>
      <rPr>
        <sz val="10"/>
        <rFont val="Calibri"/>
        <family val="2"/>
        <scheme val="minor"/>
      </rPr>
      <t xml:space="preserve"> Aldrop </t>
    </r>
  </si>
  <si>
    <t xml:space="preserve">Alluminium door stoppers </t>
  </si>
  <si>
    <t>Butt Hinges 125mm  alluminium</t>
  </si>
  <si>
    <t>KANDUKUR</t>
  </si>
  <si>
    <t>PCC M25 grade for flooring bed</t>
  </si>
  <si>
    <t>Flooring with pressed tiles</t>
  </si>
  <si>
    <t>Painting to doors with synthatic enamel paint</t>
  </si>
  <si>
    <t>Painting to doors with  Poly-Urethane Water Proof Polish Glossy</t>
  </si>
  <si>
    <t>Providing doors and windows as per design</t>
  </si>
  <si>
    <t>20mm HBG Machine chips</t>
  </si>
  <si>
    <t>Examination room</t>
  </si>
  <si>
    <t>Lab and store room</t>
  </si>
  <si>
    <t>Bed room</t>
  </si>
  <si>
    <t>Kitchen</t>
  </si>
  <si>
    <t>Clinic &amp; Lobby</t>
  </si>
  <si>
    <t>Living room</t>
  </si>
  <si>
    <t>In verandah</t>
  </si>
  <si>
    <t>Ramp portion</t>
  </si>
  <si>
    <t>At medicine center</t>
  </si>
  <si>
    <t>deduct windows</t>
  </si>
  <si>
    <t>S&amp;F of high polished granite 16 to 18 mm mm thick slabs including cost and conveyance of all material and labour charges etc., complete  for platform</t>
  </si>
  <si>
    <t>10Sqm</t>
  </si>
  <si>
    <t>Deduct for working area</t>
  </si>
  <si>
    <t>Deduction</t>
  </si>
  <si>
    <t>Fan point</t>
  </si>
  <si>
    <t xml:space="preserve">Cost of  Frame  </t>
  </si>
  <si>
    <t xml:space="preserve">BMM-V.42 </t>
  </si>
  <si>
    <t xml:space="preserve">Labour charges for frame work </t>
  </si>
  <si>
    <t xml:space="preserve">Rate per 1.00 Sqm </t>
  </si>
  <si>
    <t>Supply and fixing of  Wood Polymer Composite(WPC)  Door Frame section of 63.5x100 MM .The two Vertical members are to be joined together with the horizontal member using 8x75 MM long MS Star full thread screws to be used with reverse forward speed control hand drilling machine. The ready/assembled door frame is fixed to the wall using hold fast or bolt fasteners. A minimum of 4 No.s of screws to be provided for each vertical member &amp; minimum 2no.s for horizontal member, and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</si>
  <si>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S&amp;F 1200mm dia hume pipes</t>
  </si>
  <si>
    <t>S&amp;F high polished granite stone for cupboards</t>
  </si>
  <si>
    <t>Supply and fixing of  upvc windows</t>
  </si>
  <si>
    <t xml:space="preserve">supply and fixing of name board of size 0.90 x 1.20 mts with Brick masonary and painting and lettering the name board </t>
  </si>
  <si>
    <t>Supply and fixing of  Wood Polymer Composite(WPC)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</si>
  <si>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S&amp;F Vitrified tiles stone for cupboards</t>
  </si>
  <si>
    <t xml:space="preserve">Plain Cement Concrete (1:4:8) </t>
  </si>
  <si>
    <t>Painting with Poly Uritrine for doors</t>
  </si>
  <si>
    <t>Ventilators</t>
  </si>
  <si>
    <t>Door</t>
  </si>
  <si>
    <t>Store room</t>
  </si>
  <si>
    <t>Open room</t>
  </si>
  <si>
    <t>Butt Hinges 75mm  Alluminium</t>
  </si>
  <si>
    <t xml:space="preserve">75mm Alluminium Door handle </t>
  </si>
  <si>
    <t>BMT-G.31</t>
  </si>
  <si>
    <t>MS Grills</t>
  </si>
  <si>
    <t xml:space="preserve">Shutters : Sal Wood </t>
  </si>
  <si>
    <t>20mm HBG Metal</t>
  </si>
  <si>
    <t xml:space="preserve">Plain Cement Concrete  M-20 Nominal mix (Cement: Sand: Metal) corresponding Table 9 of IS 456 using 20mm size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t>
  </si>
  <si>
    <t>Contract Profit @ 13.615%</t>
  </si>
  <si>
    <t>wrought &amp; Putup Labour charges  1/3</t>
  </si>
  <si>
    <t xml:space="preserve">Supply and fixing of  sal wood window three shutter   of size 1.50 x 1.35 mts shutter made with Sal wood  including fixers of Aluminum tower bolt, butt hinges No's,  Al handles, window stoppers and MS Z hold fasts with necessary fittings etc., complete.  </t>
  </si>
  <si>
    <t>wrought &amp; Putup Labour charges  2/3</t>
  </si>
  <si>
    <t>Frames only</t>
  </si>
  <si>
    <t>Shutter only</t>
  </si>
  <si>
    <t>Supply and fixing of  sal wood window three shutter   of size 1.50 x 1.35 mt with frame made of sal wood and fixing MS Grills into frames for safety  with necessary fittings etc., complete.  For frame only</t>
  </si>
  <si>
    <t>Supplying and fixing of Sal wood door of size 1.20 x 2.10 Mts</t>
  </si>
  <si>
    <t xml:space="preserve">Supplying and fixing of Window of size 1.50 x 1.35 Mts </t>
  </si>
  <si>
    <t xml:space="preserve">Supplying and fixing of Window of size 0.90 x 1.35 Mts </t>
  </si>
  <si>
    <t xml:space="preserve">Seigniorage Charges </t>
  </si>
  <si>
    <t>Inside room</t>
  </si>
  <si>
    <t>Out side Veerandah steps top</t>
  </si>
  <si>
    <t>Sides average</t>
  </si>
  <si>
    <t>Verandah basement sides</t>
  </si>
  <si>
    <t>windows</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</si>
  <si>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</si>
  <si>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t>Unit = 10 Cum</t>
  </si>
  <si>
    <t xml:space="preserve">Rate per 10 Cum </t>
  </si>
  <si>
    <t>RBR-FNDN-1</t>
  </si>
  <si>
    <t>Flooring with Granite Stones</t>
  </si>
  <si>
    <t>Providing Skirting to Granite Stones</t>
  </si>
  <si>
    <t xml:space="preserve">Earthwork in excavation for structures </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</si>
  <si>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of Shutter made with Sal</t>
    </r>
    <r>
      <rPr>
        <b/>
        <sz val="10"/>
        <rFont val="Calibri"/>
        <family val="2"/>
        <scheme val="minor"/>
      </rPr>
      <t xml:space="preserve"> wood</t>
    </r>
    <r>
      <rPr>
        <sz val="10"/>
        <rFont val="Calibri"/>
        <family val="2"/>
        <scheme val="minor"/>
      </rPr>
      <t xml:space="preserve"> including   brass tower bolts, handle and butt hinges with all furniture fittings including c/c of all materials and furniture fittings etc complete as per specification  (APSS No 1001 &amp; 1002) </t>
    </r>
    <r>
      <rPr>
        <b/>
        <sz val="10"/>
        <rFont val="Calibri"/>
        <family val="2"/>
        <scheme val="minor"/>
      </rPr>
      <t>Door  Shutters</t>
    </r>
  </si>
  <si>
    <t>wrought &amp; Putup Labour charges 2/3</t>
  </si>
  <si>
    <t>Supplying and fixing of  Door of size 1.20X2.10M with two panels of Shutter made with Sal wood including   brass tower bolts, handle and butt hinges with all furniture fittings including c/c of all materials and furniture fittings etc complete as per specification  (APSS No 1001 &amp; 1002) Door  Shutters</t>
  </si>
  <si>
    <t>wrought &amp; Putup Labour charges 1/3</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</si>
  <si>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Frame made with sald wood fixing with Z hold fast  including c/c of all materials and furniture fittings etc complete as per specification  (APSS No 1001 &amp; 1002) </t>
    </r>
    <r>
      <rPr>
        <b/>
        <sz val="10"/>
        <rFont val="Calibri"/>
        <family val="2"/>
        <scheme val="minor"/>
      </rPr>
      <t>Door Frame only</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</si>
  <si>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0.75X2.10M</t>
    </r>
    <r>
      <rPr>
        <sz val="10"/>
        <rFont val="Calibri"/>
        <family val="2"/>
        <scheme val="minor"/>
      </rPr>
      <t xml:space="preserve"> with two panels Frame made with sald wood fixing with Z hold fast  including c/c of all materials and furniture fittings etc complete as per specification  (APSS No 1001 &amp; 1002) </t>
    </r>
    <r>
      <rPr>
        <b/>
        <sz val="10"/>
        <rFont val="Calibri"/>
        <family val="2"/>
        <scheme val="minor"/>
      </rPr>
      <t>Door Frame only</t>
    </r>
  </si>
  <si>
    <t>Supply and fixing of  sal wood window three shutter   of size 0.90 x 1.35 mt with frame made of sal wood and fixing MS Grills into frames for safety  with necessary fittings etc., complete.  For frame only</t>
  </si>
  <si>
    <t xml:space="preserve">Supply and fixing of  sal wood window three shutter   of size 0.90 x 1.35 mts shutter made with Sal wood  including fixers of Aluminum tower bolt, butt hinges No's,  Al handles, window stoppers and MS Z hold fasts with necessary fittings etc., complete.  </t>
  </si>
  <si>
    <t>Supplying and fixing of  Door of size 1.20X2.10M with two panels Frame made with sald wood fixing with Z hold fast  including c/c of all materials and furniture fittings etc complete as per specification  (APSS No 1001 &amp; 1002) Door Frame only</t>
  </si>
  <si>
    <t>Supplying and fixing of  Door of size 0.75X2.10M with two panels Frame made with sald wood fixing with Z hold fast  including c/c of all materials and furniture fittings etc complete as per specification  (APSS No 1001 &amp; 1002) Door Frame only</t>
  </si>
  <si>
    <t>Frame only</t>
  </si>
  <si>
    <t>Supplying and fixing of  Door of size 0.75X2.10M with two panels  Shutter made with Sal wood including    tower bolts, handle and butt hinges with all furniture fittings including c/c of all materials and furniture fittings etc complete as per specification  (APSS No 1001 &amp; 1002) Door  Frame and Shutters</t>
  </si>
  <si>
    <t xml:space="preserve">Supplying and fixing of  Door of size 0.75X2.10M with two panels  Shutter made with Sal wood including   brass tower bolts, handle and butt hinges with all furniture fittings including c/c of all materials and furniture fittings etc complete as per specification  (APSS No 1001 &amp; 1002) </t>
  </si>
  <si>
    <t>Supplying and fixing of Sal wood door of size 0.75 x 2.10 Mts</t>
  </si>
  <si>
    <t>Conveyance charges-2024-25</t>
  </si>
  <si>
    <t>MINI SSR 2024-25 OF BUILDING ITEMS</t>
  </si>
  <si>
    <t>BMT-B.17</t>
  </si>
  <si>
    <t>BMT-H.88</t>
  </si>
  <si>
    <t>P.No.201</t>
  </si>
  <si>
    <t>P.No.203</t>
  </si>
  <si>
    <t>ELEC-1.6.3 b</t>
  </si>
  <si>
    <t>MAT-02733</t>
  </si>
  <si>
    <t>ELEC-1.6.1 b</t>
  </si>
  <si>
    <t>ELEC-1.5.6 a</t>
  </si>
  <si>
    <t>BMT-N.92</t>
  </si>
  <si>
    <t>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column footings</t>
  </si>
  <si>
    <t>Plain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</si>
  <si>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Columns etc., complete</t>
  </si>
  <si>
    <t>Bathroom wall</t>
  </si>
  <si>
    <t>Side walls</t>
  </si>
  <si>
    <t>Deduct column C1</t>
  </si>
  <si>
    <t>Deduct column C2</t>
  </si>
  <si>
    <t>Deduct column C3</t>
  </si>
  <si>
    <t>Front side</t>
  </si>
  <si>
    <t>Windows</t>
  </si>
  <si>
    <t>Doors</t>
  </si>
  <si>
    <t>Supplying and fixing of  Door of size 1.20X2.10M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</si>
  <si>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</si>
  <si>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0.45= 390.00 : 1.20 = ?</t>
  </si>
  <si>
    <t>?=1.20 x 390.00 / 0.45</t>
  </si>
  <si>
    <t>?=1040.00</t>
  </si>
  <si>
    <t>0.45= 390 : 0.90 = ?</t>
  </si>
  <si>
    <t>?=0.90 x 390.00 / 0.45</t>
  </si>
  <si>
    <t>?=780.00</t>
  </si>
  <si>
    <t>LEAD STATEMENT (2024-25)</t>
  </si>
  <si>
    <t>Certified that the rates are provided as per SSR 2024-25</t>
  </si>
  <si>
    <t>Plastering in CM (1:5) 12mm thick double coat</t>
  </si>
  <si>
    <t xml:space="preserve">                            The   estimate is prepared as per the current schedule of rates for the year  2024-25 and the work shall be executed as per APSS.</t>
  </si>
  <si>
    <t>DATA  SHEET (2024-25)</t>
  </si>
  <si>
    <t xml:space="preserve"> DATA SHEET (2024-25) (WATER AND SANITATION ITEMS)</t>
  </si>
  <si>
    <t xml:space="preserve"> DATA (SSR-2024-25) (Electrification)</t>
  </si>
  <si>
    <t>K.Bitragunta</t>
  </si>
  <si>
    <t xml:space="preserve">Bath room </t>
  </si>
  <si>
    <t>RBR-STCL-5-II A</t>
  </si>
  <si>
    <t>Unit = cum</t>
  </si>
  <si>
    <t>Taking output = 1.25 cum</t>
  </si>
  <si>
    <t>By Mechanical Means</t>
  </si>
  <si>
    <t>Cement Concrete</t>
  </si>
  <si>
    <t xml:space="preserve">a) labour </t>
  </si>
  <si>
    <t>Mate</t>
  </si>
  <si>
    <t>b) Machinery</t>
  </si>
  <si>
    <t>Air compressor</t>
  </si>
  <si>
    <t>Tractor with trolley 3t</t>
  </si>
  <si>
    <t>Rate per 1.25 Cum</t>
  </si>
  <si>
    <t>Dismantling of existing structures  comprising of  cement concrete including T&amp;P and scaffolding wherever necessary, sorting the dismantled material, disposal of unserviceable material and stacking the serviceable material with all lifts and lead of 1000 m as per Technical Specification Clause 202 MORD / MORTH</t>
  </si>
  <si>
    <t>Flooring bed concrete</t>
  </si>
  <si>
    <t>Building east side</t>
  </si>
  <si>
    <t>Gronolithie Concrete Flooring 20 mm thick with (1:1:2), using 6mm to 12 mm size hard granite machine crushed metal laid over CC bed already laid or RCC roof slab, in alternate panels of size not exceeding 1.50 m x 1.50 m and finishing the top surface to required smoothness and slopes and thread lining including cost of all materials like cement, metal, sand and water etc., complete, including seigniorage charges, etc., complete for finished item of work, but excluding the cost of conveyance of all materials</t>
  </si>
  <si>
    <t>west side</t>
  </si>
  <si>
    <t>north side</t>
  </si>
  <si>
    <t>BLD-CSTN-7-13</t>
  </si>
  <si>
    <t>6mm to 12 mm H.G. Metal (Machine crushed)</t>
  </si>
  <si>
    <r>
      <t xml:space="preserve">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lintels etc., complete</t>
    </r>
  </si>
  <si>
    <r>
      <t xml:space="preserve">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sunshades etc., complete</t>
    </r>
  </si>
  <si>
    <t>3 tier</t>
  </si>
  <si>
    <t>for window grills</t>
  </si>
  <si>
    <t>Motravulapadu</t>
  </si>
  <si>
    <t>Ramatherdham</t>
  </si>
  <si>
    <t>GST 18%</t>
  </si>
  <si>
    <t xml:space="preserve"> DATA  SHEET (2024-25)</t>
  </si>
  <si>
    <t>KANIGIRI</t>
  </si>
  <si>
    <t>Dismantling Cement Concrete</t>
  </si>
  <si>
    <t xml:space="preserve">Providing Skirting vitrified tiles to  internal walls </t>
  </si>
  <si>
    <t>Flooring with Gronolithie Concrete Flooring</t>
  </si>
  <si>
    <t>Painting with Wall putty</t>
  </si>
  <si>
    <t>DPO room</t>
  </si>
  <si>
    <t>Rooms</t>
  </si>
  <si>
    <t>Alround windows planks</t>
  </si>
  <si>
    <t>RBR-STCL-6</t>
  </si>
  <si>
    <t>Dismantling of existing structures like Flooring including disposal of unserviceable material and stacking the serviceable material with all lifts and lead of 1000 m as per Technical Specification Clause 202 MORD / MORTH</t>
  </si>
  <si>
    <t>Supply &amp; fixing bib cock cum health faucet with 1 m long flexible tube and wall hook .</t>
  </si>
  <si>
    <r>
      <rPr>
        <b/>
        <sz val="10"/>
        <rFont val="Calibri"/>
        <family val="2"/>
        <scheme val="minor"/>
      </rPr>
      <t>Painting Old Wood work</t>
    </r>
    <r>
      <rPr>
        <sz val="10"/>
        <rFont val="Calibri"/>
        <family val="2"/>
        <scheme val="minor"/>
      </rPr>
      <t xml:space="preserve"> with Two coats of ready mixed Synthatic Enamil paint first quality of shades  after thoroughly brushes the surface to remove all remains of loose provided materials including cost and conveyance of all materials, cost of brushe for finished item of work as per APSS </t>
    </r>
  </si>
  <si>
    <t xml:space="preserve">Painting Old Wood work with Two coats of ready mixed Synthatic Enamil paint first quality of shades  after thoroughly brushes the surface to remove all remains of loose provided materials including cost and conveyance of all materials, cost of brushe for finished item of work as per APSS </t>
  </si>
  <si>
    <t>Assistant  Engineer</t>
  </si>
  <si>
    <t>Dismantling Tiles</t>
  </si>
  <si>
    <t>Providing Electrification items fans and tube lights</t>
  </si>
  <si>
    <t>S&amp;F of  Sanitatin itmes like Water closet, Wash basin, Taps, Health Faucet</t>
  </si>
  <si>
    <t>S&amp;F of Teak wood windows shutters</t>
  </si>
  <si>
    <t>S&amp;F of Teak wood windows shutter of size 0.90 x 1.50 Mts including alluminium tower bolts, Butt hinges, door handle and plain float glass including all labour charges etc., complete.</t>
  </si>
  <si>
    <t>S&amp;F of Teak wood windows shutter of size 1.50  x 1.50 Mts including alluminium tower bolts, Butt hinges, door handle and plain float glass including all labour charges etc., complete.</t>
  </si>
  <si>
    <t>S&amp;F of Teak wood windows shutter of size 1.50 x 1.50 Mts including alluminium tower bolts, Butt hinges, door handle and plain float glass including all labour charges etc., complete.</t>
  </si>
  <si>
    <r>
      <t>Name of the Contractor</t>
    </r>
    <r>
      <rPr>
        <sz val="10"/>
        <rFont val="Tahoma"/>
        <family val="2"/>
      </rPr>
      <t xml:space="preserve"> : </t>
    </r>
  </si>
  <si>
    <t>Name of the work: Repairs to Mandal Praja Parishad Office building at Upstairs in Kanigiri Mandal.</t>
  </si>
  <si>
    <t>GP General funds</t>
  </si>
  <si>
    <r>
      <t xml:space="preserve">               Amount of estimate</t>
    </r>
    <r>
      <rPr>
        <sz val="10"/>
        <rFont val="Tahoma"/>
        <family val="2"/>
      </rPr>
      <t xml:space="preserve"> : </t>
    </r>
    <r>
      <rPr>
        <b/>
        <sz val="10"/>
        <rFont val="Tahoma"/>
        <family val="2"/>
      </rPr>
      <t>Rs. 1.50 Lakhs</t>
    </r>
  </si>
  <si>
    <t xml:space="preserve">For  Columns </t>
  </si>
  <si>
    <t xml:space="preserve">Verandah </t>
  </si>
  <si>
    <t>For  Columns</t>
  </si>
  <si>
    <t>Store room + kitchen</t>
  </si>
  <si>
    <t xml:space="preserve">For  Columns footings   </t>
  </si>
  <si>
    <t>Cross walls</t>
  </si>
  <si>
    <t>steps</t>
  </si>
  <si>
    <t>3rd step</t>
  </si>
  <si>
    <t>4th step</t>
  </si>
  <si>
    <t>Verandah parapet wall</t>
  </si>
  <si>
    <t>Landing wall</t>
  </si>
  <si>
    <t>Ramp wall</t>
  </si>
  <si>
    <t>Verandah cross parapet wall</t>
  </si>
  <si>
    <t>Room</t>
  </si>
  <si>
    <t>T.Beam</t>
  </si>
  <si>
    <t>Verandah beam</t>
  </si>
  <si>
    <t>Front beam two sides</t>
  </si>
  <si>
    <t>Slab projection back side</t>
  </si>
  <si>
    <t>Two sides</t>
  </si>
  <si>
    <t>Alround slab sides back side</t>
  </si>
  <si>
    <t>Back side</t>
  </si>
  <si>
    <t>For steps</t>
  </si>
  <si>
    <t>Over landing</t>
  </si>
  <si>
    <t>Sides of steps</t>
  </si>
  <si>
    <t>Landing sides</t>
  </si>
  <si>
    <t>For ramp wall</t>
  </si>
  <si>
    <t>Kitchen alround</t>
  </si>
  <si>
    <t>Two side walls</t>
  </si>
  <si>
    <t>Near steps</t>
  </si>
  <si>
    <t>Upto GL</t>
  </si>
  <si>
    <t>GL to slab</t>
  </si>
  <si>
    <t>Provision for Tiolet</t>
  </si>
  <si>
    <t>Taking Output 6.00 Cum</t>
  </si>
  <si>
    <t>Rate per 6 Cum</t>
  </si>
  <si>
    <t>Rate per 1 cum</t>
  </si>
  <si>
    <t>RCC M-20 Grade for Column footings</t>
  </si>
  <si>
    <t>RCC M-20 Grade for Columns</t>
  </si>
  <si>
    <t xml:space="preserve">                             Necessary provisions are made for QC Charges at 0.5%, GST charges @ 18%, Seigneorage charges,  are shown in the estimate</t>
  </si>
  <si>
    <t>Provision for Dismantling of old building</t>
  </si>
  <si>
    <t>C.P.</t>
  </si>
  <si>
    <t>Provision for Borewell with all accessories</t>
  </si>
  <si>
    <t>SCHOOL CODE</t>
  </si>
  <si>
    <t>PROPOSED UNDER ZPGF GRANT</t>
  </si>
  <si>
    <t>LINE ESTIMATE</t>
  </si>
  <si>
    <t>Completion of incomplete Anganwadi building  in Paletipalli village of P.C.Palli Mandal.</t>
  </si>
  <si>
    <r>
      <t xml:space="preserve">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Beams etc., complete</t>
    </r>
  </si>
  <si>
    <t>P.C.PALLI</t>
  </si>
  <si>
    <t>P.C.Palli</t>
  </si>
  <si>
    <t>15.00 Lakhs</t>
  </si>
  <si>
    <t xml:space="preserve">                            The above building has been proposed for Rs 15.00 lakhs under ZPGF Grant vide RC.No. P5/326 /2025 Dt 13.02.2025 of the Chief Executive Officer, Zilla Parishad, Prakasam District, Ongole . Hence the estimate is preapred with the following provisions.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</si>
</sst>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64" formatCode="&quot;$&quot;#,##0.00_);\(&quot;$&quot;#,##0.00\)"/>
    <numFmt numFmtId="165" formatCode="_(&quot;$&quot;* #,##0.00_);_(&quot;$&quot;* \(#,##0.00\);_(&quot;$&quot;* &quot;-&quot;??_);_(@_)"/>
    <numFmt numFmtId="166" formatCode="_(* #,##0.00_);_(* \(#,##0.00\);_(* &quot;-&quot;??_);_(@_)"/>
    <numFmt numFmtId="167" formatCode="0.000"/>
    <numFmt numFmtId="168" formatCode="0.0"/>
    <numFmt numFmtId="169" formatCode="0.0000"/>
    <numFmt numFmtId="170" formatCode="0.00;[Red]0.00"/>
    <numFmt numFmtId="171" formatCode="_-* #,##0_-;\-* #,##0_-;_-* &quot;-&quot;_-;_-@_-"/>
    <numFmt numFmtId="172" formatCode="0;[Red]0"/>
    <numFmt numFmtId="173" formatCode="#,##0.00;[Red]#,##0.00"/>
    <numFmt numFmtId="174" formatCode="0.000_)"/>
    <numFmt numFmtId="175" formatCode="_([$€-2]* #,##0.00_);_([$€-2]* \(#,##0.00\);_([$€-2]* &quot;-&quot;??_)"/>
    <numFmt numFmtId="176" formatCode="0.00_)"/>
    <numFmt numFmtId="177" formatCode="."/>
    <numFmt numFmtId="178" formatCode="0.000;[Red]0.000"/>
    <numFmt numFmtId="179" formatCode="0.000%"/>
  </numFmts>
  <fonts count="17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sz val="10"/>
      <name val="Arial"/>
      <family val="2"/>
    </font>
    <font>
      <sz val="8"/>
      <name val="Arial"/>
      <family val="2"/>
    </font>
    <font>
      <sz val="10"/>
      <color indexed="8"/>
      <name val="Arial"/>
      <family val="2"/>
    </font>
    <font>
      <sz val="10"/>
      <name val="MS Serif"/>
      <family val="1"/>
    </font>
    <font>
      <sz val="10"/>
      <color indexed="16"/>
      <name val="MS Serif"/>
      <family val="1"/>
    </font>
    <font>
      <sz val="8"/>
      <name val="Helv"/>
    </font>
    <font>
      <b/>
      <sz val="8"/>
      <color indexed="8"/>
      <name val="Helv"/>
    </font>
    <font>
      <sz val="10"/>
      <name val="Arial"/>
      <family val="2"/>
    </font>
    <font>
      <b/>
      <sz val="9"/>
      <name val="Arial"/>
      <family val="2"/>
    </font>
    <font>
      <b/>
      <sz val="16"/>
      <name val="Arial"/>
      <family val="2"/>
    </font>
    <font>
      <b/>
      <sz val="10"/>
      <name val="Times New Roman"/>
      <family val="1"/>
    </font>
    <font>
      <b/>
      <sz val="9"/>
      <name val="Verdana"/>
      <family val="2"/>
    </font>
    <font>
      <sz val="7"/>
      <name val="Small Fonts"/>
      <family val="2"/>
    </font>
    <font>
      <b/>
      <sz val="12"/>
      <name val="MS Sans Serif"/>
      <family val="2"/>
    </font>
    <font>
      <sz val="12"/>
      <name val="MS Sans Serif"/>
      <family val="2"/>
    </font>
    <font>
      <u/>
      <sz val="12"/>
      <name val="Verdana"/>
      <family val="2"/>
    </font>
    <font>
      <sz val="11"/>
      <color indexed="8"/>
      <name val="Calibri"/>
      <family val="2"/>
    </font>
    <font>
      <sz val="12"/>
      <name val="Arial"/>
      <family val="2"/>
    </font>
    <font>
      <sz val="10"/>
      <name val="Times New Roman"/>
      <family val="1"/>
    </font>
    <font>
      <sz val="10"/>
      <name val="Arial"/>
      <family val="2"/>
    </font>
    <font>
      <sz val="11"/>
      <color indexed="9"/>
      <name val="Calibri"/>
      <family val="2"/>
    </font>
    <font>
      <b/>
      <sz val="11"/>
      <color indexed="8"/>
      <name val="Calibri"/>
      <family val="2"/>
    </font>
    <font>
      <b/>
      <sz val="18"/>
      <color indexed="62"/>
      <name val="Cambria"/>
      <family val="2"/>
    </font>
    <font>
      <b/>
      <sz val="11"/>
      <name val="Times New Roman"/>
      <family val="1"/>
    </font>
    <font>
      <sz val="11"/>
      <name val="Times New Roman"/>
      <family val="1"/>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1"/>
      <color indexed="12"/>
      <name val="Calibri"/>
      <family val="2"/>
    </font>
    <font>
      <sz val="11.5"/>
      <name val="Times New Roman"/>
      <family val="1"/>
    </font>
    <font>
      <sz val="10"/>
      <name val="Helv"/>
      <charset val="204"/>
    </font>
    <font>
      <sz val="11"/>
      <color theme="1"/>
      <name val="Calibri"/>
      <family val="2"/>
      <scheme val="minor"/>
    </font>
    <font>
      <b/>
      <sz val="11"/>
      <color rgb="FFFA7D00"/>
      <name val="Calibri"/>
      <family val="2"/>
      <scheme val="minor"/>
    </font>
    <font>
      <sz val="10"/>
      <name val="Webdings"/>
      <family val="1"/>
      <charset val="2"/>
    </font>
    <font>
      <u/>
      <sz val="16"/>
      <name val="Arial Black"/>
      <family val="2"/>
    </font>
    <font>
      <u/>
      <sz val="12"/>
      <name val="Century"/>
      <family val="1"/>
    </font>
    <font>
      <u/>
      <sz val="16"/>
      <name val="Century"/>
      <family val="1"/>
    </font>
    <font>
      <sz val="16"/>
      <name val="Century"/>
      <family val="1"/>
    </font>
    <font>
      <sz val="10"/>
      <name val="Century"/>
      <family val="1"/>
    </font>
    <font>
      <sz val="14"/>
      <name val="Century"/>
      <family val="1"/>
    </font>
    <font>
      <sz val="11"/>
      <name val="Century"/>
      <family val="1"/>
    </font>
    <font>
      <sz val="12"/>
      <name val="Century"/>
      <family val="1"/>
    </font>
    <font>
      <sz val="14"/>
      <color indexed="10"/>
      <name val="Century"/>
      <family val="1"/>
    </font>
    <font>
      <u/>
      <sz val="18"/>
      <name val="Arial"/>
      <family val="2"/>
    </font>
    <font>
      <sz val="10"/>
      <name val="Wingdings"/>
      <charset val="2"/>
    </font>
    <font>
      <sz val="11"/>
      <color indexed="16"/>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u/>
      <sz val="10"/>
      <color indexed="12"/>
      <name val="Arial"/>
      <family val="2"/>
    </font>
    <font>
      <u/>
      <sz val="11"/>
      <color indexed="12"/>
      <name val="Times New Roman"/>
      <family val="1"/>
    </font>
    <font>
      <u/>
      <sz val="10"/>
      <color theme="10"/>
      <name val="Arial"/>
      <family val="2"/>
    </font>
    <font>
      <sz val="11"/>
      <color indexed="53"/>
      <name val="Calibri"/>
      <family val="2"/>
    </font>
    <font>
      <b/>
      <sz val="12"/>
      <name val="Courier New"/>
      <family val="3"/>
    </font>
    <font>
      <sz val="10"/>
      <name val="Century Gothic"/>
      <family val="2"/>
    </font>
    <font>
      <sz val="10"/>
      <name val="Bradley Hand ITC"/>
      <family val="4"/>
    </font>
    <font>
      <sz val="10"/>
      <name val="Helv"/>
      <family val="2"/>
    </font>
    <font>
      <sz val="10"/>
      <name val="Helv"/>
    </font>
    <font>
      <sz val="10"/>
      <color theme="1"/>
      <name val="Arial"/>
      <family val="2"/>
    </font>
    <font>
      <u/>
      <sz val="14"/>
      <name val="Calibri"/>
      <family val="2"/>
      <scheme val="minor"/>
    </font>
    <font>
      <sz val="10"/>
      <name val="Calibri"/>
      <family val="2"/>
      <scheme val="minor"/>
    </font>
    <font>
      <sz val="12"/>
      <name val="Calibri"/>
      <family val="2"/>
      <scheme val="minor"/>
    </font>
    <font>
      <b/>
      <sz val="12"/>
      <name val="Calibri"/>
      <family val="2"/>
      <scheme val="minor"/>
    </font>
    <font>
      <sz val="9"/>
      <name val="Calibri"/>
      <family val="2"/>
      <scheme val="minor"/>
    </font>
    <font>
      <sz val="10"/>
      <name val="Calibri"/>
      <family val="2"/>
    </font>
    <font>
      <sz val="10"/>
      <color theme="1" tint="4.9989318521683403E-2"/>
      <name val="Calibri"/>
      <family val="2"/>
      <scheme val="minor"/>
    </font>
    <font>
      <sz val="11"/>
      <name val="Calibri"/>
      <family val="2"/>
      <scheme val="minor"/>
    </font>
    <font>
      <b/>
      <sz val="10"/>
      <name val="Calibri"/>
      <family val="2"/>
      <scheme val="minor"/>
    </font>
    <font>
      <sz val="10"/>
      <name val="Tahoma"/>
      <family val="2"/>
    </font>
    <font>
      <b/>
      <u/>
      <sz val="10"/>
      <name val="Calibri"/>
      <family val="2"/>
      <scheme val="minor"/>
    </font>
    <font>
      <sz val="8"/>
      <name val="Calibri"/>
      <family val="2"/>
      <scheme val="minor"/>
    </font>
    <font>
      <b/>
      <i/>
      <sz val="9"/>
      <name val="Calibri"/>
      <family val="2"/>
      <scheme val="minor"/>
    </font>
    <font>
      <b/>
      <sz val="8"/>
      <name val="Calibri"/>
      <family val="2"/>
      <scheme val="minor"/>
    </font>
    <font>
      <b/>
      <sz val="9"/>
      <name val="Calibri"/>
      <family val="2"/>
      <scheme val="minor"/>
    </font>
    <font>
      <sz val="9"/>
      <color indexed="8"/>
      <name val="Calibri"/>
      <family val="2"/>
      <scheme val="minor"/>
    </font>
    <font>
      <sz val="10"/>
      <color indexed="8"/>
      <name val="Calibri"/>
      <family val="2"/>
      <scheme val="minor"/>
    </font>
    <font>
      <sz val="7"/>
      <name val="Calibri"/>
      <family val="2"/>
      <scheme val="minor"/>
    </font>
    <font>
      <sz val="8"/>
      <color theme="1"/>
      <name val="Calibri"/>
      <family val="2"/>
      <scheme val="minor"/>
    </font>
    <font>
      <b/>
      <sz val="8"/>
      <color theme="1"/>
      <name val="Calibri"/>
      <family val="2"/>
      <scheme val="minor"/>
    </font>
    <font>
      <b/>
      <sz val="8"/>
      <color indexed="8"/>
      <name val="Calibri"/>
      <family val="2"/>
      <scheme val="minor"/>
    </font>
    <font>
      <sz val="8"/>
      <color indexed="8"/>
      <name val="Calibri"/>
      <family val="2"/>
      <scheme val="minor"/>
    </font>
    <font>
      <sz val="10"/>
      <color theme="1"/>
      <name val="Calibri"/>
      <family val="2"/>
      <scheme val="minor"/>
    </font>
    <font>
      <b/>
      <sz val="16"/>
      <name val="Calibri"/>
      <family val="2"/>
      <scheme val="minor"/>
    </font>
    <font>
      <vertAlign val="superscript"/>
      <sz val="10"/>
      <name val="Calibri"/>
      <family val="2"/>
      <scheme val="minor"/>
    </font>
    <font>
      <b/>
      <sz val="14"/>
      <name val="Calibri"/>
      <family val="2"/>
      <scheme val="minor"/>
    </font>
    <font>
      <b/>
      <i/>
      <u/>
      <sz val="16"/>
      <name val="Calibri"/>
      <family val="2"/>
    </font>
    <font>
      <i/>
      <sz val="10"/>
      <name val="Calibri"/>
      <family val="2"/>
    </font>
    <font>
      <b/>
      <i/>
      <sz val="12"/>
      <name val="Calibri"/>
      <family val="2"/>
    </font>
    <font>
      <i/>
      <sz val="12"/>
      <name val="Calibri"/>
      <family val="2"/>
    </font>
    <font>
      <b/>
      <i/>
      <u/>
      <sz val="12"/>
      <name val="Calibri"/>
      <family val="2"/>
    </font>
    <font>
      <i/>
      <sz val="12"/>
      <name val="Calibri"/>
      <family val="2"/>
      <scheme val="minor"/>
    </font>
    <font>
      <sz val="11"/>
      <name val="Calibri"/>
      <family val="2"/>
    </font>
    <font>
      <i/>
      <sz val="11"/>
      <name val="Calibri"/>
      <family val="2"/>
    </font>
    <font>
      <b/>
      <sz val="10"/>
      <name val="Calibri"/>
      <family val="2"/>
    </font>
    <font>
      <sz val="10"/>
      <color rgb="FFFF0000"/>
      <name val="Calibri"/>
      <family val="2"/>
      <scheme val="minor"/>
    </font>
    <font>
      <u/>
      <sz val="10"/>
      <name val="Calibri"/>
      <family val="2"/>
      <scheme val="minor"/>
    </font>
    <font>
      <u/>
      <sz val="10"/>
      <color rgb="FFFF0000"/>
      <name val="Calibri"/>
      <family val="2"/>
      <scheme val="minor"/>
    </font>
    <font>
      <sz val="10"/>
      <name val="Arial"/>
      <family val="2"/>
    </font>
    <font>
      <i/>
      <sz val="10"/>
      <name val="Calibri"/>
      <family val="2"/>
      <scheme val="minor"/>
    </font>
    <font>
      <b/>
      <i/>
      <sz val="10"/>
      <name val="Calibri"/>
      <family val="2"/>
      <scheme val="minor"/>
    </font>
    <font>
      <b/>
      <u/>
      <sz val="12"/>
      <name val="Calibri"/>
      <family val="2"/>
      <scheme val="minor"/>
    </font>
    <font>
      <sz val="18"/>
      <name val="Arial"/>
      <family val="2"/>
    </font>
    <font>
      <b/>
      <sz val="14"/>
      <name val="Arial"/>
      <family val="2"/>
    </font>
    <font>
      <sz val="11"/>
      <name val="Tahoma"/>
      <family val="2"/>
    </font>
    <font>
      <b/>
      <sz val="11"/>
      <name val="Tahoma"/>
      <family val="2"/>
    </font>
    <font>
      <b/>
      <i/>
      <sz val="11"/>
      <name val="Tahoma"/>
      <family val="2"/>
    </font>
    <font>
      <sz val="10"/>
      <name val="Arial Narrow"/>
      <family val="2"/>
    </font>
    <font>
      <sz val="10"/>
      <color rgb="FFFF0000"/>
      <name val="Arial Narrow"/>
      <family val="2"/>
    </font>
    <font>
      <b/>
      <u/>
      <sz val="15"/>
      <name val="Calibri"/>
      <family val="2"/>
      <scheme val="minor"/>
    </font>
    <font>
      <sz val="15"/>
      <name val="Calibri"/>
      <family val="2"/>
      <scheme val="minor"/>
    </font>
    <font>
      <sz val="10"/>
      <color indexed="10"/>
      <name val="Calibri"/>
      <family val="2"/>
      <scheme val="minor"/>
    </font>
    <font>
      <b/>
      <i/>
      <u/>
      <sz val="12"/>
      <name val="Times New Roman"/>
      <family val="1"/>
    </font>
    <font>
      <b/>
      <i/>
      <sz val="11"/>
      <name val="Times New Roman"/>
      <family val="1"/>
    </font>
    <font>
      <b/>
      <i/>
      <sz val="12"/>
      <name val="Times New Roman"/>
      <family val="1"/>
    </font>
    <font>
      <b/>
      <i/>
      <u/>
      <sz val="11"/>
      <name val="Times New Roman"/>
      <family val="1"/>
    </font>
    <font>
      <b/>
      <u/>
      <sz val="10"/>
      <name val="Times New Roman"/>
      <family val="1"/>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sz val="9"/>
      <name val="Calibri"/>
      <family val="2"/>
    </font>
    <font>
      <sz val="8"/>
      <name val="Tahoma"/>
      <family val="2"/>
    </font>
    <font>
      <sz val="8"/>
      <name val="Calibri"/>
      <family val="2"/>
    </font>
    <font>
      <b/>
      <sz val="8"/>
      <name val="Tahoma"/>
      <family val="2"/>
    </font>
    <font>
      <b/>
      <sz val="9"/>
      <color indexed="8"/>
      <name val="Tahoma"/>
      <family val="2"/>
    </font>
    <font>
      <b/>
      <i/>
      <sz val="9"/>
      <name val="Tahoma"/>
      <family val="2"/>
    </font>
    <font>
      <i/>
      <sz val="9"/>
      <name val="Tahoma"/>
      <family val="2"/>
    </font>
    <font>
      <b/>
      <i/>
      <sz val="8"/>
      <name val="Tahoma"/>
      <family val="2"/>
    </font>
    <font>
      <sz val="9"/>
      <color indexed="8"/>
      <name val="Tahoma"/>
      <family val="2"/>
    </font>
    <font>
      <sz val="9"/>
      <color theme="0"/>
      <name val="Tahoma"/>
      <family val="2"/>
    </font>
    <font>
      <sz val="10"/>
      <color theme="1"/>
      <name val="Calibri"/>
      <family val="2"/>
    </font>
    <font>
      <sz val="7"/>
      <name val="Arial"/>
      <family val="2"/>
    </font>
    <font>
      <b/>
      <sz val="10"/>
      <name val="Arial"/>
      <family val="2"/>
    </font>
    <font>
      <sz val="12"/>
      <name val="Calibri"/>
      <family val="2"/>
    </font>
    <font>
      <b/>
      <u/>
      <sz val="12"/>
      <name val="Aharoni"/>
      <charset val="177"/>
    </font>
    <font>
      <u/>
      <sz val="12"/>
      <name val="Aharoni"/>
      <charset val="177"/>
    </font>
    <font>
      <sz val="12"/>
      <color indexed="9"/>
      <name val="Calibri"/>
      <family val="2"/>
    </font>
    <font>
      <i/>
      <sz val="12"/>
      <color theme="1"/>
      <name val="Calibri"/>
      <family val="2"/>
    </font>
    <font>
      <i/>
      <sz val="10"/>
      <color theme="1"/>
      <name val="Calibri"/>
      <family val="2"/>
    </font>
    <font>
      <b/>
      <u/>
      <sz val="13"/>
      <name val="Calibri"/>
      <family val="2"/>
      <scheme val="minor"/>
    </font>
    <font>
      <b/>
      <i/>
      <sz val="8"/>
      <name val="Calibri"/>
      <family val="2"/>
      <scheme val="minor"/>
    </font>
    <font>
      <b/>
      <sz val="12"/>
      <name val="Century"/>
      <family val="1"/>
    </font>
  </fonts>
  <fills count="4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rgb="FFF2F2F2"/>
      </patternFill>
    </fill>
    <fill>
      <patternFill patternType="solid">
        <fgColor indexed="54"/>
        <bgColor indexed="54"/>
      </patternFill>
    </fill>
    <fill>
      <patternFill patternType="solid">
        <fgColor indexed="25"/>
        <bgColor indexed="25"/>
      </patternFill>
    </fill>
    <fill>
      <patternFill patternType="solid">
        <fgColor indexed="49"/>
        <bgColor indexed="49"/>
      </patternFill>
    </fill>
    <fill>
      <patternFill patternType="solid">
        <fgColor indexed="52"/>
        <bgColor indexed="5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
      <patternFill patternType="solid">
        <fgColor theme="0" tint="-0.249977111117893"/>
        <bgColor indexed="64"/>
      </patternFill>
    </fill>
    <fill>
      <patternFill patternType="solid">
        <fgColor rgb="FF92D050"/>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thin">
        <color indexed="64"/>
      </top>
      <bottom style="double">
        <color indexed="64"/>
      </bottom>
      <diagonal/>
    </border>
    <border>
      <left style="hair">
        <color indexed="64"/>
      </left>
      <right/>
      <top/>
      <bottom style="hair">
        <color indexed="64"/>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ck">
        <color indexed="54"/>
      </bottom>
      <diagonal/>
    </border>
    <border>
      <left/>
      <right/>
      <top/>
      <bottom style="medium">
        <color indexed="44"/>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s>
  <cellStyleXfs count="1673">
    <xf numFmtId="0" fontId="0" fillId="0" borderId="0"/>
    <xf numFmtId="0" fontId="31" fillId="2"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5" borderId="0" applyNumberFormat="0" applyBorder="0" applyAlignment="0" applyProtection="0"/>
    <xf numFmtId="0" fontId="31" fillId="6"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5" borderId="0" applyNumberFormat="0" applyBorder="0" applyAlignment="0" applyProtection="0"/>
    <xf numFmtId="0" fontId="31" fillId="8" borderId="0" applyNumberFormat="0" applyBorder="0" applyAlignment="0" applyProtection="0"/>
    <xf numFmtId="0" fontId="31" fillId="11" borderId="0" applyNumberFormat="0" applyBorder="0" applyAlignment="0" applyProtection="0"/>
    <xf numFmtId="0" fontId="35" fillId="12" borderId="0" applyNumberFormat="0" applyBorder="0" applyAlignment="0" applyProtection="0"/>
    <xf numFmtId="0" fontId="35" fillId="9" borderId="0" applyNumberFormat="0" applyBorder="0" applyAlignment="0" applyProtection="0"/>
    <xf numFmtId="0" fontId="35" fillId="10" borderId="0" applyNumberFormat="0" applyBorder="0" applyAlignment="0" applyProtection="0"/>
    <xf numFmtId="0" fontId="35" fillId="13" borderId="0" applyNumberFormat="0" applyBorder="0" applyAlignment="0" applyProtection="0"/>
    <xf numFmtId="0" fontId="35" fillId="14" borderId="0" applyNumberFormat="0" applyBorder="0" applyAlignment="0" applyProtection="0"/>
    <xf numFmtId="0" fontId="35" fillId="15"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5" fillId="18" borderId="0" applyNumberFormat="0" applyBorder="0" applyAlignment="0" applyProtection="0"/>
    <xf numFmtId="0" fontId="35" fillId="16" borderId="0" applyNumberFormat="0" applyBorder="0" applyAlignment="0" applyProtection="0"/>
    <xf numFmtId="0" fontId="31" fillId="20" borderId="0" applyNumberFormat="0" applyBorder="0" applyAlignment="0" applyProtection="0"/>
    <xf numFmtId="0" fontId="31" fillId="21" borderId="0" applyNumberFormat="0" applyBorder="0" applyAlignment="0" applyProtection="0"/>
    <xf numFmtId="0" fontId="35" fillId="22" borderId="0" applyNumberFormat="0" applyBorder="0" applyAlignment="0" applyProtection="0"/>
    <xf numFmtId="0" fontId="35" fillId="19" borderId="0" applyNumberFormat="0" applyBorder="0" applyAlignment="0" applyProtection="0"/>
    <xf numFmtId="0" fontId="31" fillId="20" borderId="0" applyNumberFormat="0" applyBorder="0" applyAlignment="0" applyProtection="0"/>
    <xf numFmtId="0" fontId="31" fillId="24" borderId="0" applyNumberFormat="0" applyBorder="0" applyAlignment="0" applyProtection="0"/>
    <xf numFmtId="0" fontId="35" fillId="21" borderId="0" applyNumberFormat="0" applyBorder="0" applyAlignment="0" applyProtection="0"/>
    <xf numFmtId="0" fontId="35" fillId="23"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5" fillId="21" borderId="0" applyNumberFormat="0" applyBorder="0" applyAlignment="0" applyProtection="0"/>
    <xf numFmtId="0" fontId="35" fillId="13" borderId="0" applyNumberFormat="0" applyBorder="0" applyAlignment="0" applyProtection="0"/>
    <xf numFmtId="0" fontId="31" fillId="25" borderId="0" applyNumberFormat="0" applyBorder="0" applyAlignment="0" applyProtection="0"/>
    <xf numFmtId="0" fontId="31" fillId="17" borderId="0" applyNumberFormat="0" applyBorder="0" applyAlignment="0" applyProtection="0"/>
    <xf numFmtId="0" fontId="35" fillId="18" borderId="0" applyNumberFormat="0" applyBorder="0" applyAlignment="0" applyProtection="0"/>
    <xf numFmtId="0" fontId="35" fillId="14" borderId="0" applyNumberFormat="0" applyBorder="0" applyAlignment="0" applyProtection="0"/>
    <xf numFmtId="0" fontId="31" fillId="20" borderId="0" applyNumberFormat="0" applyBorder="0" applyAlignment="0" applyProtection="0"/>
    <xf numFmtId="0" fontId="31" fillId="27" borderId="0" applyNumberFormat="0" applyBorder="0" applyAlignment="0" applyProtection="0"/>
    <xf numFmtId="0" fontId="35" fillId="27" borderId="0" applyNumberFormat="0" applyBorder="0" applyAlignment="0" applyProtection="0"/>
    <xf numFmtId="0" fontId="35" fillId="26" borderId="0" applyNumberFormat="0" applyBorder="0" applyAlignment="0" applyProtection="0"/>
    <xf numFmtId="0" fontId="40" fillId="3" borderId="0" applyNumberFormat="0" applyBorder="0" applyAlignment="0" applyProtection="0"/>
    <xf numFmtId="0" fontId="17" fillId="0" borderId="0" applyFill="0" applyBorder="0" applyAlignment="0"/>
    <xf numFmtId="0" fontId="41" fillId="28" borderId="1" applyNumberFormat="0" applyAlignment="0" applyProtection="0"/>
    <xf numFmtId="0" fontId="42" fillId="29" borderId="2" applyNumberForma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66" fontId="15" fillId="0" borderId="0" applyFont="0" applyFill="0" applyBorder="0" applyAlignment="0" applyProtection="0"/>
    <xf numFmtId="172" fontId="33" fillId="0" borderId="0" applyFont="0" applyFill="0" applyBorder="0" applyAlignment="0" applyProtection="0"/>
    <xf numFmtId="166" fontId="15" fillId="0" borderId="0" applyFont="0" applyFill="0" applyBorder="0" applyAlignment="0" applyProtection="0"/>
    <xf numFmtId="164" fontId="33" fillId="0" borderId="0" applyFont="0" applyFill="0" applyBorder="0" applyAlignment="0" applyProtection="0"/>
    <xf numFmtId="170" fontId="33"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0" fontId="18" fillId="0" borderId="0" applyNumberFormat="0" applyAlignment="0">
      <alignment horizontal="left"/>
    </xf>
    <xf numFmtId="0" fontId="36" fillId="30" borderId="0" applyNumberFormat="0" applyBorder="0" applyAlignment="0" applyProtection="0"/>
    <xf numFmtId="0" fontId="36" fillId="31" borderId="0" applyNumberFormat="0" applyBorder="0" applyAlignment="0" applyProtection="0"/>
    <xf numFmtId="0" fontId="36" fillId="32" borderId="0" applyNumberFormat="0" applyBorder="0" applyAlignment="0" applyProtection="0"/>
    <xf numFmtId="0" fontId="19" fillId="0" borderId="0" applyNumberFormat="0" applyAlignment="0">
      <alignment horizontal="left"/>
    </xf>
    <xf numFmtId="0" fontId="43" fillId="0" borderId="0" applyNumberFormat="0" applyFill="0" applyBorder="0" applyAlignment="0" applyProtection="0"/>
    <xf numFmtId="2" fontId="15" fillId="0" borderId="0" applyFont="0" applyFill="0" applyBorder="0" applyAlignment="0" applyProtection="0"/>
    <xf numFmtId="1" fontId="22" fillId="0" borderId="0"/>
    <xf numFmtId="1" fontId="15" fillId="0" borderId="0"/>
    <xf numFmtId="1" fontId="15" fillId="0" borderId="0"/>
    <xf numFmtId="1" fontId="15" fillId="0" borderId="0"/>
    <xf numFmtId="0" fontId="44" fillId="4" borderId="0" applyNumberFormat="0" applyBorder="0" applyAlignment="0" applyProtection="0"/>
    <xf numFmtId="38" fontId="16" fillId="33" borderId="0" applyNumberFormat="0" applyBorder="0" applyAlignment="0" applyProtection="0"/>
    <xf numFmtId="0" fontId="14" fillId="0" borderId="3" applyNumberFormat="0" applyAlignment="0" applyProtection="0">
      <alignment horizontal="left" vertical="center"/>
    </xf>
    <xf numFmtId="0" fontId="14" fillId="0" borderId="4">
      <alignment horizontal="left" vertical="center"/>
    </xf>
    <xf numFmtId="0" fontId="45" fillId="0" borderId="5" applyNumberFormat="0" applyFill="0" applyAlignment="0" applyProtection="0"/>
    <xf numFmtId="0" fontId="46" fillId="0" borderId="6" applyNumberFormat="0" applyFill="0" applyAlignment="0" applyProtection="0"/>
    <xf numFmtId="0" fontId="47" fillId="0" borderId="7" applyNumberFormat="0" applyFill="0" applyAlignment="0" applyProtection="0"/>
    <xf numFmtId="0" fontId="47" fillId="0" borderId="0" applyNumberFormat="0" applyFill="0" applyBorder="0" applyAlignment="0" applyProtection="0"/>
    <xf numFmtId="0" fontId="54" fillId="0" borderId="0" applyNumberFormat="0" applyFill="0" applyBorder="0" applyAlignment="0" applyProtection="0">
      <alignment vertical="top"/>
      <protection locked="0"/>
    </xf>
    <xf numFmtId="10" fontId="16" fillId="34" borderId="8" applyNumberFormat="0" applyBorder="0" applyAlignment="0" applyProtection="0"/>
    <xf numFmtId="0" fontId="48" fillId="7" borderId="1" applyNumberFormat="0" applyAlignment="0" applyProtection="0"/>
    <xf numFmtId="0" fontId="49" fillId="0" borderId="9" applyNumberFormat="0" applyFill="0" applyAlignment="0" applyProtection="0"/>
    <xf numFmtId="0" fontId="24" fillId="0" borderId="0" applyProtection="0">
      <alignment horizontal="center" vertical="center"/>
    </xf>
    <xf numFmtId="168" fontId="25" fillId="0" borderId="10">
      <alignment horizontal="right"/>
    </xf>
    <xf numFmtId="168" fontId="25" fillId="0" borderId="10">
      <alignment horizontal="right"/>
    </xf>
    <xf numFmtId="168" fontId="25" fillId="0" borderId="10">
      <alignment horizontal="right"/>
    </xf>
    <xf numFmtId="0" fontId="26" fillId="0" borderId="8">
      <alignment wrapText="1"/>
    </xf>
    <xf numFmtId="0" fontId="50" fillId="35" borderId="0" applyNumberFormat="0" applyBorder="0" applyAlignment="0" applyProtection="0"/>
    <xf numFmtId="37" fontId="27" fillId="0" borderId="0"/>
    <xf numFmtId="0" fontId="13" fillId="0" borderId="0"/>
    <xf numFmtId="0" fontId="15" fillId="0" borderId="0"/>
    <xf numFmtId="0" fontId="15" fillId="0" borderId="0"/>
    <xf numFmtId="0" fontId="15" fillId="0" borderId="0"/>
    <xf numFmtId="0" fontId="34" fillId="0" borderId="0"/>
    <xf numFmtId="0" fontId="15" fillId="0" borderId="0"/>
    <xf numFmtId="0" fontId="15" fillId="0" borderId="0"/>
    <xf numFmtId="0" fontId="15" fillId="0" borderId="0"/>
    <xf numFmtId="0" fontId="15" fillId="0" borderId="0"/>
    <xf numFmtId="0" fontId="31" fillId="0" borderId="0"/>
    <xf numFmtId="0" fontId="15" fillId="0" borderId="0"/>
    <xf numFmtId="0" fontId="15" fillId="0" borderId="0"/>
    <xf numFmtId="0" fontId="15" fillId="0" borderId="0"/>
    <xf numFmtId="0" fontId="33" fillId="0" borderId="0"/>
    <xf numFmtId="0" fontId="33" fillId="0" borderId="0"/>
    <xf numFmtId="0" fontId="33" fillId="0" borderId="0"/>
    <xf numFmtId="0" fontId="15" fillId="0" borderId="0"/>
    <xf numFmtId="0" fontId="22"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1" fillId="0" borderId="0"/>
    <xf numFmtId="0" fontId="33" fillId="0" borderId="0"/>
    <xf numFmtId="0" fontId="5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2" fillId="0" borderId="0"/>
    <xf numFmtId="0" fontId="15" fillId="0" borderId="0"/>
    <xf numFmtId="0" fontId="15" fillId="0" borderId="0"/>
    <xf numFmtId="0" fontId="15" fillId="0" borderId="0"/>
    <xf numFmtId="0" fontId="57" fillId="0" borderId="0"/>
    <xf numFmtId="0" fontId="57" fillId="0" borderId="0"/>
    <xf numFmtId="0" fontId="33" fillId="0" borderId="0"/>
    <xf numFmtId="0" fontId="57" fillId="0" borderId="0"/>
    <xf numFmtId="0" fontId="15" fillId="36" borderId="11" applyNumberFormat="0" applyFont="0" applyAlignment="0" applyProtection="0"/>
    <xf numFmtId="0" fontId="51" fillId="28" borderId="12" applyNumberFormat="0" applyAlignment="0" applyProtection="0"/>
    <xf numFmtId="10" fontId="13" fillId="0" borderId="0" applyFont="0" applyFill="0" applyBorder="0" applyAlignment="0" applyProtection="0"/>
    <xf numFmtId="10" fontId="15" fillId="0" borderId="0" applyFont="0" applyFill="0" applyBorder="0" applyAlignment="0" applyProtection="0"/>
    <xf numFmtId="10" fontId="15" fillId="0" borderId="0" applyFont="0" applyFill="0" applyBorder="0" applyAlignment="0" applyProtection="0"/>
    <xf numFmtId="10" fontId="34"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5" fillId="0" borderId="0" applyFont="0" applyFill="0" applyBorder="0" applyAlignment="0" applyProtection="0"/>
    <xf numFmtId="9" fontId="33" fillId="0" borderId="0" applyFont="0" applyFill="0" applyBorder="0" applyAlignment="0" applyProtection="0"/>
    <xf numFmtId="9" fontId="57" fillId="0" borderId="0" applyFont="0" applyFill="0" applyBorder="0" applyAlignment="0" applyProtection="0"/>
    <xf numFmtId="9" fontId="33" fillId="0" borderId="0" applyFont="0" applyFill="0" applyBorder="0" applyAlignment="0" applyProtection="0"/>
    <xf numFmtId="14" fontId="20" fillId="0" borderId="0" applyNumberFormat="0" applyFill="0" applyBorder="0" applyAlignment="0" applyProtection="0">
      <alignment horizontal="left"/>
    </xf>
    <xf numFmtId="0" fontId="37" fillId="0" borderId="0" applyNumberFormat="0" applyFill="0" applyBorder="0" applyAlignment="0" applyProtection="0"/>
    <xf numFmtId="0" fontId="28" fillId="0" borderId="8">
      <alignment horizontal="center"/>
    </xf>
    <xf numFmtId="0" fontId="56" fillId="0" borderId="0"/>
    <xf numFmtId="0" fontId="28" fillId="0" borderId="8">
      <alignment horizontal="center"/>
    </xf>
    <xf numFmtId="0" fontId="28" fillId="0" borderId="0">
      <alignment horizontal="center" vertical="center"/>
    </xf>
    <xf numFmtId="0" fontId="29" fillId="37" borderId="0" applyNumberFormat="0" applyFill="0">
      <alignment horizontal="left" vertical="center"/>
    </xf>
    <xf numFmtId="0" fontId="30" fillId="0" borderId="8">
      <alignment horizontal="center" vertical="center" wrapText="1"/>
    </xf>
    <xf numFmtId="40" fontId="21" fillId="0" borderId="0" applyBorder="0">
      <alignment horizontal="right"/>
    </xf>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0" fontId="22" fillId="0" borderId="0"/>
    <xf numFmtId="0" fontId="15" fillId="0" borderId="0"/>
    <xf numFmtId="0" fontId="15" fillId="0" borderId="0"/>
    <xf numFmtId="0" fontId="15" fillId="0" borderId="0"/>
    <xf numFmtId="40" fontId="38" fillId="0" borderId="0"/>
    <xf numFmtId="0" fontId="52" fillId="0" borderId="0" applyNumberFormat="0" applyFill="0" applyBorder="0" applyAlignment="0" applyProtection="0"/>
    <xf numFmtId="0" fontId="36" fillId="0" borderId="13" applyNumberFormat="0" applyFill="0" applyAlignment="0" applyProtection="0"/>
    <xf numFmtId="0" fontId="15" fillId="0" borderId="14">
      <alignment horizontal="center"/>
    </xf>
    <xf numFmtId="0" fontId="53" fillId="0" borderId="0" applyNumberFormat="0" applyFill="0" applyBorder="0" applyAlignment="0" applyProtection="0"/>
    <xf numFmtId="0" fontId="33" fillId="0" borderId="0"/>
    <xf numFmtId="0" fontId="12" fillId="0" borderId="0"/>
    <xf numFmtId="0" fontId="39" fillId="0" borderId="0"/>
    <xf numFmtId="0" fontId="15" fillId="0" borderId="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16" borderId="0" applyNumberFormat="0" applyBorder="0" applyAlignment="0" applyProtection="0"/>
    <xf numFmtId="0" fontId="35" fillId="39" borderId="0" applyNumberFormat="0" applyBorder="0" applyAlignment="0" applyProtection="0"/>
    <xf numFmtId="0" fontId="35" fillId="16" borderId="0" applyNumberFormat="0" applyBorder="0" applyAlignment="0" applyProtection="0"/>
    <xf numFmtId="0" fontId="35" fillId="16"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19" borderId="0" applyNumberFormat="0" applyBorder="0" applyAlignment="0" applyProtection="0"/>
    <xf numFmtId="0" fontId="35" fillId="40"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3" borderId="0" applyNumberFormat="0" applyBorder="0" applyAlignment="0" applyProtection="0"/>
    <xf numFmtId="0" fontId="35" fillId="22"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13" borderId="0" applyNumberFormat="0" applyBorder="0" applyAlignment="0" applyProtection="0"/>
    <xf numFmtId="0" fontId="35" fillId="39"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14" borderId="0" applyNumberFormat="0" applyBorder="0" applyAlignment="0" applyProtection="0"/>
    <xf numFmtId="0" fontId="35" fillId="41"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7" borderId="0" applyNumberFormat="0" applyBorder="0" applyAlignment="0" applyProtection="0"/>
    <xf numFmtId="0" fontId="31" fillId="27" borderId="0" applyNumberFormat="0" applyBorder="0" applyAlignment="0" applyProtection="0"/>
    <xf numFmtId="0" fontId="31" fillId="27"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26" borderId="0" applyNumberFormat="0" applyBorder="0" applyAlignment="0" applyProtection="0"/>
    <xf numFmtId="0" fontId="35" fillId="42"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40" fillId="3" borderId="0" applyNumberFormat="0" applyBorder="0" applyAlignment="0" applyProtection="0"/>
    <xf numFmtId="0" fontId="71" fillId="4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15" fillId="0" borderId="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41" fillId="28" borderId="1" applyNumberFormat="0" applyAlignment="0" applyProtection="0"/>
    <xf numFmtId="0" fontId="72" fillId="37" borderId="1" applyNumberFormat="0" applyAlignment="0" applyProtection="0"/>
    <xf numFmtId="0" fontId="41" fillId="28" borderId="1" applyNumberFormat="0" applyAlignment="0" applyProtection="0"/>
    <xf numFmtId="0" fontId="58" fillId="38" borderId="22" applyNumberFormat="0" applyAlignment="0" applyProtection="0"/>
    <xf numFmtId="0" fontId="41" fillId="28"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9" borderId="2" applyNumberFormat="0" applyAlignment="0" applyProtection="0"/>
    <xf numFmtId="0" fontId="42" fillId="22" borderId="2" applyNumberFormat="0" applyAlignment="0" applyProtection="0"/>
    <xf numFmtId="0" fontId="42" fillId="29" borderId="2" applyNumberFormat="0" applyAlignment="0" applyProtection="0"/>
    <xf numFmtId="0" fontId="42" fillId="29"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66" fontId="15" fillId="0" borderId="0" applyFont="0" applyFill="0" applyBorder="0" applyAlignment="0" applyProtection="0"/>
    <xf numFmtId="166" fontId="15" fillId="0" borderId="0" applyFont="0" applyFill="0" applyBorder="0" applyAlignment="0" applyProtection="0"/>
    <xf numFmtId="0" fontId="15"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66" fontId="39"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66" fontId="31"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66" fontId="39" fillId="0" borderId="0" applyFont="0" applyFill="0" applyBorder="0" applyAlignment="0" applyProtection="0"/>
    <xf numFmtId="166" fontId="31" fillId="0" borderId="0" applyFont="0" applyFill="0" applyBorder="0" applyAlignment="0" applyProtection="0"/>
    <xf numFmtId="166" fontId="39"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74" fontId="15" fillId="0" borderId="0" applyFont="0" applyFill="0" applyBorder="0" applyAlignment="0" applyProtection="0"/>
    <xf numFmtId="166" fontId="39" fillId="0" borderId="0" applyFont="0" applyFill="0" applyBorder="0" applyAlignment="0" applyProtection="0"/>
    <xf numFmtId="168" fontId="33" fillId="0" borderId="0" applyFont="0" applyFill="0" applyBorder="0" applyAlignment="0" applyProtection="0"/>
    <xf numFmtId="167" fontId="15" fillId="0" borderId="0" applyFill="0" applyBorder="0" applyAlignment="0" applyProtection="0"/>
    <xf numFmtId="167" fontId="15" fillId="0" borderId="0" applyFill="0" applyBorder="0" applyAlignment="0" applyProtection="0"/>
    <xf numFmtId="167" fontId="15" fillId="0" borderId="0" applyFill="0" applyBorder="0" applyAlignment="0" applyProtection="0"/>
    <xf numFmtId="168" fontId="15" fillId="0" borderId="0" applyFill="0" applyBorder="0" applyAlignment="0" applyProtection="0"/>
    <xf numFmtId="168" fontId="15" fillId="0" borderId="0" applyFill="0" applyBorder="0" applyAlignment="0" applyProtection="0"/>
    <xf numFmtId="168" fontId="15" fillId="0" borderId="0" applyFill="0" applyBorder="0" applyAlignment="0" applyProtection="0"/>
    <xf numFmtId="167" fontId="15" fillId="0" borderId="0" applyFill="0" applyBorder="0" applyAlignment="0" applyProtection="0"/>
    <xf numFmtId="166" fontId="39" fillId="0" borderId="0" applyFont="0" applyFill="0" applyBorder="0" applyAlignment="0" applyProtection="0"/>
    <xf numFmtId="166" fontId="15"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15"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1" fillId="0" borderId="0" applyFont="0" applyFill="0" applyBorder="0" applyAlignment="0" applyProtection="0"/>
    <xf numFmtId="166" fontId="15"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165" fontId="15" fillId="0" borderId="0" applyFont="0" applyFill="0" applyBorder="0" applyAlignment="0" applyProtection="0"/>
    <xf numFmtId="165" fontId="15" fillId="0" borderId="0" applyFont="0" applyFill="0" applyBorder="0" applyAlignment="0" applyProtection="0"/>
    <xf numFmtId="165" fontId="33"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65" fontId="31" fillId="0" borderId="0" applyFont="0" applyFill="0" applyBorder="0" applyAlignment="0" applyProtection="0"/>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175" fontId="15" fillId="0" borderId="0" applyFont="0" applyFill="0" applyBorder="0" applyAlignment="0" applyProtection="0"/>
    <xf numFmtId="0" fontId="31" fillId="0" borderId="0"/>
    <xf numFmtId="0" fontId="31" fillId="0" borderId="0"/>
    <xf numFmtId="0" fontId="36" fillId="0" borderId="1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2" fontId="15" fillId="0" borderId="0" applyFont="0" applyFill="0" applyBorder="0" applyAlignment="0" applyProtection="0"/>
    <xf numFmtId="2" fontId="15" fillId="0" borderId="0" applyFont="0" applyFill="0" applyBorder="0" applyAlignment="0" applyProtection="0"/>
    <xf numFmtId="1" fontId="15" fillId="0" borderId="0"/>
    <xf numFmtId="1" fontId="15" fillId="0" borderId="0"/>
    <xf numFmtId="1" fontId="15" fillId="0" borderId="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4" borderId="0" applyNumberFormat="0" applyBorder="0" applyAlignment="0" applyProtection="0"/>
    <xf numFmtId="0" fontId="44" fillId="24" borderId="0" applyNumberFormat="0" applyBorder="0" applyAlignment="0" applyProtection="0"/>
    <xf numFmtId="0" fontId="44" fillId="4" borderId="0" applyNumberFormat="0" applyBorder="0" applyAlignment="0" applyProtection="0"/>
    <xf numFmtId="0" fontId="44" fillId="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38" fontId="16" fillId="33" borderId="0" applyNumberFormat="0" applyBorder="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45" fillId="0" borderId="5" applyNumberFormat="0" applyFill="0" applyAlignment="0" applyProtection="0"/>
    <xf numFmtId="0" fontId="73" fillId="0" borderId="23" applyNumberFormat="0" applyFill="0" applyAlignment="0" applyProtection="0"/>
    <xf numFmtId="0" fontId="45" fillId="0" borderId="5" applyNumberFormat="0" applyFill="0" applyAlignment="0" applyProtection="0"/>
    <xf numFmtId="0" fontId="45" fillId="0" borderId="5"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46" fillId="0" borderId="6" applyNumberFormat="0" applyFill="0" applyAlignment="0" applyProtection="0"/>
    <xf numFmtId="0" fontId="74" fillId="0" borderId="6" applyNumberFormat="0" applyFill="0" applyAlignment="0" applyProtection="0"/>
    <xf numFmtId="0" fontId="46" fillId="0" borderId="6" applyNumberFormat="0" applyFill="0" applyAlignment="0" applyProtection="0"/>
    <xf numFmtId="0" fontId="46"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47" fillId="0" borderId="7" applyNumberFormat="0" applyFill="0" applyAlignment="0" applyProtection="0"/>
    <xf numFmtId="0" fontId="75" fillId="0" borderId="24" applyNumberFormat="0" applyFill="0" applyAlignment="0" applyProtection="0"/>
    <xf numFmtId="0" fontId="47" fillId="0" borderId="7" applyNumberFormat="0" applyFill="0" applyAlignment="0" applyProtection="0"/>
    <xf numFmtId="0" fontId="47" fillId="0" borderId="7"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47" fillId="0" borderId="0" applyNumberFormat="0" applyFill="0" applyBorder="0" applyAlignment="0" applyProtection="0"/>
    <xf numFmtId="0" fontId="75"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6"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10" fontId="16" fillId="34" borderId="8" applyNumberFormat="0" applyBorder="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7" borderId="1" applyNumberFormat="0" applyAlignment="0" applyProtection="0"/>
    <xf numFmtId="0" fontId="48" fillId="27" borderId="1" applyNumberFormat="0" applyAlignment="0" applyProtection="0"/>
    <xf numFmtId="0" fontId="48" fillId="7" borderId="1" applyNumberFormat="0" applyAlignment="0" applyProtection="0"/>
    <xf numFmtId="0" fontId="48" fillId="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49" fillId="0" borderId="9" applyNumberFormat="0" applyFill="0" applyAlignment="0" applyProtection="0"/>
    <xf numFmtId="0" fontId="79" fillId="0" borderId="9" applyNumberFormat="0" applyFill="0" applyAlignment="0" applyProtection="0"/>
    <xf numFmtId="0" fontId="49" fillId="0" borderId="9" applyNumberFormat="0" applyFill="0" applyAlignment="0" applyProtection="0"/>
    <xf numFmtId="0" fontId="4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24" fillId="0" borderId="0" applyProtection="0">
      <alignment horizontal="center" vertical="center"/>
    </xf>
    <xf numFmtId="0" fontId="24" fillId="0" borderId="0" applyProtection="0">
      <alignment horizontal="center" vertical="center"/>
    </xf>
    <xf numFmtId="0" fontId="24" fillId="0" borderId="0" applyProtection="0">
      <alignment horizontal="center" vertical="center"/>
    </xf>
    <xf numFmtId="0" fontId="80" fillId="0" borderId="0">
      <alignment vertical="top"/>
    </xf>
    <xf numFmtId="168" fontId="25" fillId="0" borderId="10">
      <alignment horizontal="right"/>
    </xf>
    <xf numFmtId="168" fontId="25" fillId="0" borderId="10">
      <alignment horizontal="right"/>
    </xf>
    <xf numFmtId="168" fontId="25" fillId="0" borderId="10">
      <alignment horizontal="right"/>
    </xf>
    <xf numFmtId="168" fontId="25" fillId="0" borderId="10">
      <alignment horizontal="right"/>
    </xf>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35" borderId="0" applyNumberFormat="0" applyBorder="0" applyAlignment="0" applyProtection="0"/>
    <xf numFmtId="0" fontId="50" fillId="4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37" fontId="27" fillId="0" borderId="0"/>
    <xf numFmtId="37" fontId="27" fillId="0" borderId="0"/>
    <xf numFmtId="37" fontId="27" fillId="0" borderId="0"/>
    <xf numFmtId="37" fontId="27" fillId="0" borderId="0"/>
    <xf numFmtId="37" fontId="27" fillId="0" borderId="0"/>
    <xf numFmtId="37" fontId="27" fillId="0" borderId="0"/>
    <xf numFmtId="0" fontId="15" fillId="0" borderId="0"/>
    <xf numFmtId="0" fontId="15" fillId="0" borderId="0"/>
    <xf numFmtId="0" fontId="15" fillId="0" borderId="0"/>
    <xf numFmtId="0" fontId="15" fillId="0" borderId="0"/>
    <xf numFmtId="41" fontId="15" fillId="0" borderId="0"/>
    <xf numFmtId="41" fontId="15" fillId="0" borderId="0"/>
    <xf numFmtId="0" fontId="15" fillId="0" borderId="0"/>
    <xf numFmtId="0" fontId="15" fillId="0" borderId="0"/>
    <xf numFmtId="0" fontId="39" fillId="0" borderId="0"/>
    <xf numFmtId="0" fontId="39" fillId="0" borderId="0"/>
    <xf numFmtId="0" fontId="39" fillId="0" borderId="0"/>
    <xf numFmtId="0" fontId="11" fillId="0" borderId="0"/>
    <xf numFmtId="0" fontId="15" fillId="0" borderId="0"/>
    <xf numFmtId="0" fontId="11" fillId="0" borderId="0"/>
    <xf numFmtId="0" fontId="11" fillId="0" borderId="0"/>
    <xf numFmtId="0" fontId="39" fillId="0" borderId="0"/>
    <xf numFmtId="0" fontId="11" fillId="0" borderId="0"/>
    <xf numFmtId="0" fontId="11" fillId="0" borderId="0"/>
    <xf numFmtId="0" fontId="31" fillId="0" borderId="0"/>
    <xf numFmtId="0" fontId="39" fillId="0" borderId="0"/>
    <xf numFmtId="0" fontId="15" fillId="0" borderId="0"/>
    <xf numFmtId="0" fontId="39" fillId="0" borderId="0"/>
    <xf numFmtId="0" fontId="1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15" fillId="0" borderId="0"/>
    <xf numFmtId="0" fontId="39" fillId="0" borderId="0"/>
    <xf numFmtId="0" fontId="15" fillId="0" borderId="0"/>
    <xf numFmtId="0" fontId="31"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3" fillId="0" borderId="0"/>
    <xf numFmtId="0" fontId="31" fillId="0" borderId="0"/>
    <xf numFmtId="0" fontId="39" fillId="0" borderId="0"/>
    <xf numFmtId="0" fontId="39" fillId="0" borderId="0"/>
    <xf numFmtId="0" fontId="3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9" fillId="0" borderId="0"/>
    <xf numFmtId="0" fontId="39" fillId="0" borderId="0"/>
    <xf numFmtId="0" fontId="39" fillId="0" borderId="0"/>
    <xf numFmtId="0" fontId="39" fillId="0" borderId="0"/>
    <xf numFmtId="0" fontId="39" fillId="0" borderId="0"/>
    <xf numFmtId="0" fontId="15" fillId="0" borderId="0"/>
    <xf numFmtId="0" fontId="39" fillId="0" borderId="0"/>
    <xf numFmtId="0" fontId="15" fillId="0" borderId="0"/>
    <xf numFmtId="0" fontId="11" fillId="0" borderId="0"/>
    <xf numFmtId="0" fontId="15" fillId="0" borderId="0"/>
    <xf numFmtId="0" fontId="15" fillId="0" borderId="0"/>
    <xf numFmtId="0" fontId="39" fillId="0" borderId="0"/>
    <xf numFmtId="0" fontId="33" fillId="0" borderId="0"/>
    <xf numFmtId="0" fontId="15" fillId="0" borderId="0"/>
    <xf numFmtId="0" fontId="39" fillId="0" borderId="0"/>
    <xf numFmtId="0" fontId="11" fillId="0" borderId="0"/>
    <xf numFmtId="0" fontId="39" fillId="0" borderId="0"/>
    <xf numFmtId="0" fontId="39" fillId="0" borderId="0"/>
    <xf numFmtId="0" fontId="39" fillId="0" borderId="0"/>
    <xf numFmtId="0" fontId="39" fillId="0" borderId="0"/>
    <xf numFmtId="0" fontId="11" fillId="0" borderId="0"/>
    <xf numFmtId="0" fontId="39" fillId="0" borderId="0"/>
    <xf numFmtId="0" fontId="39" fillId="0" borderId="0"/>
    <xf numFmtId="0" fontId="15" fillId="0" borderId="0"/>
    <xf numFmtId="0" fontId="15" fillId="0" borderId="0"/>
    <xf numFmtId="0" fontId="11" fillId="0" borderId="0"/>
    <xf numFmtId="0" fontId="11" fillId="0" borderId="0"/>
    <xf numFmtId="0" fontId="15" fillId="0" borderId="0"/>
    <xf numFmtId="0" fontId="15" fillId="0" borderId="0"/>
    <xf numFmtId="0" fontId="15"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1" fillId="0" borderId="0"/>
    <xf numFmtId="0" fontId="11" fillId="0" borderId="0"/>
    <xf numFmtId="0" fontId="15" fillId="0" borderId="0"/>
    <xf numFmtId="0" fontId="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1" fillId="0" borderId="0"/>
    <xf numFmtId="0" fontId="11" fillId="0" borderId="0"/>
    <xf numFmtId="0" fontId="15" fillId="0" borderId="0"/>
    <xf numFmtId="0" fontId="15" fillId="0" borderId="0"/>
    <xf numFmtId="0" fontId="15" fillId="0" borderId="0"/>
    <xf numFmtId="0" fontId="39" fillId="0" borderId="0"/>
    <xf numFmtId="0" fontId="31" fillId="0" borderId="0"/>
    <xf numFmtId="0" fontId="31" fillId="0" borderId="0"/>
    <xf numFmtId="0" fontId="31" fillId="0" borderId="0"/>
    <xf numFmtId="0" fontId="31" fillId="0" borderId="0"/>
    <xf numFmtId="0" fontId="15" fillId="0" borderId="0"/>
    <xf numFmtId="0" fontId="15" fillId="0" borderId="0"/>
    <xf numFmtId="0" fontId="15" fillId="0" borderId="0"/>
    <xf numFmtId="0" fontId="3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1" fillId="0" borderId="0"/>
    <xf numFmtId="0" fontId="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5" fillId="0" borderId="0"/>
    <xf numFmtId="0" fontId="1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5" fillId="0" borderId="0"/>
    <xf numFmtId="0" fontId="11" fillId="0" borderId="0"/>
    <xf numFmtId="0" fontId="15" fillId="0" borderId="0"/>
    <xf numFmtId="0" fontId="15" fillId="0" borderId="0"/>
    <xf numFmtId="0" fontId="31" fillId="0" borderId="0"/>
    <xf numFmtId="0" fontId="15" fillId="0" borderId="0"/>
    <xf numFmtId="0" fontId="15" fillId="0" borderId="0"/>
    <xf numFmtId="0" fontId="15" fillId="0" borderId="0"/>
    <xf numFmtId="0" fontId="31" fillId="0" borderId="0"/>
    <xf numFmtId="0" fontId="15" fillId="0" borderId="0"/>
    <xf numFmtId="0" fontId="15" fillId="0" borderId="0"/>
    <xf numFmtId="0" fontId="15" fillId="0" borderId="0"/>
    <xf numFmtId="0" fontId="39" fillId="0" borderId="0"/>
    <xf numFmtId="0" fontId="11" fillId="0" borderId="0"/>
    <xf numFmtId="0" fontId="39" fillId="0" borderId="0"/>
    <xf numFmtId="0" fontId="11" fillId="0" borderId="0"/>
    <xf numFmtId="0" fontId="11" fillId="0" borderId="0"/>
    <xf numFmtId="0" fontId="11" fillId="0" borderId="0"/>
    <xf numFmtId="0" fontId="11" fillId="0" borderId="0"/>
    <xf numFmtId="0" fontId="11" fillId="0" borderId="0"/>
    <xf numFmtId="0" fontId="39" fillId="0" borderId="0"/>
    <xf numFmtId="0" fontId="15" fillId="0" borderId="0"/>
    <xf numFmtId="0" fontId="11" fillId="0" borderId="0"/>
    <xf numFmtId="0" fontId="11" fillId="0" borderId="0"/>
    <xf numFmtId="0" fontId="11" fillId="0" borderId="0"/>
    <xf numFmtId="0" fontId="31"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33" fillId="0" borderId="0"/>
    <xf numFmtId="0" fontId="33" fillId="0" borderId="0"/>
    <xf numFmtId="0" fontId="33" fillId="0" borderId="0"/>
    <xf numFmtId="0" fontId="15" fillId="0" borderId="0"/>
    <xf numFmtId="0" fontId="15" fillId="0" borderId="0"/>
    <xf numFmtId="0" fontId="15" fillId="0" borderId="0"/>
    <xf numFmtId="0" fontId="15" fillId="0" borderId="0"/>
    <xf numFmtId="0" fontId="81" fillId="0" borderId="0"/>
    <xf numFmtId="0" fontId="15" fillId="0" borderId="0"/>
    <xf numFmtId="0" fontId="32" fillId="0" borderId="0"/>
    <xf numFmtId="0" fontId="32" fillId="0" borderId="0"/>
    <xf numFmtId="0" fontId="15" fillId="0" borderId="0"/>
    <xf numFmtId="0" fontId="15" fillId="0" borderId="0"/>
    <xf numFmtId="0" fontId="31" fillId="0" borderId="0"/>
    <xf numFmtId="0" fontId="11" fillId="0" borderId="0"/>
    <xf numFmtId="0" fontId="33" fillId="0" borderId="0"/>
    <xf numFmtId="0" fontId="33" fillId="0" borderId="0"/>
    <xf numFmtId="0" fontId="33" fillId="0" borderId="0"/>
    <xf numFmtId="0" fontId="33" fillId="0" borderId="0"/>
    <xf numFmtId="0" fontId="32" fillId="0" borderId="0"/>
    <xf numFmtId="0" fontId="15" fillId="0" borderId="0"/>
    <xf numFmtId="0" fontId="15" fillId="0" borderId="0"/>
    <xf numFmtId="0" fontId="15" fillId="0" borderId="0"/>
    <xf numFmtId="0" fontId="33" fillId="0" borderId="0"/>
    <xf numFmtId="0" fontId="33" fillId="0" borderId="0"/>
    <xf numFmtId="0" fontId="39"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3" fillId="0" borderId="0"/>
    <xf numFmtId="0" fontId="31" fillId="0" borderId="0"/>
    <xf numFmtId="0" fontId="15" fillId="0" borderId="0"/>
    <xf numFmtId="0" fontId="15" fillId="0" borderId="0"/>
    <xf numFmtId="0" fontId="33" fillId="0" borderId="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36" borderId="11" applyNumberFormat="0" applyFont="0" applyAlignment="0" applyProtection="0"/>
    <xf numFmtId="0" fontId="15" fillId="20" borderId="11" applyNumberFormat="0" applyFont="0" applyAlignment="0" applyProtection="0"/>
    <xf numFmtId="0" fontId="15" fillId="36" borderId="11" applyNumberFormat="0" applyFont="0" applyAlignment="0" applyProtection="0"/>
    <xf numFmtId="0" fontId="15" fillId="36"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28" borderId="12" applyNumberFormat="0" applyAlignment="0" applyProtection="0"/>
    <xf numFmtId="0" fontId="51" fillId="37" borderId="12" applyNumberFormat="0" applyAlignment="0" applyProtection="0"/>
    <xf numFmtId="0" fontId="51" fillId="28" borderId="12" applyNumberFormat="0" applyAlignment="0" applyProtection="0"/>
    <xf numFmtId="0" fontId="51" fillId="28"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10" fontId="15" fillId="0" borderId="0" applyFont="0" applyFill="0" applyBorder="0" applyAlignment="0" applyProtection="0"/>
    <xf numFmtId="10" fontId="15" fillId="0" borderId="0" applyFont="0" applyFill="0" applyBorder="0" applyAlignment="0" applyProtection="0"/>
    <xf numFmtId="9" fontId="15"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39"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1"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0" fontId="82" fillId="0" borderId="0">
      <alignment vertical="top"/>
    </xf>
    <xf numFmtId="14" fontId="20" fillId="0" borderId="0" applyNumberFormat="0" applyFill="0" applyBorder="0" applyAlignment="0" applyProtection="0">
      <alignment horizontal="left"/>
    </xf>
    <xf numFmtId="0" fontId="83" fillId="0" borderId="0"/>
    <xf numFmtId="0" fontId="56" fillId="0" borderId="0"/>
    <xf numFmtId="0" fontId="84" fillId="0" borderId="0"/>
    <xf numFmtId="0" fontId="84" fillId="0" borderId="0"/>
    <xf numFmtId="0" fontId="85" fillId="0" borderId="25">
      <alignment wrapText="1"/>
    </xf>
    <xf numFmtId="0" fontId="28" fillId="0" borderId="8">
      <alignment horizontal="center"/>
    </xf>
    <xf numFmtId="0" fontId="28" fillId="0" borderId="8">
      <alignment horizontal="center"/>
    </xf>
    <xf numFmtId="0" fontId="28" fillId="0" borderId="8">
      <alignment horizontal="center"/>
    </xf>
    <xf numFmtId="0" fontId="28" fillId="0" borderId="8">
      <alignment horizont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49" fontId="15" fillId="0" borderId="0"/>
    <xf numFmtId="171" fontId="15" fillId="0" borderId="0" applyFont="0" applyFill="0" applyBorder="0" applyAlignment="0" applyProtection="0"/>
    <xf numFmtId="171" fontId="15" fillId="0" borderId="0" applyFont="0" applyFill="0" applyBorder="0" applyAlignment="0" applyProtection="0"/>
    <xf numFmtId="0" fontId="15" fillId="0" borderId="0"/>
    <xf numFmtId="0" fontId="15" fillId="0" borderId="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13" applyNumberFormat="0" applyFill="0" applyAlignment="0" applyProtection="0"/>
    <xf numFmtId="0" fontId="36" fillId="0" borderId="26" applyNumberFormat="0" applyFill="0" applyAlignment="0" applyProtection="0"/>
    <xf numFmtId="0" fontId="36" fillId="0" borderId="13" applyNumberFormat="0" applyFill="0" applyAlignment="0" applyProtection="0"/>
    <xf numFmtId="0" fontId="36" fillId="0" borderId="13"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0" fontId="15" fillId="0" borderId="14">
      <alignment horizontal="center"/>
    </xf>
    <xf numFmtId="0" fontId="15" fillId="0" borderId="14">
      <alignment horizontal="center"/>
    </xf>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0" fillId="0" borderId="0"/>
    <xf numFmtId="0" fontId="33" fillId="0" borderId="0"/>
    <xf numFmtId="0" fontId="9" fillId="0" borderId="0"/>
    <xf numFmtId="171" fontId="15"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0" borderId="0"/>
    <xf numFmtId="0" fontId="8" fillId="0" borderId="0"/>
    <xf numFmtId="0" fontId="8" fillId="0" borderId="0"/>
    <xf numFmtId="0" fontId="8" fillId="0" borderId="0"/>
    <xf numFmtId="0" fontId="8" fillId="0" borderId="0"/>
    <xf numFmtId="0" fontId="15" fillId="0" borderId="0"/>
    <xf numFmtId="0" fontId="15" fillId="0" borderId="0"/>
    <xf numFmtId="0" fontId="15" fillId="0" borderId="0"/>
    <xf numFmtId="0" fontId="15" fillId="0" borderId="0"/>
    <xf numFmtId="0" fontId="8" fillId="0" borderId="0"/>
    <xf numFmtId="0" fontId="8" fillId="0" borderId="0"/>
    <xf numFmtId="0" fontId="8" fillId="0" borderId="0"/>
    <xf numFmtId="0" fontId="15" fillId="0" borderId="0"/>
    <xf numFmtId="0" fontId="15" fillId="0" borderId="0"/>
    <xf numFmtId="0" fontId="15" fillId="0" borderId="0"/>
    <xf numFmtId="0" fontId="15" fillId="0" borderId="0"/>
    <xf numFmtId="0" fontId="7" fillId="0" borderId="0"/>
    <xf numFmtId="170" fontId="33" fillId="0" borderId="0" applyFont="0" applyFill="0" applyBorder="0" applyAlignment="0" applyProtection="0"/>
    <xf numFmtId="175" fontId="15" fillId="0" borderId="0" applyFont="0" applyFill="0" applyBorder="0" applyAlignment="0" applyProtection="0"/>
    <xf numFmtId="2" fontId="15" fillId="0" borderId="0" applyFont="0" applyFill="0" applyBorder="0" applyAlignment="0" applyProtection="0"/>
    <xf numFmtId="0" fontId="15" fillId="0" borderId="0"/>
    <xf numFmtId="0" fontId="15" fillId="0" borderId="0"/>
    <xf numFmtId="0" fontId="15" fillId="0" borderId="0"/>
    <xf numFmtId="0" fontId="33" fillId="0" borderId="0"/>
    <xf numFmtId="0" fontId="33"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4" fontId="33" fillId="0" borderId="8" applyProtection="0"/>
    <xf numFmtId="0" fontId="33" fillId="0" borderId="0"/>
    <xf numFmtId="0" fontId="15" fillId="0" borderId="0"/>
    <xf numFmtId="0" fontId="33" fillId="0" borderId="0"/>
    <xf numFmtId="0" fontId="33" fillId="0" borderId="0"/>
    <xf numFmtId="0" fontId="33" fillId="0" borderId="0"/>
    <xf numFmtId="0" fontId="33"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9" fontId="15" fillId="0" borderId="0" applyFont="0" applyFill="0" applyBorder="0" applyAlignment="0" applyProtection="0"/>
    <xf numFmtId="9" fontId="15" fillId="0" borderId="0" applyFill="0" applyBorder="0" applyAlignment="0" applyProtection="0"/>
    <xf numFmtId="0" fontId="15" fillId="0" borderId="0"/>
    <xf numFmtId="0" fontId="15" fillId="0" borderId="14">
      <alignment horizontal="center"/>
    </xf>
    <xf numFmtId="0" fontId="15" fillId="0" borderId="14">
      <alignment horizontal="center"/>
    </xf>
    <xf numFmtId="0" fontId="15" fillId="0" borderId="14">
      <alignment horizontal="center"/>
    </xf>
    <xf numFmtId="0" fontId="15" fillId="0" borderId="14">
      <alignment horizontal="center"/>
    </xf>
    <xf numFmtId="0" fontId="13" fillId="0" borderId="0"/>
    <xf numFmtId="0" fontId="13" fillId="0" borderId="0"/>
    <xf numFmtId="0" fontId="6" fillId="0" borderId="0"/>
    <xf numFmtId="0" fontId="33" fillId="0" borderId="0"/>
    <xf numFmtId="0" fontId="13" fillId="0" borderId="0"/>
    <xf numFmtId="0" fontId="13" fillId="0" borderId="0"/>
    <xf numFmtId="0" fontId="13" fillId="0" borderId="0"/>
    <xf numFmtId="0" fontId="5" fillId="0" borderId="0"/>
    <xf numFmtId="9" fontId="124" fillId="0" borderId="0" applyFont="0" applyFill="0" applyBorder="0" applyAlignment="0" applyProtection="0"/>
    <xf numFmtId="0" fontId="4" fillId="0" borderId="0"/>
    <xf numFmtId="0" fontId="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38" fontId="16" fillId="33" borderId="0" applyNumberFormat="0" applyBorder="0" applyAlignment="0" applyProtection="0"/>
    <xf numFmtId="38" fontId="16" fillId="33" borderId="0" applyNumberFormat="0" applyBorder="0" applyAlignment="0" applyProtection="0"/>
    <xf numFmtId="38" fontId="16" fillId="33" borderId="0" applyNumberFormat="0" applyBorder="0" applyAlignment="0" applyProtection="0"/>
    <xf numFmtId="38" fontId="16" fillId="33" borderId="0" applyNumberFormat="0" applyBorder="0" applyAlignment="0" applyProtection="0"/>
    <xf numFmtId="10" fontId="16" fillId="34" borderId="8" applyNumberFormat="0" applyBorder="0" applyAlignment="0" applyProtection="0"/>
    <xf numFmtId="10" fontId="16" fillId="34" borderId="8" applyNumberFormat="0" applyBorder="0" applyAlignment="0" applyProtection="0"/>
    <xf numFmtId="10" fontId="16" fillId="34" borderId="8" applyNumberFormat="0" applyBorder="0" applyAlignment="0" applyProtection="0"/>
    <xf numFmtId="10" fontId="16" fillId="34" borderId="8"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0"/>
    <xf numFmtId="0" fontId="3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84" fillId="0" borderId="0"/>
    <xf numFmtId="0" fontId="84" fillId="0" borderId="0"/>
    <xf numFmtId="0" fontId="84" fillId="0" borderId="0"/>
    <xf numFmtId="0" fontId="84" fillId="0" borderId="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0"/>
  </cellStyleXfs>
  <cellXfs count="1039">
    <xf numFmtId="0" fontId="0" fillId="0" borderId="0" xfId="0"/>
    <xf numFmtId="0" fontId="15" fillId="0" borderId="0" xfId="121" applyAlignment="1">
      <alignment vertical="center"/>
    </xf>
    <xf numFmtId="0" fontId="15" fillId="0" borderId="0" xfId="121" applyAlignment="1">
      <alignment horizontal="center"/>
    </xf>
    <xf numFmtId="0" fontId="61" fillId="0" borderId="0" xfId="121" applyFont="1" applyAlignment="1">
      <alignment horizontal="center" vertical="center"/>
    </xf>
    <xf numFmtId="0" fontId="64" fillId="0" borderId="0" xfId="121" applyFont="1"/>
    <xf numFmtId="0" fontId="65" fillId="0" borderId="0" xfId="121" applyFont="1" applyAlignment="1">
      <alignment horizontal="center"/>
    </xf>
    <xf numFmtId="0" fontId="65" fillId="0" borderId="0" xfId="121" applyFont="1" applyAlignment="1">
      <alignment horizontal="center" vertical="top"/>
    </xf>
    <xf numFmtId="0" fontId="65" fillId="0" borderId="0" xfId="121" applyFont="1" applyAlignment="1">
      <alignment horizontal="center" vertical="center"/>
    </xf>
    <xf numFmtId="0" fontId="68" fillId="0" borderId="0" xfId="121" applyFont="1" applyAlignment="1">
      <alignment horizontal="left" vertical="center" wrapText="1"/>
    </xf>
    <xf numFmtId="0" fontId="70" fillId="0" borderId="0" xfId="121" applyFont="1" applyAlignment="1">
      <alignment horizontal="center" vertical="center"/>
    </xf>
    <xf numFmtId="0" fontId="87" fillId="0" borderId="0" xfId="0" applyFont="1" applyAlignment="1">
      <alignment vertical="top"/>
    </xf>
    <xf numFmtId="2" fontId="87" fillId="0" borderId="15" xfId="0" applyNumberFormat="1" applyFont="1" applyBorder="1" applyAlignment="1">
      <alignment horizontal="right" vertical="top"/>
    </xf>
    <xf numFmtId="2" fontId="87" fillId="0" borderId="15" xfId="0" applyNumberFormat="1" applyFont="1" applyBorder="1" applyAlignment="1">
      <alignment horizontal="center" vertical="top"/>
    </xf>
    <xf numFmtId="0" fontId="87" fillId="0" borderId="15" xfId="95" applyFont="1" applyBorder="1" applyAlignment="1">
      <alignment horizontal="center" vertical="top"/>
    </xf>
    <xf numFmtId="0" fontId="87" fillId="0" borderId="15" xfId="95" applyFont="1" applyBorder="1" applyAlignment="1">
      <alignment horizontal="justify" vertical="top" wrapText="1"/>
    </xf>
    <xf numFmtId="2" fontId="87" fillId="0" borderId="15" xfId="95" applyNumberFormat="1" applyFont="1" applyBorder="1" applyAlignment="1">
      <alignment horizontal="center" vertical="top"/>
    </xf>
    <xf numFmtId="2" fontId="87" fillId="0" borderId="15" xfId="95" applyNumberFormat="1" applyFont="1" applyBorder="1" applyAlignment="1">
      <alignment horizontal="right" vertical="top"/>
    </xf>
    <xf numFmtId="0" fontId="87" fillId="0" borderId="15" xfId="95" applyFont="1" applyBorder="1" applyAlignment="1">
      <alignment horizontal="justify" vertical="top"/>
    </xf>
    <xf numFmtId="2" fontId="87" fillId="0" borderId="15" xfId="95" applyNumberFormat="1" applyFont="1" applyBorder="1" applyAlignment="1">
      <alignment vertical="top"/>
    </xf>
    <xf numFmtId="2" fontId="87" fillId="0" borderId="0" xfId="0" applyNumberFormat="1" applyFont="1" applyAlignment="1">
      <alignment vertical="top"/>
    </xf>
    <xf numFmtId="0" fontId="87" fillId="0" borderId="0" xfId="0" applyFont="1" applyAlignment="1">
      <alignment horizontal="center" vertical="top"/>
    </xf>
    <xf numFmtId="0" fontId="87" fillId="0" borderId="0" xfId="0" applyFont="1" applyAlignment="1">
      <alignment horizontal="right" vertical="top"/>
    </xf>
    <xf numFmtId="0" fontId="97" fillId="0" borderId="0" xfId="95" applyFont="1" applyAlignment="1">
      <alignment horizontal="center" vertical="center"/>
    </xf>
    <xf numFmtId="9" fontId="89" fillId="0" borderId="0" xfId="95" applyNumberFormat="1" applyFont="1" applyAlignment="1">
      <alignment horizontal="center" vertical="top" wrapText="1"/>
    </xf>
    <xf numFmtId="0" fontId="87" fillId="0" borderId="0" xfId="95" applyFont="1"/>
    <xf numFmtId="0" fontId="98" fillId="0" borderId="0" xfId="95" applyFont="1" applyAlignment="1">
      <alignment horizontal="center" vertical="center" wrapText="1"/>
    </xf>
    <xf numFmtId="0" fontId="97" fillId="0" borderId="0" xfId="95" applyFont="1"/>
    <xf numFmtId="0" fontId="97" fillId="0" borderId="0" xfId="95" applyFont="1" applyAlignment="1">
      <alignment horizontal="right" vertical="top" shrinkToFit="1"/>
    </xf>
    <xf numFmtId="0" fontId="97" fillId="0" borderId="0" xfId="95" applyFont="1" applyAlignment="1">
      <alignment vertical="top"/>
    </xf>
    <xf numFmtId="0" fontId="97" fillId="0" borderId="0" xfId="95" applyFont="1" applyAlignment="1">
      <alignment horizontal="center" vertical="top"/>
    </xf>
    <xf numFmtId="2" fontId="97" fillId="0" borderId="0" xfId="95" applyNumberFormat="1" applyFont="1" applyAlignment="1">
      <alignment horizontal="center" vertical="top" shrinkToFit="1"/>
    </xf>
    <xf numFmtId="0" fontId="97" fillId="0" borderId="0" xfId="95" applyFont="1" applyAlignment="1">
      <alignment horizontal="center" vertical="top" shrinkToFit="1"/>
    </xf>
    <xf numFmtId="0" fontId="90" fillId="0" borderId="15" xfId="95" applyFont="1" applyBorder="1" applyAlignment="1">
      <alignment horizontal="center" vertical="top" wrapText="1"/>
    </xf>
    <xf numFmtId="0" fontId="100" fillId="0" borderId="15" xfId="95" applyFont="1" applyBorder="1" applyAlignment="1">
      <alignment horizontal="center" vertical="top" wrapText="1"/>
    </xf>
    <xf numFmtId="0" fontId="90" fillId="0" borderId="15" xfId="95" applyFont="1" applyBorder="1" applyAlignment="1">
      <alignment vertical="top" wrapText="1"/>
    </xf>
    <xf numFmtId="170" fontId="90" fillId="0" borderId="15" xfId="95" applyNumberFormat="1" applyFont="1" applyBorder="1" applyAlignment="1">
      <alignment horizontal="right" vertical="top" wrapText="1"/>
    </xf>
    <xf numFmtId="0" fontId="90" fillId="0" borderId="15" xfId="95" applyFont="1" applyBorder="1" applyAlignment="1">
      <alignment horizontal="justify" vertical="top" wrapText="1"/>
    </xf>
    <xf numFmtId="2" fontId="90" fillId="0" borderId="15" xfId="95" applyNumberFormat="1" applyFont="1" applyBorder="1" applyAlignment="1">
      <alignment horizontal="center" vertical="top" shrinkToFit="1"/>
    </xf>
    <xf numFmtId="170" fontId="90" fillId="0" borderId="15" xfId="95" applyNumberFormat="1" applyFont="1" applyBorder="1" applyAlignment="1">
      <alignment horizontal="center" vertical="top" wrapText="1"/>
    </xf>
    <xf numFmtId="0" fontId="90" fillId="0" borderId="15" xfId="95" applyFont="1" applyBorder="1"/>
    <xf numFmtId="0" fontId="90" fillId="0" borderId="15" xfId="95" applyFont="1" applyBorder="1" applyAlignment="1">
      <alignment horizontal="center"/>
    </xf>
    <xf numFmtId="2" fontId="90" fillId="0" borderId="15" xfId="95" applyNumberFormat="1" applyFont="1" applyBorder="1" applyAlignment="1">
      <alignment horizontal="center"/>
    </xf>
    <xf numFmtId="2" fontId="90" fillId="0" borderId="15" xfId="95" applyNumberFormat="1" applyFont="1" applyBorder="1" applyAlignment="1">
      <alignment horizontal="right" wrapText="1"/>
    </xf>
    <xf numFmtId="0" fontId="101" fillId="0" borderId="15" xfId="1275" applyFont="1" applyBorder="1" applyAlignment="1">
      <alignment horizontal="center" vertical="top"/>
    </xf>
    <xf numFmtId="0" fontId="101" fillId="0" borderId="15" xfId="95" applyFont="1" applyBorder="1" applyAlignment="1">
      <alignment horizontal="left" vertical="top" wrapText="1"/>
    </xf>
    <xf numFmtId="0" fontId="101" fillId="0" borderId="15" xfId="95" applyFont="1" applyBorder="1" applyAlignment="1">
      <alignment horizontal="center" vertical="top" wrapText="1"/>
    </xf>
    <xf numFmtId="0" fontId="101" fillId="0" borderId="15" xfId="95" applyFont="1" applyBorder="1" applyAlignment="1">
      <alignment vertical="top"/>
    </xf>
    <xf numFmtId="0" fontId="101" fillId="0" borderId="15" xfId="95" applyFont="1" applyBorder="1" applyAlignment="1">
      <alignment horizontal="left" vertical="top"/>
    </xf>
    <xf numFmtId="0" fontId="102" fillId="0" borderId="0" xfId="1275" applyFont="1" applyAlignment="1">
      <alignment horizontal="justify" vertical="top" wrapText="1"/>
    </xf>
    <xf numFmtId="0" fontId="101" fillId="0" borderId="15" xfId="95" applyFont="1" applyBorder="1" applyAlignment="1">
      <alignment horizontal="justify" vertical="top" wrapText="1"/>
    </xf>
    <xf numFmtId="170" fontId="90" fillId="0" borderId="15" xfId="96" applyNumberFormat="1" applyFont="1" applyBorder="1" applyAlignment="1">
      <alignment horizontal="center" vertical="top" wrapText="1"/>
    </xf>
    <xf numFmtId="170" fontId="90" fillId="0" borderId="15" xfId="96" applyNumberFormat="1" applyFont="1" applyBorder="1" applyAlignment="1">
      <alignment horizontal="right" vertical="top" wrapText="1"/>
    </xf>
    <xf numFmtId="0" fontId="93" fillId="0" borderId="0" xfId="95" applyFont="1" applyAlignment="1">
      <alignment vertical="top"/>
    </xf>
    <xf numFmtId="0" fontId="90" fillId="0" borderId="15" xfId="95" applyFont="1" applyBorder="1" applyAlignment="1">
      <alignment vertical="top"/>
    </xf>
    <xf numFmtId="2" fontId="90" fillId="0" borderId="15" xfId="95" applyNumberFormat="1" applyFont="1" applyBorder="1" applyAlignment="1">
      <alignment vertical="top"/>
    </xf>
    <xf numFmtId="2" fontId="100" fillId="0" borderId="15" xfId="95" applyNumberFormat="1" applyFont="1" applyBorder="1" applyAlignment="1">
      <alignment horizontal="right" vertical="top"/>
    </xf>
    <xf numFmtId="2" fontId="90" fillId="0" borderId="15" xfId="95" applyNumberFormat="1" applyFont="1" applyBorder="1" applyAlignment="1">
      <alignment horizontal="right" vertical="top"/>
    </xf>
    <xf numFmtId="0" fontId="90" fillId="0" borderId="15" xfId="95" applyFont="1" applyBorder="1" applyAlignment="1">
      <alignment horizontal="right" vertical="top"/>
    </xf>
    <xf numFmtId="0" fontId="87" fillId="0" borderId="0" xfId="95" applyFont="1" applyAlignment="1">
      <alignment vertical="center"/>
    </xf>
    <xf numFmtId="0" fontId="90" fillId="0" borderId="15" xfId="95" applyFont="1" applyBorder="1" applyAlignment="1">
      <alignment horizontal="justify" vertical="top"/>
    </xf>
    <xf numFmtId="0" fontId="90" fillId="0" borderId="15" xfId="95" applyFont="1" applyBorder="1" applyAlignment="1">
      <alignment horizontal="center" vertical="top"/>
    </xf>
    <xf numFmtId="168" fontId="90" fillId="0" borderId="15" xfId="95" applyNumberFormat="1" applyFont="1" applyBorder="1" applyAlignment="1">
      <alignment horizontal="center" vertical="top"/>
    </xf>
    <xf numFmtId="2" fontId="90" fillId="0" borderId="15" xfId="95" applyNumberFormat="1" applyFont="1" applyBorder="1" applyAlignment="1">
      <alignment horizontal="center" vertical="top"/>
    </xf>
    <xf numFmtId="2" fontId="90" fillId="0" borderId="15" xfId="95" applyNumberFormat="1" applyFont="1" applyBorder="1" applyAlignment="1">
      <alignment horizontal="center" vertical="top" wrapText="1"/>
    </xf>
    <xf numFmtId="0" fontId="90" fillId="0" borderId="15" xfId="95" applyFont="1" applyBorder="1" applyAlignment="1">
      <alignment horizontal="center" vertical="center" wrapText="1"/>
    </xf>
    <xf numFmtId="0" fontId="90" fillId="0" borderId="15" xfId="95" applyFont="1" applyBorder="1" applyAlignment="1">
      <alignment horizontal="right" vertical="center"/>
    </xf>
    <xf numFmtId="0" fontId="90" fillId="0" borderId="15" xfId="95" applyFont="1" applyBorder="1" applyAlignment="1">
      <alignment vertical="center" wrapText="1"/>
    </xf>
    <xf numFmtId="0" fontId="100" fillId="0" borderId="15" xfId="95" applyFont="1" applyBorder="1" applyAlignment="1">
      <alignment vertical="center"/>
    </xf>
    <xf numFmtId="2" fontId="90" fillId="0" borderId="15" xfId="95" applyNumberFormat="1" applyFont="1" applyBorder="1" applyAlignment="1">
      <alignment horizontal="center" vertical="center"/>
    </xf>
    <xf numFmtId="0" fontId="90" fillId="0" borderId="15" xfId="95" applyFont="1" applyBorder="1" applyAlignment="1">
      <alignment horizontal="center" vertical="center"/>
    </xf>
    <xf numFmtId="2" fontId="90" fillId="0" borderId="15" xfId="95" applyNumberFormat="1" applyFont="1" applyBorder="1" applyAlignment="1">
      <alignment horizontal="right" vertical="center"/>
    </xf>
    <xf numFmtId="0" fontId="90" fillId="0" borderId="15" xfId="95" applyFont="1" applyBorder="1" applyAlignment="1">
      <alignment horizontal="justify" vertical="center" wrapText="1"/>
    </xf>
    <xf numFmtId="0" fontId="90" fillId="0" borderId="15" xfId="95" applyFont="1" applyBorder="1" applyAlignment="1">
      <alignment vertical="center"/>
    </xf>
    <xf numFmtId="0" fontId="87" fillId="0" borderId="15" xfId="95" applyFont="1" applyBorder="1" applyAlignment="1">
      <alignment horizontal="center" vertical="top" wrapText="1"/>
    </xf>
    <xf numFmtId="168" fontId="87" fillId="0" borderId="15" xfId="95" applyNumberFormat="1" applyFont="1" applyBorder="1" applyAlignment="1">
      <alignment horizontal="center" vertical="top"/>
    </xf>
    <xf numFmtId="0" fontId="99" fillId="0" borderId="0" xfId="95" applyFont="1"/>
    <xf numFmtId="0" fontId="87" fillId="0" borderId="0" xfId="95" applyFont="1" applyAlignment="1">
      <alignment horizontal="justify" vertical="top" wrapText="1"/>
    </xf>
    <xf numFmtId="0" fontId="103" fillId="0" borderId="0" xfId="95" applyFont="1" applyAlignment="1">
      <alignment horizontal="center" vertical="top" wrapText="1"/>
    </xf>
    <xf numFmtId="170" fontId="87" fillId="0" borderId="0" xfId="95" applyNumberFormat="1" applyFont="1" applyAlignment="1">
      <alignment horizontal="center" vertical="top" wrapText="1"/>
    </xf>
    <xf numFmtId="170" fontId="87" fillId="0" borderId="0" xfId="95" applyNumberFormat="1" applyFont="1" applyAlignment="1">
      <alignment horizontal="right" vertical="top" wrapText="1"/>
    </xf>
    <xf numFmtId="2" fontId="87" fillId="0" borderId="15" xfId="0" applyNumberFormat="1" applyFont="1" applyBorder="1" applyAlignment="1">
      <alignment horizontal="center"/>
    </xf>
    <xf numFmtId="0" fontId="87" fillId="0" borderId="15" xfId="0" applyFont="1" applyBorder="1" applyAlignment="1">
      <alignment horizontal="center" vertical="top"/>
    </xf>
    <xf numFmtId="0" fontId="97" fillId="0" borderId="0" xfId="95" applyFont="1" applyAlignment="1">
      <alignment horizontal="justify" vertical="top" wrapText="1"/>
    </xf>
    <xf numFmtId="49" fontId="87" fillId="0" borderId="15" xfId="970" applyNumberFormat="1" applyFont="1" applyBorder="1" applyAlignment="1">
      <alignment horizontal="center" vertical="top" wrapText="1"/>
    </xf>
    <xf numFmtId="0" fontId="94" fillId="0" borderId="15" xfId="96" applyFont="1" applyBorder="1" applyAlignment="1">
      <alignment horizontal="justify" vertical="top" wrapText="1"/>
    </xf>
    <xf numFmtId="2" fontId="87" fillId="0" borderId="18" xfId="95" applyNumberFormat="1" applyFont="1" applyBorder="1" applyAlignment="1">
      <alignment horizontal="left" vertical="top"/>
    </xf>
    <xf numFmtId="2" fontId="87" fillId="0" borderId="18" xfId="95" applyNumberFormat="1" applyFont="1" applyBorder="1" applyAlignment="1">
      <alignment horizontal="center" vertical="top"/>
    </xf>
    <xf numFmtId="2" fontId="87" fillId="0" borderId="15" xfId="95" applyNumberFormat="1" applyFont="1" applyBorder="1" applyAlignment="1">
      <alignment horizontal="right" vertical="top" wrapText="1"/>
    </xf>
    <xf numFmtId="49" fontId="87" fillId="0" borderId="0" xfId="970" applyNumberFormat="1" applyFont="1" applyAlignment="1">
      <alignment horizontal="center" vertical="top" wrapText="1"/>
    </xf>
    <xf numFmtId="0" fontId="87" fillId="0" borderId="15" xfId="96" applyFont="1" applyBorder="1" applyAlignment="1">
      <alignment horizontal="justify" vertical="top" wrapText="1"/>
    </xf>
    <xf numFmtId="2" fontId="87" fillId="0" borderId="16" xfId="970" applyNumberFormat="1" applyFont="1" applyBorder="1" applyAlignment="1">
      <alignment horizontal="right" vertical="top" wrapText="1"/>
    </xf>
    <xf numFmtId="2" fontId="94" fillId="0" borderId="18" xfId="95" applyNumberFormat="1" applyFont="1" applyBorder="1" applyAlignment="1">
      <alignment horizontal="left" vertical="top"/>
    </xf>
    <xf numFmtId="0" fontId="87" fillId="0" borderId="18" xfId="95" applyFont="1" applyBorder="1" applyAlignment="1">
      <alignment horizontal="left" vertical="top"/>
    </xf>
    <xf numFmtId="2" fontId="87" fillId="0" borderId="18" xfId="95" applyNumberFormat="1" applyFont="1" applyBorder="1" applyAlignment="1">
      <alignment horizontal="center" vertical="top" wrapText="1"/>
    </xf>
    <xf numFmtId="2" fontId="87" fillId="0" borderId="15" xfId="970" applyNumberFormat="1" applyFont="1" applyBorder="1" applyAlignment="1">
      <alignment horizontal="center" vertical="top" wrapText="1"/>
    </xf>
    <xf numFmtId="49" fontId="87" fillId="0" borderId="15" xfId="970" applyNumberFormat="1" applyFont="1" applyBorder="1" applyAlignment="1">
      <alignment horizontal="justify" vertical="top" wrapText="1"/>
    </xf>
    <xf numFmtId="2" fontId="94" fillId="0" borderId="15" xfId="970" applyNumberFormat="1" applyFont="1" applyBorder="1" applyAlignment="1">
      <alignment horizontal="right" vertical="top" wrapText="1"/>
    </xf>
    <xf numFmtId="49" fontId="87" fillId="0" borderId="15" xfId="970" applyNumberFormat="1" applyFont="1" applyBorder="1" applyAlignment="1">
      <alignment horizontal="justify" vertical="center" wrapText="1"/>
    </xf>
    <xf numFmtId="2" fontId="94" fillId="0" borderId="15" xfId="970" applyNumberFormat="1" applyFont="1" applyBorder="1" applyAlignment="1">
      <alignment horizontal="right" vertical="center" wrapText="1"/>
    </xf>
    <xf numFmtId="2" fontId="87" fillId="0" borderId="16" xfId="970" applyNumberFormat="1" applyFont="1" applyBorder="1" applyAlignment="1">
      <alignment horizontal="right" vertical="center" wrapText="1"/>
    </xf>
    <xf numFmtId="2" fontId="87" fillId="0" borderId="18" xfId="970" applyNumberFormat="1" applyFont="1" applyBorder="1" applyAlignment="1">
      <alignment vertical="center" wrapText="1"/>
    </xf>
    <xf numFmtId="2" fontId="87" fillId="0" borderId="15" xfId="970" applyNumberFormat="1" applyFont="1" applyBorder="1" applyAlignment="1">
      <alignment horizontal="center" vertical="center" wrapText="1"/>
    </xf>
    <xf numFmtId="49" fontId="87" fillId="0" borderId="0" xfId="970" applyNumberFormat="1" applyFont="1" applyAlignment="1">
      <alignment horizontal="justify" vertical="center" wrapText="1"/>
    </xf>
    <xf numFmtId="2" fontId="87" fillId="0" borderId="0" xfId="970" applyNumberFormat="1" applyFont="1" applyAlignment="1">
      <alignment horizontal="right" vertical="center" wrapText="1"/>
    </xf>
    <xf numFmtId="49" fontId="87" fillId="0" borderId="0" xfId="970" applyNumberFormat="1" applyFont="1" applyAlignment="1">
      <alignment vertical="center" wrapText="1"/>
    </xf>
    <xf numFmtId="49" fontId="87" fillId="0" borderId="0" xfId="970" applyNumberFormat="1" applyFont="1" applyAlignment="1">
      <alignment horizontal="right" vertical="center" wrapText="1"/>
    </xf>
    <xf numFmtId="0" fontId="87" fillId="0" borderId="0" xfId="970" applyFont="1" applyAlignment="1">
      <alignment horizontal="center" vertical="center"/>
    </xf>
    <xf numFmtId="49" fontId="94" fillId="0" borderId="0" xfId="970" applyNumberFormat="1" applyFont="1" applyAlignment="1">
      <alignment horizontal="center" vertical="center" wrapText="1"/>
    </xf>
    <xf numFmtId="49" fontId="87" fillId="0" borderId="0" xfId="970" applyNumberFormat="1" applyFont="1" applyAlignment="1">
      <alignment horizontal="center" vertical="center" wrapText="1"/>
    </xf>
    <xf numFmtId="2" fontId="87" fillId="0" borderId="16" xfId="970" applyNumberFormat="1" applyFont="1" applyBorder="1" applyAlignment="1">
      <alignment horizontal="center" vertical="top" wrapText="1"/>
    </xf>
    <xf numFmtId="0" fontId="87" fillId="0" borderId="15" xfId="0" applyFont="1" applyBorder="1" applyAlignment="1">
      <alignment horizontal="right" vertical="top"/>
    </xf>
    <xf numFmtId="0" fontId="87" fillId="0" borderId="15" xfId="0" applyFont="1" applyBorder="1" applyAlignment="1">
      <alignment vertical="top"/>
    </xf>
    <xf numFmtId="0" fontId="87" fillId="0" borderId="16" xfId="0" applyFont="1" applyBorder="1" applyAlignment="1">
      <alignment vertical="top"/>
    </xf>
    <xf numFmtId="167" fontId="87" fillId="0" borderId="15" xfId="0" applyNumberFormat="1" applyFont="1" applyBorder="1" applyAlignment="1">
      <alignment horizontal="center" vertical="top"/>
    </xf>
    <xf numFmtId="0" fontId="87" fillId="0" borderId="0" xfId="95" applyFont="1" applyAlignment="1">
      <alignment vertical="top"/>
    </xf>
    <xf numFmtId="0" fontId="113" fillId="0" borderId="0" xfId="860" applyFont="1"/>
    <xf numFmtId="0" fontId="114" fillId="0" borderId="0" xfId="860" applyFont="1"/>
    <xf numFmtId="0" fontId="115" fillId="0" borderId="0" xfId="860" applyFont="1"/>
    <xf numFmtId="2" fontId="116" fillId="0" borderId="0" xfId="860" applyNumberFormat="1" applyFont="1"/>
    <xf numFmtId="0" fontId="116" fillId="0" borderId="0" xfId="860" applyFont="1"/>
    <xf numFmtId="0" fontId="118" fillId="0" borderId="0" xfId="0" applyFont="1" applyAlignment="1">
      <alignment horizontal="center"/>
    </xf>
    <xf numFmtId="0" fontId="118" fillId="0" borderId="0" xfId="0" applyFont="1" applyAlignment="1">
      <alignment vertical="top"/>
    </xf>
    <xf numFmtId="0" fontId="91" fillId="0" borderId="0" xfId="0" applyFont="1" applyAlignment="1">
      <alignment horizontal="center"/>
    </xf>
    <xf numFmtId="0" fontId="91" fillId="0" borderId="0" xfId="0" applyFont="1" applyAlignment="1">
      <alignment horizontal="right"/>
    </xf>
    <xf numFmtId="0" fontId="119" fillId="0" borderId="0" xfId="860" applyFont="1"/>
    <xf numFmtId="2" fontId="87" fillId="0" borderId="15" xfId="0" applyNumberFormat="1" applyFont="1" applyBorder="1" applyAlignment="1">
      <alignment vertical="top"/>
    </xf>
    <xf numFmtId="0" fontId="87" fillId="0" borderId="0" xfId="0" applyFont="1" applyAlignment="1">
      <alignment vertical="center"/>
    </xf>
    <xf numFmtId="0" fontId="87" fillId="0" borderId="15" xfId="0" applyFont="1" applyBorder="1" applyAlignment="1">
      <alignment vertical="top" wrapText="1"/>
    </xf>
    <xf numFmtId="0" fontId="87" fillId="0" borderId="15" xfId="0" applyFont="1" applyBorder="1" applyAlignment="1">
      <alignment horizontal="center" vertical="top" wrapText="1"/>
    </xf>
    <xf numFmtId="0" fontId="87" fillId="0" borderId="15" xfId="0" applyFont="1" applyBorder="1" applyAlignment="1">
      <alignment horizontal="justify" vertical="top"/>
    </xf>
    <xf numFmtId="168" fontId="87" fillId="0" borderId="15" xfId="0" applyNumberFormat="1" applyFont="1" applyBorder="1" applyAlignment="1">
      <alignment horizontal="center" vertical="top"/>
    </xf>
    <xf numFmtId="2" fontId="94" fillId="0" borderId="15" xfId="0" applyNumberFormat="1" applyFont="1" applyBorder="1" applyAlignment="1">
      <alignment vertical="top"/>
    </xf>
    <xf numFmtId="0" fontId="87" fillId="0" borderId="0" xfId="0" applyFont="1" applyAlignment="1">
      <alignment vertical="top" wrapText="1"/>
    </xf>
    <xf numFmtId="167" fontId="87" fillId="0" borderId="15" xfId="0" applyNumberFormat="1" applyFont="1" applyBorder="1" applyAlignment="1">
      <alignment horizontal="center" vertical="top" wrapText="1"/>
    </xf>
    <xf numFmtId="1" fontId="87" fillId="0" borderId="15" xfId="0" applyNumberFormat="1" applyFont="1" applyBorder="1" applyAlignment="1">
      <alignment horizontal="center" vertical="top" wrapText="1"/>
    </xf>
    <xf numFmtId="0" fontId="95" fillId="0" borderId="0" xfId="0" applyFont="1" applyAlignment="1">
      <alignment horizontal="center" vertical="top"/>
    </xf>
    <xf numFmtId="0" fontId="87" fillId="0" borderId="0" xfId="0" applyFont="1" applyAlignment="1">
      <alignment horizontal="center" vertical="top" wrapText="1"/>
    </xf>
    <xf numFmtId="0" fontId="87" fillId="0" borderId="0" xfId="178" applyFont="1" applyAlignment="1">
      <alignment vertical="center"/>
    </xf>
    <xf numFmtId="0" fontId="96" fillId="0" borderId="0" xfId="178" applyFont="1" applyAlignment="1">
      <alignment vertical="center" wrapText="1"/>
    </xf>
    <xf numFmtId="0" fontId="94" fillId="0" borderId="0" xfId="0" applyFont="1" applyAlignment="1">
      <alignment horizontal="right" vertical="center" wrapText="1"/>
    </xf>
    <xf numFmtId="0" fontId="87" fillId="0" borderId="0" xfId="178" applyFont="1" applyAlignment="1">
      <alignment horizontal="center" vertical="center"/>
    </xf>
    <xf numFmtId="0" fontId="96" fillId="0" borderId="0" xfId="178" applyFont="1" applyAlignment="1">
      <alignment horizontal="center" vertical="center"/>
    </xf>
    <xf numFmtId="0" fontId="96" fillId="0" borderId="0" xfId="178" applyFont="1" applyAlignment="1">
      <alignment vertical="center"/>
    </xf>
    <xf numFmtId="0" fontId="122" fillId="0" borderId="0" xfId="178" applyFont="1" applyAlignment="1">
      <alignment horizontal="center" vertical="center"/>
    </xf>
    <xf numFmtId="0" fontId="94" fillId="0" borderId="0" xfId="0" applyFont="1" applyAlignment="1">
      <alignment vertical="top"/>
    </xf>
    <xf numFmtId="0" fontId="87" fillId="0" borderId="0" xfId="0" applyFont="1"/>
    <xf numFmtId="0" fontId="87" fillId="0" borderId="15" xfId="0" applyFont="1" applyBorder="1" applyAlignment="1">
      <alignment horizontal="center" wrapText="1"/>
    </xf>
    <xf numFmtId="0" fontId="87" fillId="0" borderId="15" xfId="0" applyFont="1" applyBorder="1"/>
    <xf numFmtId="1" fontId="94" fillId="0" borderId="15" xfId="0" applyNumberFormat="1" applyFont="1" applyBorder="1" applyAlignment="1">
      <alignment horizontal="center" wrapText="1"/>
    </xf>
    <xf numFmtId="2" fontId="94" fillId="0" borderId="15" xfId="0" applyNumberFormat="1" applyFont="1" applyBorder="1" applyAlignment="1">
      <alignment horizontal="center" wrapText="1"/>
    </xf>
    <xf numFmtId="0" fontId="94" fillId="0" borderId="0" xfId="0" applyFont="1"/>
    <xf numFmtId="2" fontId="87" fillId="0" borderId="16" xfId="95" applyNumberFormat="1" applyFont="1" applyBorder="1" applyAlignment="1">
      <alignment vertical="top"/>
    </xf>
    <xf numFmtId="2" fontId="87" fillId="0" borderId="0" xfId="970" applyNumberFormat="1" applyFont="1" applyAlignment="1">
      <alignment horizontal="center" vertical="top" wrapText="1"/>
    </xf>
    <xf numFmtId="0" fontId="87" fillId="0" borderId="0" xfId="1386" applyFont="1" applyAlignment="1">
      <alignment vertical="center"/>
    </xf>
    <xf numFmtId="0" fontId="122" fillId="0" borderId="0" xfId="178" applyFont="1" applyAlignment="1">
      <alignment horizontal="centerContinuous" vertical="center"/>
    </xf>
    <xf numFmtId="0" fontId="87" fillId="0" borderId="0" xfId="178" applyFont="1" applyAlignment="1">
      <alignment horizontal="centerContinuous" vertical="center"/>
    </xf>
    <xf numFmtId="0" fontId="94" fillId="0" borderId="0" xfId="178" applyFont="1" applyAlignment="1">
      <alignment horizontal="right" vertical="center"/>
    </xf>
    <xf numFmtId="0" fontId="94" fillId="0" borderId="0" xfId="178" applyFont="1" applyAlignment="1">
      <alignment horizontal="left" vertical="center"/>
    </xf>
    <xf numFmtId="0" fontId="87" fillId="0" borderId="0" xfId="178" applyFont="1"/>
    <xf numFmtId="0" fontId="126" fillId="0" borderId="0" xfId="178" applyFont="1" applyAlignment="1">
      <alignment vertical="center"/>
    </xf>
    <xf numFmtId="2" fontId="126" fillId="0" borderId="0" xfId="178" applyNumberFormat="1" applyFont="1" applyAlignment="1">
      <alignment vertical="center"/>
    </xf>
    <xf numFmtId="0" fontId="126" fillId="0" borderId="0" xfId="178" applyFont="1" applyAlignment="1">
      <alignment horizontal="center" vertical="center" wrapText="1"/>
    </xf>
    <xf numFmtId="0" fontId="87" fillId="0" borderId="0" xfId="178" applyFont="1" applyAlignment="1">
      <alignment horizontal="center" vertical="top"/>
    </xf>
    <xf numFmtId="0" fontId="87" fillId="0" borderId="0" xfId="178" applyFont="1" applyAlignment="1">
      <alignment horizontal="center" vertical="top" wrapText="1"/>
    </xf>
    <xf numFmtId="0" fontId="87" fillId="0" borderId="0" xfId="178" applyFont="1" applyAlignment="1">
      <alignment vertical="top"/>
    </xf>
    <xf numFmtId="0" fontId="94" fillId="0" borderId="0" xfId="0" applyFont="1" applyAlignment="1">
      <alignment horizontal="center" vertical="top"/>
    </xf>
    <xf numFmtId="0" fontId="87" fillId="0" borderId="0" xfId="178" applyFont="1" applyAlignment="1">
      <alignment horizontal="center"/>
    </xf>
    <xf numFmtId="0" fontId="87" fillId="0" borderId="0" xfId="0" applyFont="1" applyAlignment="1">
      <alignment horizontal="right" vertical="center"/>
    </xf>
    <xf numFmtId="0" fontId="126" fillId="0" borderId="15" xfId="178" applyFont="1" applyBorder="1" applyAlignment="1">
      <alignment horizontal="center" vertical="center"/>
    </xf>
    <xf numFmtId="0" fontId="87" fillId="0" borderId="15" xfId="178" applyFont="1" applyBorder="1" applyAlignment="1">
      <alignment horizontal="center" vertical="top"/>
    </xf>
    <xf numFmtId="0" fontId="87" fillId="0" borderId="15" xfId="178" applyFont="1" applyBorder="1" applyAlignment="1">
      <alignment horizontal="left" vertical="top" shrinkToFit="1"/>
    </xf>
    <xf numFmtId="0" fontId="87" fillId="0" borderId="15" xfId="178" applyFont="1" applyBorder="1" applyAlignment="1">
      <alignment horizontal="center" vertical="top" shrinkToFit="1"/>
    </xf>
    <xf numFmtId="0" fontId="102" fillId="0" borderId="15" xfId="178" applyFont="1" applyBorder="1" applyAlignment="1">
      <alignment horizontal="center" vertical="top" shrinkToFit="1"/>
    </xf>
    <xf numFmtId="2" fontId="87" fillId="0" borderId="15" xfId="178" applyNumberFormat="1" applyFont="1" applyBorder="1" applyAlignment="1">
      <alignment horizontal="center" vertical="top" shrinkToFit="1"/>
    </xf>
    <xf numFmtId="0" fontId="87" fillId="0" borderId="15" xfId="178" applyFont="1" applyBorder="1" applyAlignment="1">
      <alignment horizontal="left" vertical="top" wrapText="1"/>
    </xf>
    <xf numFmtId="0" fontId="102" fillId="0" borderId="15" xfId="178" applyFont="1" applyBorder="1" applyAlignment="1">
      <alignment horizontal="center" vertical="top" wrapText="1"/>
    </xf>
    <xf numFmtId="2" fontId="102" fillId="0" borderId="15" xfId="178" applyNumberFormat="1" applyFont="1" applyBorder="1" applyAlignment="1">
      <alignment horizontal="center" vertical="top" wrapText="1"/>
    </xf>
    <xf numFmtId="0" fontId="102" fillId="0" borderId="15" xfId="178" applyFont="1" applyBorder="1" applyAlignment="1">
      <alignment horizontal="left" vertical="top" wrapText="1"/>
    </xf>
    <xf numFmtId="0" fontId="87" fillId="0" borderId="15" xfId="178" applyFont="1" applyBorder="1" applyAlignment="1">
      <alignment vertical="top"/>
    </xf>
    <xf numFmtId="0" fontId="97" fillId="0" borderId="15" xfId="0" applyFont="1" applyBorder="1" applyAlignment="1">
      <alignment horizontal="center" vertical="center" wrapText="1"/>
    </xf>
    <xf numFmtId="0" fontId="87" fillId="0" borderId="18" xfId="1385" applyFont="1" applyBorder="1" applyAlignment="1">
      <alignment horizontal="left" vertical="top"/>
    </xf>
    <xf numFmtId="167" fontId="87" fillId="0" borderId="16" xfId="970" applyNumberFormat="1" applyFont="1" applyBorder="1" applyAlignment="1">
      <alignment horizontal="right" vertical="top" wrapText="1"/>
    </xf>
    <xf numFmtId="167" fontId="87" fillId="0" borderId="16" xfId="970" applyNumberFormat="1" applyFont="1" applyBorder="1" applyAlignment="1">
      <alignment horizontal="center" vertical="top" wrapText="1"/>
    </xf>
    <xf numFmtId="1" fontId="87" fillId="0" borderId="16" xfId="0" applyNumberFormat="1" applyFont="1" applyBorder="1" applyAlignment="1">
      <alignment vertical="top"/>
    </xf>
    <xf numFmtId="2" fontId="87" fillId="0" borderId="16" xfId="95" applyNumberFormat="1" applyFont="1" applyBorder="1" applyAlignment="1">
      <alignment vertical="top" wrapText="1"/>
    </xf>
    <xf numFmtId="2" fontId="87" fillId="0" borderId="16" xfId="970" applyNumberFormat="1" applyFont="1" applyBorder="1" applyAlignment="1">
      <alignment vertical="top" wrapText="1"/>
    </xf>
    <xf numFmtId="2" fontId="87" fillId="0" borderId="0" xfId="970" applyNumberFormat="1" applyFont="1" applyAlignment="1">
      <alignment vertical="top" wrapText="1"/>
    </xf>
    <xf numFmtId="49" fontId="87" fillId="0" borderId="0" xfId="970" applyNumberFormat="1" applyFont="1" applyAlignment="1">
      <alignment vertical="top" wrapText="1"/>
    </xf>
    <xf numFmtId="2" fontId="87" fillId="0" borderId="15" xfId="970" applyNumberFormat="1" applyFont="1" applyBorder="1" applyAlignment="1">
      <alignment horizontal="right" vertical="top" wrapText="1"/>
    </xf>
    <xf numFmtId="2" fontId="87" fillId="0" borderId="18" xfId="970" applyNumberFormat="1" applyFont="1" applyBorder="1" applyAlignment="1">
      <alignment vertical="top" wrapText="1"/>
    </xf>
    <xf numFmtId="49" fontId="87" fillId="0" borderId="18" xfId="970" applyNumberFormat="1" applyFont="1" applyBorder="1" applyAlignment="1">
      <alignment vertical="top" wrapText="1"/>
    </xf>
    <xf numFmtId="49" fontId="87" fillId="0" borderId="18" xfId="970" applyNumberFormat="1" applyFont="1" applyBorder="1" applyAlignment="1">
      <alignment vertical="center" wrapText="1"/>
    </xf>
    <xf numFmtId="49" fontId="87" fillId="0" borderId="15" xfId="970" applyNumberFormat="1" applyFont="1" applyBorder="1" applyAlignment="1">
      <alignment horizontal="center" vertical="center" wrapText="1"/>
    </xf>
    <xf numFmtId="2" fontId="87" fillId="0" borderId="15" xfId="970" applyNumberFormat="1" applyFont="1" applyBorder="1" applyAlignment="1">
      <alignment horizontal="right" vertical="center" wrapText="1"/>
    </xf>
    <xf numFmtId="2" fontId="87" fillId="0" borderId="18" xfId="0" applyNumberFormat="1" applyFont="1" applyBorder="1" applyAlignment="1">
      <alignment horizontal="center" vertical="top"/>
    </xf>
    <xf numFmtId="2" fontId="87" fillId="0" borderId="18" xfId="95" applyNumberFormat="1" applyFont="1" applyBorder="1" applyAlignment="1">
      <alignment vertical="top"/>
    </xf>
    <xf numFmtId="0" fontId="87" fillId="0" borderId="18" xfId="95" applyFont="1" applyBorder="1" applyAlignment="1">
      <alignment vertical="top"/>
    </xf>
    <xf numFmtId="2" fontId="87" fillId="0" borderId="16" xfId="0" applyNumberFormat="1" applyFont="1" applyBorder="1" applyAlignment="1">
      <alignment vertical="top" wrapText="1"/>
    </xf>
    <xf numFmtId="2" fontId="94" fillId="0" borderId="15" xfId="0" applyNumberFormat="1" applyFont="1" applyBorder="1" applyAlignment="1">
      <alignment horizontal="center" vertical="center" wrapText="1"/>
    </xf>
    <xf numFmtId="2" fontId="87" fillId="0" borderId="16" xfId="885" applyNumberFormat="1" applyFont="1" applyBorder="1" applyAlignment="1">
      <alignment vertical="top" wrapText="1"/>
    </xf>
    <xf numFmtId="2" fontId="87" fillId="0" borderId="16" xfId="0" applyNumberFormat="1" applyFont="1" applyBorder="1" applyAlignment="1">
      <alignment vertical="top"/>
    </xf>
    <xf numFmtId="167" fontId="87" fillId="0" borderId="16" xfId="0" applyNumberFormat="1" applyFont="1" applyBorder="1" applyAlignment="1">
      <alignment vertical="top" wrapText="1"/>
    </xf>
    <xf numFmtId="2" fontId="94" fillId="0" borderId="15" xfId="828" applyNumberFormat="1" applyFont="1" applyBorder="1" applyAlignment="1">
      <alignment horizontal="center" vertical="center" wrapText="1"/>
    </xf>
    <xf numFmtId="2" fontId="94" fillId="0" borderId="18" xfId="0" applyNumberFormat="1" applyFont="1" applyBorder="1" applyAlignment="1">
      <alignment vertical="top" wrapText="1"/>
    </xf>
    <xf numFmtId="2" fontId="87" fillId="0" borderId="15" xfId="0" applyNumberFormat="1" applyFont="1" applyBorder="1" applyAlignment="1">
      <alignment horizontal="right" vertical="top" wrapText="1"/>
    </xf>
    <xf numFmtId="2" fontId="87" fillId="0" borderId="19" xfId="0" applyNumberFormat="1" applyFont="1" applyBorder="1" applyAlignment="1">
      <alignment vertical="top"/>
    </xf>
    <xf numFmtId="169" fontId="87" fillId="0" borderId="15" xfId="0" applyNumberFormat="1" applyFont="1" applyBorder="1" applyAlignment="1">
      <alignment horizontal="center" vertical="top" wrapText="1"/>
    </xf>
    <xf numFmtId="0" fontId="94" fillId="0" borderId="15" xfId="0" applyFont="1" applyBorder="1" applyAlignment="1">
      <alignment horizontal="center" vertical="top" wrapText="1"/>
    </xf>
    <xf numFmtId="2" fontId="87" fillId="0" borderId="15" xfId="0" applyNumberFormat="1" applyFont="1" applyBorder="1" applyAlignment="1">
      <alignment horizontal="center" vertical="top" wrapText="1"/>
    </xf>
    <xf numFmtId="2" fontId="94" fillId="0" borderId="15" xfId="0" applyNumberFormat="1" applyFont="1" applyBorder="1" applyAlignment="1">
      <alignment horizontal="right" vertical="top" wrapText="1"/>
    </xf>
    <xf numFmtId="2" fontId="94" fillId="0" borderId="15" xfId="0" applyNumberFormat="1" applyFont="1" applyBorder="1" applyAlignment="1">
      <alignment horizontal="center" vertical="top" wrapText="1"/>
    </xf>
    <xf numFmtId="9" fontId="87" fillId="0" borderId="15" xfId="1393" applyFont="1" applyFill="1" applyBorder="1" applyAlignment="1">
      <alignment horizontal="center" vertical="top" shrinkToFit="1"/>
    </xf>
    <xf numFmtId="2" fontId="94" fillId="0" borderId="15" xfId="178" applyNumberFormat="1" applyFont="1" applyBorder="1" applyAlignment="1">
      <alignment horizontal="right" vertical="top" shrinkToFit="1"/>
    </xf>
    <xf numFmtId="0" fontId="87" fillId="0" borderId="15" xfId="178" applyFont="1" applyBorder="1" applyAlignment="1">
      <alignment horizontal="right" vertical="top"/>
    </xf>
    <xf numFmtId="0" fontId="91" fillId="0" borderId="0" xfId="0" applyFont="1" applyAlignment="1">
      <alignment vertical="top"/>
    </xf>
    <xf numFmtId="0" fontId="87" fillId="0" borderId="15" xfId="0" applyFont="1" applyBorder="1" applyAlignment="1">
      <alignment horizontal="justify" vertical="justify" wrapText="1"/>
    </xf>
    <xf numFmtId="0" fontId="123" fillId="0" borderId="0" xfId="1386" applyFont="1" applyAlignment="1">
      <alignment horizontal="left" vertical="center"/>
    </xf>
    <xf numFmtId="0" fontId="89" fillId="0" borderId="0" xfId="0" applyFont="1" applyAlignment="1">
      <alignment horizontal="left"/>
    </xf>
    <xf numFmtId="0" fontId="87" fillId="0" borderId="15" xfId="0" applyFont="1" applyBorder="1" applyAlignment="1">
      <alignment horizontal="center"/>
    </xf>
    <xf numFmtId="1" fontId="87" fillId="0" borderId="15" xfId="0" applyNumberFormat="1" applyFont="1" applyBorder="1"/>
    <xf numFmtId="2" fontId="87" fillId="0" borderId="15" xfId="0" applyNumberFormat="1" applyFont="1" applyBorder="1"/>
    <xf numFmtId="1" fontId="87" fillId="0" borderId="15" xfId="0" applyNumberFormat="1" applyFont="1" applyBorder="1" applyAlignment="1">
      <alignment horizontal="center"/>
    </xf>
    <xf numFmtId="0" fontId="87" fillId="0" borderId="15" xfId="0" applyFont="1" applyBorder="1" applyAlignment="1">
      <alignment horizontal="right"/>
    </xf>
    <xf numFmtId="2" fontId="87" fillId="0" borderId="15" xfId="0" applyNumberFormat="1" applyFont="1" applyBorder="1" applyAlignment="1">
      <alignment horizontal="right"/>
    </xf>
    <xf numFmtId="0" fontId="97" fillId="0" borderId="15" xfId="0" applyFont="1" applyBorder="1"/>
    <xf numFmtId="167" fontId="87" fillId="0" borderId="15" xfId="0" applyNumberFormat="1" applyFont="1" applyBorder="1"/>
    <xf numFmtId="0" fontId="94" fillId="0" borderId="15" xfId="0" applyFont="1" applyBorder="1"/>
    <xf numFmtId="2" fontId="87" fillId="0" borderId="15" xfId="0" applyNumberFormat="1" applyFont="1" applyBorder="1" applyAlignment="1">
      <alignment horizontal="center" wrapText="1"/>
    </xf>
    <xf numFmtId="2" fontId="94" fillId="0" borderId="15" xfId="95" applyNumberFormat="1" applyFont="1" applyBorder="1" applyAlignment="1">
      <alignment horizontal="center"/>
    </xf>
    <xf numFmtId="0" fontId="94" fillId="0" borderId="15" xfId="0" applyFont="1" applyBorder="1" applyAlignment="1">
      <alignment horizontal="center" wrapText="1"/>
    </xf>
    <xf numFmtId="1" fontId="94" fillId="0" borderId="15" xfId="0" applyNumberFormat="1" applyFont="1" applyBorder="1" applyAlignment="1">
      <alignment horizontal="center"/>
    </xf>
    <xf numFmtId="0" fontId="94" fillId="0" borderId="15" xfId="0" applyFont="1" applyBorder="1" applyAlignment="1">
      <alignment horizontal="center"/>
    </xf>
    <xf numFmtId="0" fontId="100" fillId="0" borderId="15" xfId="0" applyFont="1" applyBorder="1" applyAlignment="1">
      <alignment horizontal="left" vertical="justify" wrapText="1"/>
    </xf>
    <xf numFmtId="0" fontId="101" fillId="0" borderId="15" xfId="1275" applyFont="1" applyBorder="1" applyAlignment="1">
      <alignment horizontal="justify" vertical="top" wrapText="1"/>
    </xf>
    <xf numFmtId="2" fontId="87" fillId="0" borderId="15" xfId="1385" applyNumberFormat="1" applyFont="1" applyBorder="1" applyAlignment="1">
      <alignment vertical="top"/>
    </xf>
    <xf numFmtId="2" fontId="87" fillId="0" borderId="16" xfId="1390" applyNumberFormat="1" applyFont="1" applyBorder="1" applyAlignment="1">
      <alignment horizontal="center" vertical="top" wrapText="1"/>
    </xf>
    <xf numFmtId="0" fontId="67" fillId="0" borderId="0" xfId="121" applyFont="1" applyAlignment="1">
      <alignment horizontal="left" vertical="center"/>
    </xf>
    <xf numFmtId="0" fontId="65" fillId="0" borderId="0" xfId="121" applyFont="1" applyAlignment="1">
      <alignment horizontal="left" vertical="center" wrapText="1"/>
    </xf>
    <xf numFmtId="0" fontId="15" fillId="0" borderId="0" xfId="121"/>
    <xf numFmtId="2" fontId="87" fillId="0" borderId="15" xfId="94" applyNumberFormat="1" applyFont="1" applyBorder="1" applyAlignment="1">
      <alignment horizontal="center" vertical="top"/>
    </xf>
    <xf numFmtId="2" fontId="87" fillId="0" borderId="16" xfId="94" applyNumberFormat="1" applyFont="1" applyBorder="1" applyAlignment="1">
      <alignment vertical="top"/>
    </xf>
    <xf numFmtId="49" fontId="94" fillId="0" borderId="0" xfId="970" applyNumberFormat="1" applyFont="1" applyAlignment="1">
      <alignment horizontal="left" vertical="center" wrapText="1"/>
    </xf>
    <xf numFmtId="0" fontId="87" fillId="0" borderId="0" xfId="970" applyFont="1" applyAlignment="1">
      <alignment horizontal="left"/>
    </xf>
    <xf numFmtId="2" fontId="87" fillId="0" borderId="0" xfId="970" applyNumberFormat="1" applyFont="1" applyAlignment="1">
      <alignment vertical="top"/>
    </xf>
    <xf numFmtId="0" fontId="87" fillId="0" borderId="0" xfId="970" applyFont="1"/>
    <xf numFmtId="0" fontId="87" fillId="0" borderId="0" xfId="970" applyFont="1" applyAlignment="1">
      <alignment horizontal="center"/>
    </xf>
    <xf numFmtId="2" fontId="87" fillId="0" borderId="0" xfId="970" applyNumberFormat="1" applyFont="1" applyAlignment="1">
      <alignment horizontal="right"/>
    </xf>
    <xf numFmtId="2" fontId="87" fillId="0" borderId="18" xfId="1385" applyNumberFormat="1" applyFont="1" applyBorder="1" applyAlignment="1">
      <alignment vertical="top"/>
    </xf>
    <xf numFmtId="0" fontId="87" fillId="0" borderId="18" xfId="1385" applyFont="1" applyBorder="1" applyAlignment="1">
      <alignment vertical="top"/>
    </xf>
    <xf numFmtId="2" fontId="87" fillId="0" borderId="18" xfId="94" applyNumberFormat="1" applyFont="1" applyBorder="1" applyAlignment="1">
      <alignment vertical="top"/>
    </xf>
    <xf numFmtId="2" fontId="87" fillId="0" borderId="16" xfId="1385" applyNumberFormat="1" applyFont="1" applyBorder="1" applyAlignment="1">
      <alignment vertical="top"/>
    </xf>
    <xf numFmtId="0" fontId="87" fillId="0" borderId="18" xfId="0" applyFont="1" applyBorder="1" applyAlignment="1">
      <alignment vertical="top"/>
    </xf>
    <xf numFmtId="2" fontId="87" fillId="0" borderId="18" xfId="0" applyNumberFormat="1" applyFont="1" applyBorder="1" applyAlignment="1">
      <alignment vertical="top"/>
    </xf>
    <xf numFmtId="1" fontId="87" fillId="0" borderId="18" xfId="0" applyNumberFormat="1" applyFont="1" applyBorder="1" applyAlignment="1">
      <alignment vertical="top"/>
    </xf>
    <xf numFmtId="2" fontId="87" fillId="0" borderId="15" xfId="0" applyNumberFormat="1" applyFont="1" applyBorder="1" applyAlignment="1">
      <alignment horizontal="right" vertical="center"/>
    </xf>
    <xf numFmtId="0" fontId="104" fillId="0" borderId="15" xfId="95" applyFont="1" applyBorder="1" applyAlignment="1">
      <alignment horizontal="justify" vertical="top" wrapText="1"/>
    </xf>
    <xf numFmtId="0" fontId="90" fillId="0" borderId="15" xfId="0" quotePrefix="1" applyFont="1" applyBorder="1" applyAlignment="1">
      <alignment horizontal="justify" vertical="top" wrapText="1"/>
    </xf>
    <xf numFmtId="2" fontId="104" fillId="0" borderId="15" xfId="95" applyNumberFormat="1" applyFont="1" applyBorder="1" applyAlignment="1">
      <alignment horizontal="justify" vertical="top" wrapText="1"/>
    </xf>
    <xf numFmtId="2" fontId="104" fillId="0" borderId="15" xfId="95" applyNumberFormat="1" applyFont="1" applyBorder="1" applyAlignment="1">
      <alignment horizontal="left" vertical="top" wrapText="1"/>
    </xf>
    <xf numFmtId="0" fontId="87" fillId="0" borderId="15" xfId="178" applyFont="1" applyBorder="1" applyAlignment="1">
      <alignment horizontal="left" vertical="top" wrapText="1" shrinkToFit="1"/>
    </xf>
    <xf numFmtId="2" fontId="87" fillId="0" borderId="15" xfId="1386" applyNumberFormat="1" applyFont="1" applyBorder="1" applyAlignment="1">
      <alignment horizontal="center" vertical="top" wrapText="1" shrinkToFit="1"/>
    </xf>
    <xf numFmtId="0" fontId="94" fillId="0" borderId="15" xfId="0" applyFont="1" applyBorder="1" applyAlignment="1">
      <alignment vertical="top" wrapText="1"/>
    </xf>
    <xf numFmtId="0" fontId="87" fillId="0" borderId="15" xfId="0" applyFont="1" applyBorder="1" applyAlignment="1">
      <alignment horizontal="left" vertical="top" wrapText="1"/>
    </xf>
    <xf numFmtId="0" fontId="104" fillId="0" borderId="15" xfId="95" applyFont="1" applyBorder="1" applyAlignment="1">
      <alignment horizontal="center" vertical="top" wrapText="1"/>
    </xf>
    <xf numFmtId="0" fontId="2" fillId="0" borderId="0" xfId="1416"/>
    <xf numFmtId="0" fontId="13" fillId="0" borderId="8" xfId="1416" applyFont="1" applyBorder="1" applyAlignment="1">
      <alignment horizontal="center"/>
    </xf>
    <xf numFmtId="0" fontId="131" fillId="0" borderId="8" xfId="1416" applyFont="1" applyBorder="1" applyAlignment="1">
      <alignment horizontal="center" vertical="top" wrapText="1"/>
    </xf>
    <xf numFmtId="0" fontId="130" fillId="0" borderId="8" xfId="1416" applyFont="1" applyBorder="1" applyAlignment="1">
      <alignment horizontal="center" vertical="top" wrapText="1"/>
    </xf>
    <xf numFmtId="0" fontId="130" fillId="0" borderId="8" xfId="1416" applyFont="1" applyBorder="1" applyAlignment="1">
      <alignment horizontal="justify" vertical="top" wrapText="1"/>
    </xf>
    <xf numFmtId="0" fontId="131" fillId="0" borderId="8" xfId="1416" applyFont="1" applyBorder="1" applyAlignment="1">
      <alignment horizontal="justify" vertical="top" wrapText="1"/>
    </xf>
    <xf numFmtId="0" fontId="132" fillId="0" borderId="8" xfId="1416" applyFont="1" applyBorder="1" applyAlignment="1">
      <alignment horizontal="center" vertical="center" wrapText="1"/>
    </xf>
    <xf numFmtId="0" fontId="132" fillId="0" borderId="8" xfId="1416" applyFont="1" applyBorder="1" applyAlignment="1">
      <alignment horizontal="center" vertical="top" wrapText="1"/>
    </xf>
    <xf numFmtId="0" fontId="133" fillId="0" borderId="8" xfId="1417" applyFont="1" applyBorder="1" applyAlignment="1">
      <alignment horizontal="center" vertical="center" wrapText="1"/>
    </xf>
    <xf numFmtId="2" fontId="13" fillId="0" borderId="8" xfId="94" applyNumberFormat="1" applyBorder="1" applyAlignment="1">
      <alignment horizontal="center" vertical="center"/>
    </xf>
    <xf numFmtId="2" fontId="131" fillId="0" borderId="8" xfId="1416" applyNumberFormat="1" applyFont="1" applyBorder="1" applyAlignment="1">
      <alignment horizontal="center"/>
    </xf>
    <xf numFmtId="0" fontId="133" fillId="45" borderId="8" xfId="1417" applyFont="1" applyFill="1" applyBorder="1" applyAlignment="1">
      <alignment horizontal="center" vertical="center" wrapText="1"/>
    </xf>
    <xf numFmtId="2" fontId="13" fillId="45" borderId="8" xfId="94" applyNumberFormat="1" applyFill="1" applyBorder="1" applyAlignment="1">
      <alignment horizontal="center" vertical="center"/>
    </xf>
    <xf numFmtId="2" fontId="131" fillId="45" borderId="8" xfId="1416" applyNumberFormat="1" applyFont="1" applyFill="1" applyBorder="1" applyAlignment="1">
      <alignment horizontal="center"/>
    </xf>
    <xf numFmtId="0" fontId="2" fillId="45" borderId="0" xfId="1416" applyFill="1"/>
    <xf numFmtId="0" fontId="134" fillId="0" borderId="8" xfId="1417" applyFont="1" applyBorder="1" applyAlignment="1">
      <alignment horizontal="center" vertical="center" wrapText="1"/>
    </xf>
    <xf numFmtId="0" fontId="133" fillId="46" borderId="8" xfId="1417" applyFont="1" applyFill="1" applyBorder="1" applyAlignment="1">
      <alignment horizontal="center" vertical="center" wrapText="1"/>
    </xf>
    <xf numFmtId="0" fontId="131" fillId="0" borderId="27" xfId="1416" applyFont="1" applyBorder="1" applyAlignment="1">
      <alignment vertical="top" wrapText="1"/>
    </xf>
    <xf numFmtId="0" fontId="131" fillId="0" borderId="4" xfId="1416" applyFont="1" applyBorder="1" applyAlignment="1">
      <alignment vertical="top" wrapText="1"/>
    </xf>
    <xf numFmtId="0" fontId="131" fillId="0" borderId="28" xfId="1416" applyFont="1" applyBorder="1" applyAlignment="1">
      <alignment vertical="top" wrapText="1"/>
    </xf>
    <xf numFmtId="0" fontId="67" fillId="0" borderId="0" xfId="121" applyFont="1" applyAlignment="1">
      <alignment horizontal="left" vertical="center" wrapText="1"/>
    </xf>
    <xf numFmtId="0" fontId="62" fillId="0" borderId="0" xfId="121" applyFont="1" applyAlignment="1">
      <alignment horizontal="center" vertical="center"/>
    </xf>
    <xf numFmtId="0" fontId="66" fillId="0" borderId="0" xfId="121" applyFont="1" applyAlignment="1">
      <alignment horizontal="left" vertical="top"/>
    </xf>
    <xf numFmtId="0" fontId="87" fillId="0" borderId="15" xfId="0" applyFont="1" applyBorder="1" applyAlignment="1">
      <alignment horizontal="center" vertical="center" wrapText="1"/>
    </xf>
    <xf numFmtId="0" fontId="109" fillId="0" borderId="0" xfId="0" applyFont="1" applyAlignment="1">
      <alignment horizontal="center"/>
    </xf>
    <xf numFmtId="0" fontId="87" fillId="45" borderId="15" xfId="0" applyFont="1" applyFill="1" applyBorder="1" applyAlignment="1">
      <alignment vertical="top" wrapText="1"/>
    </xf>
    <xf numFmtId="0" fontId="87" fillId="45" borderId="15" xfId="0" applyFont="1" applyFill="1" applyBorder="1" applyAlignment="1">
      <alignment horizontal="center" vertical="top" wrapText="1"/>
    </xf>
    <xf numFmtId="2" fontId="87" fillId="45" borderId="15" xfId="0" applyNumberFormat="1" applyFont="1" applyFill="1" applyBorder="1" applyAlignment="1">
      <alignment horizontal="center" vertical="top" wrapText="1"/>
    </xf>
    <xf numFmtId="49" fontId="94" fillId="0" borderId="15" xfId="970" applyNumberFormat="1" applyFont="1" applyBorder="1" applyAlignment="1">
      <alignment horizontal="center" vertical="center" wrapText="1"/>
    </xf>
    <xf numFmtId="2" fontId="87" fillId="0" borderId="16" xfId="1390" applyNumberFormat="1" applyFont="1" applyBorder="1" applyAlignment="1">
      <alignment vertical="top" wrapText="1"/>
    </xf>
    <xf numFmtId="2" fontId="87" fillId="0" borderId="15" xfId="1390" applyNumberFormat="1" applyFont="1" applyBorder="1" applyAlignment="1">
      <alignment horizontal="right" vertical="top" wrapText="1"/>
    </xf>
    <xf numFmtId="2" fontId="87" fillId="0" borderId="16" xfId="1390" applyNumberFormat="1" applyFont="1" applyBorder="1" applyAlignment="1">
      <alignment horizontal="right" vertical="top" wrapText="1"/>
    </xf>
    <xf numFmtId="2" fontId="87" fillId="0" borderId="18" xfId="1385" applyNumberFormat="1" applyFont="1" applyBorder="1" applyAlignment="1">
      <alignment horizontal="left" vertical="top"/>
    </xf>
    <xf numFmtId="2" fontId="94" fillId="0" borderId="18" xfId="1385" applyNumberFormat="1" applyFont="1" applyBorder="1" applyAlignment="1">
      <alignment horizontal="left" vertical="top"/>
    </xf>
    <xf numFmtId="167" fontId="87" fillId="0" borderId="16" xfId="1390" applyNumberFormat="1" applyFont="1" applyBorder="1" applyAlignment="1">
      <alignment horizontal="right" vertical="top" wrapText="1"/>
    </xf>
    <xf numFmtId="167" fontId="87" fillId="0" borderId="16" xfId="1390" applyNumberFormat="1" applyFont="1" applyBorder="1" applyAlignment="1">
      <alignment horizontal="center" vertical="top" wrapText="1"/>
    </xf>
    <xf numFmtId="0" fontId="33" fillId="0" borderId="0" xfId="1388" applyAlignment="1">
      <alignment horizontal="center" vertical="top"/>
    </xf>
    <xf numFmtId="0" fontId="33" fillId="0" borderId="0" xfId="1388"/>
    <xf numFmtId="0" fontId="138" fillId="0" borderId="0" xfId="1388" applyFont="1" applyAlignment="1">
      <alignment horizontal="center" vertical="top"/>
    </xf>
    <xf numFmtId="0" fontId="139" fillId="0" borderId="0" xfId="1388" applyFont="1" applyAlignment="1">
      <alignment horizontal="center" vertical="top"/>
    </xf>
    <xf numFmtId="0" fontId="138" fillId="0" borderId="0" xfId="1388" applyFont="1" applyAlignment="1">
      <alignment horizontal="left" vertical="top"/>
    </xf>
    <xf numFmtId="0" fontId="140" fillId="0" borderId="0" xfId="1388" applyFont="1" applyAlignment="1">
      <alignment horizontal="left" vertical="top"/>
    </xf>
    <xf numFmtId="0" fontId="141" fillId="0" borderId="0" xfId="1388" applyFont="1" applyAlignment="1">
      <alignment horizontal="center" vertical="top"/>
    </xf>
    <xf numFmtId="0" fontId="33" fillId="0" borderId="0" xfId="1388" applyAlignment="1">
      <alignment vertical="top"/>
    </xf>
    <xf numFmtId="0" fontId="139" fillId="0" borderId="0" xfId="1388" applyFont="1" applyAlignment="1">
      <alignment horizontal="left" vertical="top"/>
    </xf>
    <xf numFmtId="177" fontId="33" fillId="0" borderId="15" xfId="1388" applyNumberFormat="1" applyBorder="1" applyAlignment="1">
      <alignment horizontal="center" vertical="top"/>
    </xf>
    <xf numFmtId="0" fontId="33" fillId="0" borderId="15" xfId="1388" applyBorder="1" applyAlignment="1">
      <alignment horizontal="center" vertical="top"/>
    </xf>
    <xf numFmtId="0" fontId="33" fillId="0" borderId="15" xfId="1388" applyBorder="1" applyAlignment="1">
      <alignment horizontal="center" vertical="top" wrapText="1"/>
    </xf>
    <xf numFmtId="0" fontId="149" fillId="0" borderId="33" xfId="1419" applyFont="1" applyBorder="1" applyAlignment="1">
      <alignment horizontal="justify" vertical="top" wrapText="1"/>
    </xf>
    <xf numFmtId="2" fontId="151" fillId="0" borderId="10" xfId="1421" applyNumberFormat="1" applyFont="1" applyBorder="1" applyAlignment="1">
      <alignment vertical="top" wrapText="1"/>
    </xf>
    <xf numFmtId="0" fontId="151" fillId="0" borderId="33" xfId="1419" applyFont="1" applyBorder="1" applyAlignment="1">
      <alignment horizontal="justify" vertical="top" wrapText="1"/>
    </xf>
    <xf numFmtId="0" fontId="159" fillId="0" borderId="0" xfId="94" applyFont="1" applyAlignment="1">
      <alignment horizontal="center"/>
    </xf>
    <xf numFmtId="0" fontId="118" fillId="0" borderId="0" xfId="1419" applyFont="1" applyAlignment="1">
      <alignment vertical="top"/>
    </xf>
    <xf numFmtId="0" fontId="14" fillId="0" borderId="0" xfId="1420" applyFont="1" applyAlignment="1">
      <alignment horizontal="left"/>
    </xf>
    <xf numFmtId="49" fontId="16" fillId="0" borderId="10" xfId="1420" applyNumberFormat="1" applyFont="1" applyBorder="1" applyAlignment="1">
      <alignment horizontal="center" vertical="center" wrapText="1"/>
    </xf>
    <xf numFmtId="49" fontId="16" fillId="0" borderId="36" xfId="1420" applyNumberFormat="1" applyFont="1" applyBorder="1" applyAlignment="1">
      <alignment horizontal="center" vertical="center" wrapText="1"/>
    </xf>
    <xf numFmtId="49" fontId="16" fillId="0" borderId="14" xfId="1420" applyNumberFormat="1" applyFont="1" applyBorder="1" applyAlignment="1">
      <alignment horizontal="center" vertical="center" wrapText="1"/>
    </xf>
    <xf numFmtId="49" fontId="16" fillId="0" borderId="0" xfId="1420" applyNumberFormat="1" applyFont="1" applyAlignment="1">
      <alignment horizontal="center" vertical="center" wrapText="1"/>
    </xf>
    <xf numFmtId="0" fontId="13" fillId="0" borderId="0" xfId="1420"/>
    <xf numFmtId="49" fontId="16" fillId="0" borderId="0" xfId="1420" applyNumberFormat="1" applyFont="1" applyAlignment="1">
      <alignment horizontal="left" vertical="center" wrapText="1"/>
    </xf>
    <xf numFmtId="49" fontId="16" fillId="0" borderId="33" xfId="1420" applyNumberFormat="1" applyFont="1" applyBorder="1" applyAlignment="1">
      <alignment horizontal="center" vertical="center" wrapText="1"/>
    </xf>
    <xf numFmtId="49" fontId="16" fillId="0" borderId="0" xfId="1420" applyNumberFormat="1" applyFont="1" applyAlignment="1">
      <alignment vertical="center" wrapText="1"/>
    </xf>
    <xf numFmtId="0" fontId="13" fillId="0" borderId="14" xfId="1420" applyBorder="1"/>
    <xf numFmtId="49" fontId="160" fillId="0" borderId="14" xfId="1420" applyNumberFormat="1" applyFont="1" applyBorder="1" applyAlignment="1">
      <alignment horizontal="center" vertical="center" wrapText="1"/>
    </xf>
    <xf numFmtId="49" fontId="16" fillId="0" borderId="14" xfId="1420" applyNumberFormat="1" applyFont="1" applyBorder="1" applyAlignment="1">
      <alignment vertical="center" wrapText="1"/>
    </xf>
    <xf numFmtId="0" fontId="16" fillId="0" borderId="0" xfId="1420" applyFont="1"/>
    <xf numFmtId="0" fontId="13" fillId="0" borderId="0" xfId="1420" applyAlignment="1">
      <alignment horizontal="left"/>
    </xf>
    <xf numFmtId="0" fontId="13" fillId="0" borderId="0" xfId="1420" applyAlignment="1">
      <alignment horizontal="center"/>
    </xf>
    <xf numFmtId="0" fontId="13" fillId="0" borderId="4" xfId="1420" applyBorder="1"/>
    <xf numFmtId="49" fontId="16" fillId="0" borderId="4" xfId="1420" applyNumberFormat="1" applyFont="1" applyBorder="1" applyAlignment="1">
      <alignment horizontal="center" vertical="center" wrapText="1"/>
    </xf>
    <xf numFmtId="49" fontId="13" fillId="0" borderId="0" xfId="1420" applyNumberFormat="1" applyAlignment="1">
      <alignment horizontal="center" vertical="center" wrapText="1"/>
    </xf>
    <xf numFmtId="0" fontId="162" fillId="0" borderId="0" xfId="1423" applyFont="1" applyAlignment="1">
      <alignment horizontal="left" vertical="top"/>
    </xf>
    <xf numFmtId="0" fontId="162" fillId="0" borderId="0" xfId="1423" applyFont="1"/>
    <xf numFmtId="0" fontId="91" fillId="0" borderId="0" xfId="1423" applyFont="1"/>
    <xf numFmtId="0" fontId="164" fillId="0" borderId="0" xfId="1423" applyFont="1" applyAlignment="1">
      <alignment horizontal="center"/>
    </xf>
    <xf numFmtId="0" fontId="162" fillId="0" borderId="0" xfId="1424" applyFont="1" applyAlignment="1">
      <alignment vertical="top"/>
    </xf>
    <xf numFmtId="0" fontId="91" fillId="0" borderId="0" xfId="1424" applyFont="1"/>
    <xf numFmtId="0" fontId="93" fillId="0" borderId="0" xfId="94" applyFont="1" applyAlignment="1">
      <alignment horizontal="center" vertical="top"/>
    </xf>
    <xf numFmtId="0" fontId="91" fillId="0" borderId="0" xfId="1391" applyFont="1"/>
    <xf numFmtId="0" fontId="149" fillId="0" borderId="8" xfId="1419" applyFont="1" applyBorder="1" applyAlignment="1">
      <alignment horizontal="justify" vertical="top" wrapText="1"/>
    </xf>
    <xf numFmtId="2" fontId="149" fillId="0" borderId="28" xfId="1421" applyNumberFormat="1" applyFont="1" applyBorder="1" applyAlignment="1">
      <alignment vertical="top" wrapText="1"/>
    </xf>
    <xf numFmtId="0" fontId="87" fillId="0" borderId="29" xfId="95" applyFont="1" applyBorder="1" applyAlignment="1">
      <alignment horizontal="left" vertical="top"/>
    </xf>
    <xf numFmtId="2" fontId="87" fillId="0" borderId="10" xfId="95" applyNumberFormat="1" applyFont="1" applyBorder="1" applyAlignment="1">
      <alignment horizontal="left" vertical="top"/>
    </xf>
    <xf numFmtId="0" fontId="95" fillId="0" borderId="0" xfId="1420" applyFont="1"/>
    <xf numFmtId="0" fontId="95" fillId="0" borderId="0" xfId="1420" applyFont="1" applyAlignment="1">
      <alignment horizontal="center"/>
    </xf>
    <xf numFmtId="0" fontId="95" fillId="0" borderId="0" xfId="1420" applyFont="1" applyAlignment="1">
      <alignment horizontal="center" vertical="center"/>
    </xf>
    <xf numFmtId="0" fontId="95" fillId="0" borderId="0" xfId="1420" applyFont="1" applyAlignment="1">
      <alignment horizontal="justify" vertical="center"/>
    </xf>
    <xf numFmtId="2" fontId="146" fillId="0" borderId="0" xfId="1420" applyNumberFormat="1" applyFont="1" applyAlignment="1">
      <alignment horizontal="right" vertical="center"/>
    </xf>
    <xf numFmtId="0" fontId="146" fillId="0" borderId="0" xfId="1420" applyFont="1" applyAlignment="1">
      <alignment horizontal="justify" vertical="center"/>
    </xf>
    <xf numFmtId="2" fontId="146" fillId="0" borderId="0" xfId="1420" applyNumberFormat="1" applyFont="1" applyAlignment="1">
      <alignment horizontal="justify" vertical="center"/>
    </xf>
    <xf numFmtId="0" fontId="146" fillId="0" borderId="0" xfId="1420" applyFont="1" applyAlignment="1">
      <alignment horizontal="center" vertical="center"/>
    </xf>
    <xf numFmtId="0" fontId="148" fillId="0" borderId="0" xfId="1420" applyFont="1"/>
    <xf numFmtId="2" fontId="147" fillId="0" borderId="8" xfId="1420" applyNumberFormat="1" applyFont="1" applyBorder="1" applyAlignment="1">
      <alignment horizontal="center" vertical="center" wrapText="1"/>
    </xf>
    <xf numFmtId="49" fontId="147" fillId="0" borderId="8" xfId="1420" applyNumberFormat="1" applyFont="1" applyBorder="1" applyAlignment="1">
      <alignment horizontal="center" vertical="center" wrapText="1"/>
    </xf>
    <xf numFmtId="0" fontId="148" fillId="0" borderId="28" xfId="1420" applyFont="1" applyBorder="1" applyAlignment="1">
      <alignment horizontal="center" vertical="top"/>
    </xf>
    <xf numFmtId="2" fontId="148" fillId="0" borderId="27" xfId="1420" applyNumberFormat="1" applyFont="1" applyBorder="1" applyAlignment="1">
      <alignment horizontal="right" vertical="top" wrapText="1"/>
    </xf>
    <xf numFmtId="2" fontId="148" fillId="0" borderId="8" xfId="1420" applyNumberFormat="1" applyFont="1" applyBorder="1" applyAlignment="1">
      <alignment horizontal="center" vertical="top" wrapText="1"/>
    </xf>
    <xf numFmtId="49" fontId="148" fillId="0" borderId="8" xfId="1420" applyNumberFormat="1" applyFont="1" applyBorder="1" applyAlignment="1">
      <alignment horizontal="center" vertical="top" wrapText="1"/>
    </xf>
    <xf numFmtId="2" fontId="148" fillId="0" borderId="8" xfId="1420" applyNumberFormat="1" applyFont="1" applyBorder="1" applyAlignment="1">
      <alignment horizontal="right" vertical="top" wrapText="1"/>
    </xf>
    <xf numFmtId="49" fontId="147" fillId="0" borderId="27" xfId="1420" applyNumberFormat="1" applyFont="1" applyBorder="1" applyAlignment="1">
      <alignment horizontal="center" vertical="center" wrapText="1"/>
    </xf>
    <xf numFmtId="2" fontId="148" fillId="0" borderId="0" xfId="1420" applyNumberFormat="1" applyFont="1" applyAlignment="1">
      <alignment horizontal="right" vertical="top" wrapText="1"/>
    </xf>
    <xf numFmtId="2" fontId="148" fillId="0" borderId="0" xfId="1420" applyNumberFormat="1" applyFont="1" applyAlignment="1">
      <alignment vertical="top"/>
    </xf>
    <xf numFmtId="0" fontId="148" fillId="0" borderId="29" xfId="1420" applyFont="1" applyBorder="1" applyAlignment="1">
      <alignment horizontal="center" vertical="top"/>
    </xf>
    <xf numFmtId="2" fontId="148" fillId="0" borderId="30" xfId="1420" applyNumberFormat="1" applyFont="1" applyBorder="1" applyAlignment="1">
      <alignment horizontal="right" vertical="top" wrapText="1"/>
    </xf>
    <xf numFmtId="2" fontId="148" fillId="0" borderId="31" xfId="1420" applyNumberFormat="1" applyFont="1" applyBorder="1" applyAlignment="1">
      <alignment horizontal="center" vertical="top" wrapText="1"/>
    </xf>
    <xf numFmtId="0" fontId="87" fillId="0" borderId="31" xfId="0" applyFont="1" applyBorder="1" applyAlignment="1">
      <alignment horizontal="justify" vertical="top" wrapText="1"/>
    </xf>
    <xf numFmtId="49" fontId="148" fillId="0" borderId="31" xfId="1420" applyNumberFormat="1" applyFont="1" applyBorder="1" applyAlignment="1">
      <alignment horizontal="center" vertical="top" wrapText="1"/>
    </xf>
    <xf numFmtId="2" fontId="148" fillId="0" borderId="31" xfId="1420" applyNumberFormat="1" applyFont="1" applyBorder="1" applyAlignment="1">
      <alignment horizontal="right" vertical="top" wrapText="1"/>
    </xf>
    <xf numFmtId="49" fontId="147" fillId="0" borderId="30" xfId="1420" applyNumberFormat="1" applyFont="1" applyBorder="1" applyAlignment="1">
      <alignment horizontal="center" vertical="center" wrapText="1"/>
    </xf>
    <xf numFmtId="0" fontId="148" fillId="0" borderId="10" xfId="1420" applyFont="1" applyBorder="1" applyAlignment="1">
      <alignment horizontal="center" vertical="top"/>
    </xf>
    <xf numFmtId="2" fontId="148" fillId="0" borderId="32" xfId="1420" applyNumberFormat="1" applyFont="1" applyBorder="1" applyAlignment="1">
      <alignment horizontal="right" vertical="top" wrapText="1"/>
    </xf>
    <xf numFmtId="2" fontId="148" fillId="0" borderId="33" xfId="1420" applyNumberFormat="1" applyFont="1" applyBorder="1" applyAlignment="1">
      <alignment horizontal="center" vertical="top" wrapText="1"/>
    </xf>
    <xf numFmtId="0" fontId="87" fillId="0" borderId="33" xfId="0" applyFont="1" applyBorder="1" applyAlignment="1">
      <alignment horizontal="justify" vertical="top" wrapText="1"/>
    </xf>
    <xf numFmtId="49" fontId="148" fillId="0" borderId="33" xfId="1420" applyNumberFormat="1" applyFont="1" applyBorder="1" applyAlignment="1">
      <alignment horizontal="center" vertical="top" wrapText="1"/>
    </xf>
    <xf numFmtId="2" fontId="148" fillId="0" borderId="33" xfId="1420" applyNumberFormat="1" applyFont="1" applyBorder="1" applyAlignment="1">
      <alignment horizontal="right" vertical="top" wrapText="1"/>
    </xf>
    <xf numFmtId="49" fontId="147" fillId="0" borderId="32" xfId="1420" applyNumberFormat="1" applyFont="1" applyBorder="1" applyAlignment="1">
      <alignment horizontal="center" vertical="center" wrapText="1"/>
    </xf>
    <xf numFmtId="0" fontId="97" fillId="0" borderId="33" xfId="0" applyFont="1" applyBorder="1" applyAlignment="1">
      <alignment horizontal="justify" vertical="top" wrapText="1"/>
    </xf>
    <xf numFmtId="0" fontId="150" fillId="0" borderId="10" xfId="1420" applyFont="1" applyBorder="1" applyAlignment="1">
      <alignment horizontal="center" vertical="top"/>
    </xf>
    <xf numFmtId="2" fontId="150" fillId="0" borderId="33" xfId="1420" applyNumberFormat="1" applyFont="1" applyBorder="1" applyAlignment="1">
      <alignment horizontal="center" vertical="top" wrapText="1"/>
    </xf>
    <xf numFmtId="49" fontId="150" fillId="0" borderId="33" xfId="1420" applyNumberFormat="1" applyFont="1" applyBorder="1" applyAlignment="1">
      <alignment horizontal="center" vertical="top" wrapText="1"/>
    </xf>
    <xf numFmtId="2" fontId="150" fillId="0" borderId="33" xfId="1420" applyNumberFormat="1" applyFont="1" applyBorder="1" applyAlignment="1">
      <alignment horizontal="right" vertical="top" wrapText="1"/>
    </xf>
    <xf numFmtId="49" fontId="152" fillId="0" borderId="32" xfId="1420" applyNumberFormat="1" applyFont="1" applyBorder="1" applyAlignment="1">
      <alignment horizontal="center" vertical="center" wrapText="1"/>
    </xf>
    <xf numFmtId="2" fontId="150" fillId="0" borderId="0" xfId="1420" applyNumberFormat="1" applyFont="1" applyAlignment="1">
      <alignment horizontal="right" vertical="top" wrapText="1"/>
    </xf>
    <xf numFmtId="2" fontId="150" fillId="0" borderId="32" xfId="1420" applyNumberFormat="1" applyFont="1" applyBorder="1" applyAlignment="1">
      <alignment horizontal="right" vertical="top" wrapText="1"/>
    </xf>
    <xf numFmtId="0" fontId="148" fillId="0" borderId="34" xfId="1419" applyFont="1" applyBorder="1" applyAlignment="1">
      <alignment horizontal="center" vertical="top"/>
    </xf>
    <xf numFmtId="2" fontId="148" fillId="0" borderId="35" xfId="1419" applyNumberFormat="1" applyFont="1" applyBorder="1" applyAlignment="1">
      <alignment horizontal="right" vertical="top" wrapText="1"/>
    </xf>
    <xf numFmtId="49" fontId="148" fillId="0" borderId="34" xfId="1419" applyNumberFormat="1" applyFont="1" applyBorder="1" applyAlignment="1">
      <alignment horizontal="left" vertical="top" wrapText="1"/>
    </xf>
    <xf numFmtId="2" fontId="148" fillId="0" borderId="36" xfId="1419" applyNumberFormat="1" applyFont="1" applyBorder="1" applyAlignment="1">
      <alignment horizontal="center" vertical="top" wrapText="1"/>
    </xf>
    <xf numFmtId="49" fontId="147" fillId="0" borderId="36" xfId="1419" applyNumberFormat="1" applyFont="1" applyBorder="1" applyAlignment="1">
      <alignment horizontal="right" vertical="top" wrapText="1"/>
    </xf>
    <xf numFmtId="2" fontId="153" fillId="0" borderId="36" xfId="1419" applyNumberFormat="1" applyFont="1" applyBorder="1" applyAlignment="1">
      <alignment horizontal="center" vertical="top" wrapText="1"/>
    </xf>
    <xf numFmtId="49" fontId="148" fillId="0" borderId="36" xfId="1419" applyNumberFormat="1" applyFont="1" applyBorder="1" applyAlignment="1">
      <alignment horizontal="center" vertical="top" wrapText="1"/>
    </xf>
    <xf numFmtId="2" fontId="148" fillId="0" borderId="36" xfId="1419" applyNumberFormat="1" applyFont="1" applyBorder="1" applyAlignment="1">
      <alignment horizontal="right" vertical="top" wrapText="1"/>
    </xf>
    <xf numFmtId="49" fontId="148" fillId="0" borderId="36" xfId="1419" applyNumberFormat="1" applyFont="1" applyBorder="1" applyAlignment="1">
      <alignment horizontal="justify" vertical="top" wrapText="1"/>
    </xf>
    <xf numFmtId="49" fontId="148" fillId="0" borderId="35" xfId="1419" applyNumberFormat="1" applyFont="1" applyBorder="1" applyAlignment="1">
      <alignment horizontal="justify" vertical="top" wrapText="1"/>
    </xf>
    <xf numFmtId="0" fontId="148" fillId="0" borderId="0" xfId="1419" applyFont="1" applyAlignment="1">
      <alignment vertical="top"/>
    </xf>
    <xf numFmtId="0" fontId="130" fillId="0" borderId="0" xfId="1421" applyFont="1" applyAlignment="1">
      <alignment vertical="top"/>
    </xf>
    <xf numFmtId="2" fontId="156" fillId="0" borderId="33" xfId="1421" applyNumberFormat="1" applyFont="1" applyBorder="1" applyAlignment="1">
      <alignment horizontal="right" vertical="top" wrapText="1"/>
    </xf>
    <xf numFmtId="49" fontId="148" fillId="0" borderId="0" xfId="1420" applyNumberFormat="1" applyFont="1" applyAlignment="1">
      <alignment horizontal="center" wrapText="1"/>
    </xf>
    <xf numFmtId="2" fontId="148" fillId="0" borderId="0" xfId="1420" applyNumberFormat="1" applyFont="1" applyAlignment="1">
      <alignment horizontal="right" vertical="center" wrapText="1"/>
    </xf>
    <xf numFmtId="49" fontId="148" fillId="0" borderId="0" xfId="1420" applyNumberFormat="1" applyFont="1" applyAlignment="1">
      <alignment horizontal="center" vertical="center" wrapText="1"/>
    </xf>
    <xf numFmtId="2" fontId="95" fillId="0" borderId="0" xfId="1420" applyNumberFormat="1" applyFont="1" applyAlignment="1">
      <alignment horizontal="right" vertical="center" wrapText="1"/>
    </xf>
    <xf numFmtId="49" fontId="95" fillId="0" borderId="0" xfId="1420" applyNumberFormat="1" applyFont="1" applyAlignment="1">
      <alignment horizontal="center" vertical="center" wrapText="1"/>
    </xf>
    <xf numFmtId="2" fontId="146" fillId="0" borderId="0" xfId="1420" applyNumberFormat="1" applyFont="1" applyAlignment="1">
      <alignment horizontal="center" vertical="center" wrapText="1"/>
    </xf>
    <xf numFmtId="0" fontId="95" fillId="0" borderId="0" xfId="1420" applyFont="1" applyAlignment="1">
      <alignment horizontal="center" vertical="center" wrapText="1"/>
    </xf>
    <xf numFmtId="2" fontId="150" fillId="0" borderId="0" xfId="1420" applyNumberFormat="1" applyFont="1" applyAlignment="1">
      <alignment horizontal="right" vertical="center" wrapText="1"/>
    </xf>
    <xf numFmtId="49" fontId="150" fillId="0" borderId="0" xfId="1420" applyNumberFormat="1" applyFont="1" applyAlignment="1">
      <alignment horizontal="center" vertical="center" wrapText="1"/>
    </xf>
    <xf numFmtId="2" fontId="150" fillId="0" borderId="0" xfId="1420" applyNumberFormat="1" applyFont="1" applyAlignment="1">
      <alignment horizontal="center" vertical="center" wrapText="1"/>
    </xf>
    <xf numFmtId="2" fontId="95" fillId="0" borderId="0" xfId="1420" applyNumberFormat="1" applyFont="1" applyAlignment="1">
      <alignment horizontal="center" vertical="center" wrapText="1"/>
    </xf>
    <xf numFmtId="2" fontId="95" fillId="0" borderId="0" xfId="1420" applyNumberFormat="1" applyFont="1" applyAlignment="1">
      <alignment horizontal="right"/>
    </xf>
    <xf numFmtId="2" fontId="95" fillId="0" borderId="0" xfId="1420" applyNumberFormat="1" applyFont="1"/>
    <xf numFmtId="0" fontId="148" fillId="0" borderId="29" xfId="1421" applyFont="1" applyBorder="1" applyAlignment="1">
      <alignment horizontal="center" vertical="top"/>
    </xf>
    <xf numFmtId="2" fontId="148" fillId="0" borderId="30" xfId="1421" applyNumberFormat="1" applyFont="1" applyBorder="1" applyAlignment="1">
      <alignment horizontal="right" vertical="top" wrapText="1"/>
    </xf>
    <xf numFmtId="49" fontId="148" fillId="0" borderId="29" xfId="1421" applyNumberFormat="1" applyFont="1" applyBorder="1" applyAlignment="1">
      <alignment horizontal="left" vertical="top" wrapText="1"/>
    </xf>
    <xf numFmtId="2" fontId="148" fillId="0" borderId="31" xfId="1421" applyNumberFormat="1" applyFont="1" applyBorder="1" applyAlignment="1">
      <alignment horizontal="center" vertical="top" wrapText="1"/>
    </xf>
    <xf numFmtId="2" fontId="155" fillId="0" borderId="31" xfId="1421" applyNumberFormat="1" applyFont="1" applyBorder="1" applyAlignment="1">
      <alignment horizontal="center" vertical="center" wrapText="1"/>
    </xf>
    <xf numFmtId="2" fontId="156" fillId="0" borderId="31" xfId="1421" applyNumberFormat="1" applyFont="1" applyBorder="1" applyAlignment="1">
      <alignment horizontal="right" vertical="top" wrapText="1"/>
    </xf>
    <xf numFmtId="49" fontId="150" fillId="0" borderId="30" xfId="1421" applyNumberFormat="1" applyFont="1" applyBorder="1" applyAlignment="1">
      <alignment horizontal="center" vertical="top" wrapText="1"/>
    </xf>
    <xf numFmtId="0" fontId="148" fillId="0" borderId="10" xfId="1421" applyFont="1" applyBorder="1" applyAlignment="1">
      <alignment horizontal="center" vertical="top"/>
    </xf>
    <xf numFmtId="2" fontId="148" fillId="0" borderId="32" xfId="1421" applyNumberFormat="1" applyFont="1" applyBorder="1" applyAlignment="1">
      <alignment horizontal="right" vertical="top" wrapText="1"/>
    </xf>
    <xf numFmtId="49" fontId="148" fillId="0" borderId="10" xfId="1421" applyNumberFormat="1" applyFont="1" applyBorder="1" applyAlignment="1">
      <alignment horizontal="left" vertical="top" wrapText="1"/>
    </xf>
    <xf numFmtId="2" fontId="148" fillId="0" borderId="33" xfId="1421" applyNumberFormat="1" applyFont="1" applyBorder="1" applyAlignment="1">
      <alignment horizontal="center" vertical="top" wrapText="1"/>
    </xf>
    <xf numFmtId="2" fontId="155" fillId="0" borderId="33" xfId="1421" applyNumberFormat="1" applyFont="1" applyBorder="1" applyAlignment="1">
      <alignment horizontal="center" vertical="center" wrapText="1"/>
    </xf>
    <xf numFmtId="49" fontId="156" fillId="0" borderId="33" xfId="1421" applyNumberFormat="1" applyFont="1" applyBorder="1" applyAlignment="1">
      <alignment horizontal="center" vertical="center" wrapText="1"/>
    </xf>
    <xf numFmtId="49" fontId="150" fillId="0" borderId="32" xfId="1421" applyNumberFormat="1" applyFont="1" applyBorder="1" applyAlignment="1">
      <alignment horizontal="center" vertical="top" wrapText="1"/>
    </xf>
    <xf numFmtId="0" fontId="148" fillId="0" borderId="34" xfId="1421" applyFont="1" applyBorder="1" applyAlignment="1">
      <alignment horizontal="center" vertical="top"/>
    </xf>
    <xf numFmtId="2" fontId="148" fillId="0" borderId="35" xfId="1421" applyNumberFormat="1" applyFont="1" applyBorder="1" applyAlignment="1">
      <alignment horizontal="right" vertical="top" wrapText="1"/>
    </xf>
    <xf numFmtId="49" fontId="148" fillId="0" borderId="34" xfId="1421" applyNumberFormat="1" applyFont="1" applyBorder="1" applyAlignment="1">
      <alignment horizontal="left" vertical="top" wrapText="1"/>
    </xf>
    <xf numFmtId="2" fontId="148" fillId="0" borderId="36" xfId="1421" applyNumberFormat="1" applyFont="1" applyBorder="1" applyAlignment="1">
      <alignment horizontal="center" vertical="top" wrapText="1"/>
    </xf>
    <xf numFmtId="2" fontId="155" fillId="0" borderId="36" xfId="1421" applyNumberFormat="1" applyFont="1" applyBorder="1" applyAlignment="1">
      <alignment horizontal="center" vertical="center" wrapText="1"/>
    </xf>
    <xf numFmtId="2" fontId="156" fillId="0" borderId="36" xfId="1421" applyNumberFormat="1" applyFont="1" applyBorder="1" applyAlignment="1">
      <alignment horizontal="right" vertical="center" wrapText="1"/>
    </xf>
    <xf numFmtId="2" fontId="167" fillId="0" borderId="0" xfId="1506" applyNumberFormat="1" applyFont="1" applyAlignment="1">
      <alignment vertical="top"/>
    </xf>
    <xf numFmtId="0" fontId="167" fillId="0" borderId="0" xfId="1506" applyFont="1" applyAlignment="1">
      <alignment vertical="top"/>
    </xf>
    <xf numFmtId="0" fontId="167" fillId="0" borderId="0" xfId="1506" applyFont="1"/>
    <xf numFmtId="0" fontId="138" fillId="0" borderId="16" xfId="1388" applyFont="1" applyBorder="1" applyAlignment="1">
      <alignment horizontal="center" vertical="top"/>
    </xf>
    <xf numFmtId="0" fontId="138" fillId="0" borderId="17" xfId="1388" applyFont="1" applyBorder="1" applyAlignment="1">
      <alignment horizontal="center" vertical="top"/>
    </xf>
    <xf numFmtId="0" fontId="140" fillId="0" borderId="17" xfId="1388" applyFont="1" applyBorder="1" applyAlignment="1">
      <alignment horizontal="left" vertical="top"/>
    </xf>
    <xf numFmtId="0" fontId="138" fillId="0" borderId="18" xfId="1388" applyFont="1" applyBorder="1" applyAlignment="1">
      <alignment horizontal="center" vertical="top"/>
    </xf>
    <xf numFmtId="2" fontId="87" fillId="0" borderId="0" xfId="94" applyNumberFormat="1" applyFont="1" applyAlignment="1">
      <alignment horizontal="center"/>
    </xf>
    <xf numFmtId="9" fontId="87" fillId="0" borderId="15" xfId="1401" applyFont="1" applyFill="1" applyBorder="1" applyAlignment="1">
      <alignment horizontal="center" vertical="top" wrapText="1"/>
    </xf>
    <xf numFmtId="2" fontId="13" fillId="0" borderId="15" xfId="0" applyNumberFormat="1" applyFont="1" applyBorder="1" applyAlignment="1">
      <alignment horizontal="center" vertical="center"/>
    </xf>
    <xf numFmtId="0" fontId="117" fillId="0" borderId="0" xfId="1419" applyFont="1"/>
    <xf numFmtId="0" fontId="166" fillId="0" borderId="0" xfId="1506" applyFont="1" applyAlignment="1">
      <alignment horizontal="right" vertical="top" wrapText="1"/>
    </xf>
    <xf numFmtId="0" fontId="90" fillId="0" borderId="37" xfId="95" applyFont="1" applyBorder="1" applyAlignment="1">
      <alignment vertical="center" wrapText="1"/>
    </xf>
    <xf numFmtId="2" fontId="90" fillId="0" borderId="37" xfId="95" applyNumberFormat="1" applyFont="1" applyBorder="1" applyAlignment="1">
      <alignment horizontal="center" vertical="top" wrapText="1"/>
    </xf>
    <xf numFmtId="0" fontId="90" fillId="0" borderId="37" xfId="95" applyFont="1" applyBorder="1" applyAlignment="1">
      <alignment vertical="center"/>
    </xf>
    <xf numFmtId="0" fontId="90" fillId="0" borderId="37" xfId="95" applyFont="1" applyBorder="1" applyAlignment="1">
      <alignment horizontal="center" vertical="center"/>
    </xf>
    <xf numFmtId="2" fontId="90" fillId="0" borderId="37" xfId="95" applyNumberFormat="1" applyFont="1" applyBorder="1" applyAlignment="1">
      <alignment horizontal="center" vertical="center"/>
    </xf>
    <xf numFmtId="2" fontId="100" fillId="0" borderId="37" xfId="95" applyNumberFormat="1" applyFont="1" applyBorder="1" applyAlignment="1">
      <alignment horizontal="right" vertical="center"/>
    </xf>
    <xf numFmtId="0" fontId="87" fillId="0" borderId="37" xfId="0" applyFont="1" applyBorder="1" applyAlignment="1">
      <alignment vertical="top" wrapText="1"/>
    </xf>
    <xf numFmtId="0" fontId="87" fillId="0" borderId="37" xfId="0" applyFont="1" applyBorder="1" applyAlignment="1">
      <alignment horizontal="center" vertical="top" wrapText="1"/>
    </xf>
    <xf numFmtId="0" fontId="87" fillId="0" borderId="37" xfId="0" applyFont="1" applyBorder="1" applyAlignment="1">
      <alignment horizontal="justify" vertical="top"/>
    </xf>
    <xf numFmtId="0" fontId="87" fillId="0" borderId="37" xfId="0" applyFont="1" applyBorder="1" applyAlignment="1">
      <alignment horizontal="center" vertical="top"/>
    </xf>
    <xf numFmtId="168" fontId="87" fillId="0" borderId="37" xfId="0" applyNumberFormat="1" applyFont="1" applyBorder="1" applyAlignment="1">
      <alignment horizontal="center" vertical="top"/>
    </xf>
    <xf numFmtId="2" fontId="87" fillId="0" borderId="37" xfId="0" applyNumberFormat="1" applyFont="1" applyBorder="1" applyAlignment="1">
      <alignment horizontal="center" vertical="top"/>
    </xf>
    <xf numFmtId="2" fontId="87" fillId="0" borderId="37" xfId="0" applyNumberFormat="1" applyFont="1" applyBorder="1" applyAlignment="1">
      <alignment horizontal="right" vertical="top"/>
    </xf>
    <xf numFmtId="0" fontId="98" fillId="0" borderId="15" xfId="95" applyFont="1" applyBorder="1" applyAlignment="1">
      <alignment horizontal="center" vertical="center" wrapText="1"/>
    </xf>
    <xf numFmtId="0" fontId="98" fillId="0" borderId="15" xfId="95" applyFont="1" applyBorder="1" applyAlignment="1">
      <alignment vertical="center" wrapText="1"/>
    </xf>
    <xf numFmtId="170" fontId="98" fillId="0" borderId="15" xfId="95" applyNumberFormat="1" applyFont="1" applyBorder="1" applyAlignment="1">
      <alignment horizontal="center" vertical="center" wrapText="1"/>
    </xf>
    <xf numFmtId="170" fontId="98" fillId="0" borderId="15" xfId="95" applyNumberFormat="1" applyFont="1" applyBorder="1" applyAlignment="1">
      <alignment horizontal="right" vertical="center" wrapText="1"/>
    </xf>
    <xf numFmtId="172" fontId="98" fillId="0" borderId="15" xfId="95" applyNumberFormat="1" applyFont="1" applyBorder="1" applyAlignment="1">
      <alignment horizontal="center" vertical="center" wrapText="1"/>
    </xf>
    <xf numFmtId="10" fontId="87" fillId="0" borderId="15" xfId="1401" applyNumberFormat="1" applyFont="1" applyFill="1" applyBorder="1" applyAlignment="1">
      <alignment horizontal="center" vertical="top" wrapText="1"/>
    </xf>
    <xf numFmtId="0" fontId="87" fillId="0" borderId="15" xfId="96" applyFont="1" applyBorder="1" applyAlignment="1">
      <alignment horizontal="center" vertical="top" wrapText="1"/>
    </xf>
    <xf numFmtId="2" fontId="94" fillId="0" borderId="18" xfId="0" applyNumberFormat="1" applyFont="1" applyBorder="1" applyAlignment="1">
      <alignment vertical="top"/>
    </xf>
    <xf numFmtId="0" fontId="87" fillId="0" borderId="15" xfId="1385" applyFont="1" applyBorder="1" applyAlignment="1">
      <alignment horizontal="justify" vertical="top"/>
    </xf>
    <xf numFmtId="0" fontId="87" fillId="0" borderId="15" xfId="95" applyFont="1" applyBorder="1" applyAlignment="1">
      <alignment horizontal="right" vertical="top"/>
    </xf>
    <xf numFmtId="0" fontId="97" fillId="0" borderId="0" xfId="95" applyFont="1" applyAlignment="1">
      <alignment horizontal="center" vertical="top" wrapText="1"/>
    </xf>
    <xf numFmtId="0" fontId="94" fillId="0" borderId="15" xfId="0" applyFont="1" applyBorder="1" applyAlignment="1">
      <alignment horizontal="left" vertical="top" wrapText="1"/>
    </xf>
    <xf numFmtId="0" fontId="87" fillId="0" borderId="0" xfId="0" applyFont="1" applyAlignment="1">
      <alignment horizontal="left" vertical="top" wrapText="1"/>
    </xf>
    <xf numFmtId="2" fontId="87" fillId="0" borderId="0" xfId="0" applyNumberFormat="1" applyFont="1" applyAlignment="1">
      <alignment horizontal="center" vertical="top" wrapText="1"/>
    </xf>
    <xf numFmtId="0" fontId="87" fillId="0" borderId="15" xfId="0" applyFont="1" applyBorder="1" applyAlignment="1">
      <alignment horizontal="justify" vertical="top" wrapText="1"/>
    </xf>
    <xf numFmtId="0" fontId="94" fillId="0" borderId="0" xfId="95" applyFont="1" applyAlignment="1">
      <alignment horizontal="center" vertical="top" wrapText="1"/>
    </xf>
    <xf numFmtId="0" fontId="90" fillId="47" borderId="15" xfId="95" applyFont="1" applyFill="1" applyBorder="1" applyAlignment="1">
      <alignment horizontal="center" vertical="top" wrapText="1"/>
    </xf>
    <xf numFmtId="0" fontId="90" fillId="47" borderId="15" xfId="95" applyFont="1" applyFill="1" applyBorder="1" applyAlignment="1">
      <alignment horizontal="justify" vertical="top" wrapText="1"/>
    </xf>
    <xf numFmtId="0" fontId="90" fillId="47" borderId="15" xfId="95" applyFont="1" applyFill="1" applyBorder="1" applyAlignment="1">
      <alignment vertical="top"/>
    </xf>
    <xf numFmtId="0" fontId="90" fillId="47" borderId="15" xfId="95" applyFont="1" applyFill="1" applyBorder="1" applyAlignment="1">
      <alignment horizontal="center" vertical="top"/>
    </xf>
    <xf numFmtId="0" fontId="93" fillId="47" borderId="0" xfId="95" applyFont="1" applyFill="1" applyAlignment="1">
      <alignment vertical="top"/>
    </xf>
    <xf numFmtId="0" fontId="90" fillId="47" borderId="15" xfId="95" applyFont="1" applyFill="1" applyBorder="1" applyAlignment="1">
      <alignment horizontal="justify" vertical="top"/>
    </xf>
    <xf numFmtId="168" fontId="90" fillId="47" borderId="15" xfId="95" applyNumberFormat="1" applyFont="1" applyFill="1" applyBorder="1" applyAlignment="1">
      <alignment horizontal="center" vertical="top"/>
    </xf>
    <xf numFmtId="2" fontId="90" fillId="47" borderId="15" xfId="95" applyNumberFormat="1" applyFont="1" applyFill="1" applyBorder="1" applyAlignment="1">
      <alignment horizontal="center" vertical="top"/>
    </xf>
    <xf numFmtId="170" fontId="90" fillId="47" borderId="15" xfId="95" applyNumberFormat="1" applyFont="1" applyFill="1" applyBorder="1" applyAlignment="1">
      <alignment horizontal="right" vertical="top" wrapText="1"/>
    </xf>
    <xf numFmtId="0" fontId="100" fillId="47" borderId="15" xfId="95" applyFont="1" applyFill="1" applyBorder="1" applyAlignment="1">
      <alignment horizontal="center" vertical="top" wrapText="1"/>
    </xf>
    <xf numFmtId="0" fontId="90" fillId="47" borderId="15" xfId="95" applyFont="1" applyFill="1" applyBorder="1"/>
    <xf numFmtId="0" fontId="90" fillId="47" borderId="15" xfId="95" applyFont="1" applyFill="1" applyBorder="1" applyAlignment="1">
      <alignment horizontal="center"/>
    </xf>
    <xf numFmtId="2" fontId="90" fillId="47" borderId="15" xfId="95" applyNumberFormat="1" applyFont="1" applyFill="1" applyBorder="1" applyAlignment="1">
      <alignment horizontal="center"/>
    </xf>
    <xf numFmtId="2" fontId="90" fillId="47" borderId="15" xfId="95" applyNumberFormat="1" applyFont="1" applyFill="1" applyBorder="1" applyAlignment="1">
      <alignment horizontal="right" wrapText="1"/>
    </xf>
    <xf numFmtId="0" fontId="87" fillId="47" borderId="0" xfId="95" applyFont="1" applyFill="1"/>
    <xf numFmtId="2" fontId="90" fillId="47" borderId="15" xfId="95" applyNumberFormat="1" applyFont="1" applyFill="1" applyBorder="1" applyAlignment="1">
      <alignment horizontal="right" vertical="top"/>
    </xf>
    <xf numFmtId="0" fontId="90" fillId="47" borderId="15" xfId="95" applyFont="1" applyFill="1" applyBorder="1" applyAlignment="1">
      <alignment vertical="top" wrapText="1"/>
    </xf>
    <xf numFmtId="0" fontId="87" fillId="47" borderId="0" xfId="95" applyFont="1" applyFill="1" applyAlignment="1">
      <alignment vertical="top"/>
    </xf>
    <xf numFmtId="2" fontId="90" fillId="47" borderId="15" xfId="95" applyNumberFormat="1" applyFont="1" applyFill="1" applyBorder="1" applyAlignment="1">
      <alignment horizontal="center" vertical="top" shrinkToFit="1"/>
    </xf>
    <xf numFmtId="170" fontId="90" fillId="47" borderId="15" xfId="95" applyNumberFormat="1" applyFont="1" applyFill="1" applyBorder="1" applyAlignment="1">
      <alignment horizontal="center" vertical="top" wrapText="1"/>
    </xf>
    <xf numFmtId="0" fontId="101" fillId="47" borderId="15" xfId="1275" applyFont="1" applyFill="1" applyBorder="1" applyAlignment="1">
      <alignment horizontal="center" vertical="top"/>
    </xf>
    <xf numFmtId="0" fontId="101" fillId="47" borderId="15" xfId="95" applyFont="1" applyFill="1" applyBorder="1" applyAlignment="1">
      <alignment horizontal="left" vertical="top" wrapText="1"/>
    </xf>
    <xf numFmtId="0" fontId="101" fillId="47" borderId="15" xfId="95" applyFont="1" applyFill="1" applyBorder="1" applyAlignment="1">
      <alignment horizontal="center" vertical="top" wrapText="1"/>
    </xf>
    <xf numFmtId="0" fontId="101" fillId="47" borderId="15" xfId="95" applyFont="1" applyFill="1" applyBorder="1" applyAlignment="1">
      <alignment vertical="top"/>
    </xf>
    <xf numFmtId="0" fontId="101" fillId="47" borderId="15" xfId="95" applyFont="1" applyFill="1" applyBorder="1" applyAlignment="1">
      <alignment horizontal="left" vertical="top"/>
    </xf>
    <xf numFmtId="0" fontId="102" fillId="47" borderId="0" xfId="1275" applyFont="1" applyFill="1" applyAlignment="1">
      <alignment horizontal="justify" vertical="top" wrapText="1"/>
    </xf>
    <xf numFmtId="0" fontId="101" fillId="47" borderId="15" xfId="95" applyFont="1" applyFill="1" applyBorder="1" applyAlignment="1">
      <alignment horizontal="justify" vertical="top" wrapText="1"/>
    </xf>
    <xf numFmtId="170" fontId="90" fillId="47" borderId="15" xfId="96" applyNumberFormat="1" applyFont="1" applyFill="1" applyBorder="1" applyAlignment="1">
      <alignment horizontal="center" vertical="top" wrapText="1"/>
    </xf>
    <xf numFmtId="170" fontId="90" fillId="47" borderId="15" xfId="96" applyNumberFormat="1" applyFont="1" applyFill="1" applyBorder="1" applyAlignment="1">
      <alignment horizontal="right" vertical="top" wrapText="1"/>
    </xf>
    <xf numFmtId="0" fontId="101" fillId="47" borderId="15" xfId="1275" applyFont="1" applyFill="1" applyBorder="1" applyAlignment="1">
      <alignment horizontal="justify" vertical="top" wrapText="1"/>
    </xf>
    <xf numFmtId="0" fontId="87" fillId="0" borderId="29" xfId="1419" applyFont="1" applyBorder="1" applyAlignment="1">
      <alignment horizontal="left" vertical="top"/>
    </xf>
    <xf numFmtId="0" fontId="103" fillId="0" borderId="31" xfId="0" applyFont="1" applyBorder="1" applyAlignment="1">
      <alignment horizontal="justify" vertical="top" wrapText="1"/>
    </xf>
    <xf numFmtId="2" fontId="87" fillId="0" borderId="10" xfId="1419" applyNumberFormat="1" applyFont="1" applyBorder="1" applyAlignment="1">
      <alignment horizontal="left" vertical="top"/>
    </xf>
    <xf numFmtId="0" fontId="103" fillId="0" borderId="33" xfId="0" applyFont="1" applyBorder="1" applyAlignment="1">
      <alignment horizontal="justify" vertical="top" wrapText="1"/>
    </xf>
    <xf numFmtId="0" fontId="96" fillId="0" borderId="15" xfId="0" applyFont="1" applyBorder="1" applyAlignment="1">
      <alignment horizontal="center" vertical="top" wrapText="1"/>
    </xf>
    <xf numFmtId="0" fontId="87" fillId="0" borderId="16" xfId="0" applyFont="1" applyBorder="1" applyAlignment="1">
      <alignment horizontal="center" vertical="top" wrapText="1"/>
    </xf>
    <xf numFmtId="0" fontId="87" fillId="0" borderId="17" xfId="0" applyFont="1" applyBorder="1" applyAlignment="1">
      <alignment horizontal="center" vertical="top" wrapText="1"/>
    </xf>
    <xf numFmtId="0" fontId="87" fillId="0" borderId="18" xfId="0" applyFont="1" applyBorder="1" applyAlignment="1">
      <alignment horizontal="center" vertical="top" wrapText="1"/>
    </xf>
    <xf numFmtId="0" fontId="87" fillId="0" borderId="16" xfId="0" applyFont="1" applyBorder="1" applyAlignment="1">
      <alignment vertical="top" wrapText="1"/>
    </xf>
    <xf numFmtId="0" fontId="87" fillId="0" borderId="18" xfId="0" applyFont="1" applyBorder="1" applyAlignment="1">
      <alignment vertical="top" wrapText="1"/>
    </xf>
    <xf numFmtId="0" fontId="87" fillId="0" borderId="16" xfId="0" applyFont="1" applyBorder="1" applyAlignment="1">
      <alignment horizontal="right" vertical="top"/>
    </xf>
    <xf numFmtId="0" fontId="87" fillId="0" borderId="18" xfId="0" applyFont="1" applyBorder="1" applyAlignment="1">
      <alignment horizontal="right" vertical="top"/>
    </xf>
    <xf numFmtId="1" fontId="87" fillId="0" borderId="15" xfId="0" applyNumberFormat="1" applyFont="1" applyBorder="1" applyAlignment="1">
      <alignment horizontal="center" vertical="top"/>
    </xf>
    <xf numFmtId="0" fontId="87" fillId="0" borderId="15" xfId="885" applyFont="1" applyBorder="1" applyAlignment="1">
      <alignment horizontal="justify" vertical="top" wrapText="1"/>
    </xf>
    <xf numFmtId="1" fontId="87" fillId="0" borderId="16" xfId="885" applyNumberFormat="1" applyFont="1" applyBorder="1" applyAlignment="1">
      <alignment horizontal="right" vertical="top" wrapText="1"/>
    </xf>
    <xf numFmtId="1" fontId="87" fillId="0" borderId="17" xfId="885" applyNumberFormat="1" applyFont="1" applyBorder="1" applyAlignment="1">
      <alignment horizontal="center" vertical="top" wrapText="1"/>
    </xf>
    <xf numFmtId="1" fontId="87" fillId="0" borderId="18" xfId="885" applyNumberFormat="1" applyFont="1" applyBorder="1" applyAlignment="1">
      <alignment horizontal="left" vertical="top" wrapText="1"/>
    </xf>
    <xf numFmtId="167" fontId="87" fillId="0" borderId="15" xfId="885" applyNumberFormat="1" applyFont="1" applyBorder="1" applyAlignment="1">
      <alignment horizontal="center" vertical="top" wrapText="1"/>
    </xf>
    <xf numFmtId="2" fontId="92" fillId="0" borderId="16" xfId="0" applyNumberFormat="1" applyFont="1" applyBorder="1" applyAlignment="1">
      <alignment horizontal="right" vertical="top"/>
    </xf>
    <xf numFmtId="2" fontId="92" fillId="0" borderId="18" xfId="0" applyNumberFormat="1" applyFont="1" applyBorder="1" applyAlignment="1">
      <alignment horizontal="left" vertical="top"/>
    </xf>
    <xf numFmtId="0" fontId="93" fillId="0" borderId="0" xfId="0" applyFont="1" applyAlignment="1">
      <alignment vertical="top"/>
    </xf>
    <xf numFmtId="0" fontId="87" fillId="0" borderId="15" xfId="1274" applyFont="1" applyBorder="1" applyAlignment="1">
      <alignment vertical="top" wrapText="1"/>
    </xf>
    <xf numFmtId="1" fontId="87" fillId="0" borderId="16" xfId="1274" applyNumberFormat="1" applyFont="1" applyBorder="1" applyAlignment="1">
      <alignment horizontal="right" vertical="top" wrapText="1"/>
    </xf>
    <xf numFmtId="1" fontId="87" fillId="0" borderId="17" xfId="1274" applyNumberFormat="1" applyFont="1" applyBorder="1" applyAlignment="1">
      <alignment horizontal="center" vertical="top" wrapText="1"/>
    </xf>
    <xf numFmtId="1" fontId="87" fillId="0" borderId="18" xfId="1274" applyNumberFormat="1" applyFont="1" applyBorder="1" applyAlignment="1">
      <alignment horizontal="left" vertical="top" wrapText="1"/>
    </xf>
    <xf numFmtId="167" fontId="87" fillId="0" borderId="15" xfId="1274" applyNumberFormat="1" applyFont="1" applyBorder="1" applyAlignment="1">
      <alignment horizontal="center" vertical="top" wrapText="1"/>
    </xf>
    <xf numFmtId="2" fontId="87" fillId="0" borderId="16" xfId="0" applyNumberFormat="1" applyFont="1" applyBorder="1" applyAlignment="1">
      <alignment horizontal="right" vertical="top"/>
    </xf>
    <xf numFmtId="2" fontId="92" fillId="0" borderId="18" xfId="0" applyNumberFormat="1" applyFont="1" applyBorder="1" applyAlignment="1">
      <alignment vertical="top"/>
    </xf>
    <xf numFmtId="0" fontId="87" fillId="0" borderId="17" xfId="0" applyFont="1" applyBorder="1" applyAlignment="1">
      <alignment vertical="top"/>
    </xf>
    <xf numFmtId="0" fontId="87" fillId="0" borderId="18" xfId="0" applyFont="1" applyBorder="1" applyAlignment="1">
      <alignment horizontal="left" vertical="top"/>
    </xf>
    <xf numFmtId="0" fontId="94" fillId="0" borderId="15" xfId="1671" applyFont="1" applyBorder="1" applyAlignment="1">
      <alignment horizontal="justify" vertical="top" wrapText="1"/>
    </xf>
    <xf numFmtId="2" fontId="87" fillId="0" borderId="15" xfId="1671" applyNumberFormat="1" applyFont="1" applyBorder="1" applyAlignment="1">
      <alignment horizontal="center" vertical="top" wrapText="1"/>
    </xf>
    <xf numFmtId="2" fontId="92" fillId="0" borderId="17" xfId="0" applyNumberFormat="1" applyFont="1" applyBorder="1" applyAlignment="1">
      <alignment vertical="top"/>
    </xf>
    <xf numFmtId="0" fontId="87" fillId="0" borderId="15" xfId="1671" applyFont="1" applyBorder="1" applyAlignment="1">
      <alignment horizontal="justify" vertical="top" wrapText="1"/>
    </xf>
    <xf numFmtId="167" fontId="87" fillId="0" borderId="15" xfId="0" applyNumberFormat="1" applyFont="1" applyBorder="1" applyAlignment="1">
      <alignment vertical="top"/>
    </xf>
    <xf numFmtId="0" fontId="87" fillId="0" borderId="16" xfId="1671" applyFont="1" applyBorder="1" applyAlignment="1">
      <alignment horizontal="right" vertical="top" wrapText="1"/>
    </xf>
    <xf numFmtId="0" fontId="87" fillId="0" borderId="17" xfId="1671" applyFont="1" applyBorder="1" applyAlignment="1">
      <alignment horizontal="center" vertical="top" wrapText="1"/>
    </xf>
    <xf numFmtId="0" fontId="87" fillId="0" borderId="15" xfId="95" applyFont="1" applyBorder="1" applyAlignment="1">
      <alignment vertical="top" wrapText="1"/>
    </xf>
    <xf numFmtId="0" fontId="87" fillId="0" borderId="16" xfId="95" applyFont="1" applyBorder="1" applyAlignment="1">
      <alignment horizontal="right" vertical="top"/>
    </xf>
    <xf numFmtId="0" fontId="87" fillId="0" borderId="17" xfId="95" applyFont="1" applyBorder="1" applyAlignment="1">
      <alignment horizontal="center" vertical="top"/>
    </xf>
    <xf numFmtId="167" fontId="87" fillId="0" borderId="15" xfId="95" applyNumberFormat="1" applyFont="1" applyBorder="1" applyAlignment="1">
      <alignment horizontal="center" vertical="top"/>
    </xf>
    <xf numFmtId="2" fontId="92" fillId="0" borderId="16" xfId="95" applyNumberFormat="1" applyFont="1" applyBorder="1" applyAlignment="1">
      <alignment horizontal="right" vertical="top"/>
    </xf>
    <xf numFmtId="0" fontId="91" fillId="0" borderId="16" xfId="0" applyFont="1" applyBorder="1" applyAlignment="1">
      <alignment vertical="top"/>
    </xf>
    <xf numFmtId="0" fontId="91" fillId="0" borderId="17" xfId="0" applyFont="1" applyBorder="1" applyAlignment="1">
      <alignment vertical="top"/>
    </xf>
    <xf numFmtId="0" fontId="91" fillId="0" borderId="18" xfId="0" applyFont="1" applyBorder="1" applyAlignment="1">
      <alignment horizontal="left" vertical="top"/>
    </xf>
    <xf numFmtId="167" fontId="91" fillId="0" borderId="15" xfId="0" applyNumberFormat="1" applyFont="1" applyBorder="1" applyAlignment="1">
      <alignment horizontal="center" vertical="top"/>
    </xf>
    <xf numFmtId="2" fontId="91" fillId="0" borderId="15" xfId="0" applyNumberFormat="1" applyFont="1" applyBorder="1" applyAlignment="1">
      <alignment horizontal="center" vertical="top"/>
    </xf>
    <xf numFmtId="2" fontId="91" fillId="0" borderId="16" xfId="0" applyNumberFormat="1" applyFont="1" applyBorder="1" applyAlignment="1">
      <alignment horizontal="right" vertical="top"/>
    </xf>
    <xf numFmtId="0" fontId="87" fillId="0" borderId="17" xfId="0" applyFont="1" applyBorder="1" applyAlignment="1">
      <alignment horizontal="center" vertical="top"/>
    </xf>
    <xf numFmtId="0" fontId="87" fillId="0" borderId="16" xfId="0" applyFont="1" applyBorder="1" applyAlignment="1">
      <alignment horizontal="center" vertical="top"/>
    </xf>
    <xf numFmtId="0" fontId="87" fillId="0" borderId="18" xfId="0" applyFont="1" applyBorder="1" applyAlignment="1">
      <alignment horizontal="center" vertical="top"/>
    </xf>
    <xf numFmtId="0" fontId="87" fillId="0" borderId="18" xfId="1671" applyFont="1" applyBorder="1" applyAlignment="1">
      <alignment horizontal="left" vertical="top" wrapText="1"/>
    </xf>
    <xf numFmtId="0" fontId="94" fillId="0" borderId="15" xfId="0" applyFont="1" applyBorder="1" applyAlignment="1">
      <alignment horizontal="justify" vertical="top" wrapText="1"/>
    </xf>
    <xf numFmtId="0" fontId="91" fillId="0" borderId="15" xfId="0" applyFont="1" applyBorder="1" applyAlignment="1">
      <alignment vertical="top" wrapText="1"/>
    </xf>
    <xf numFmtId="0" fontId="91" fillId="0" borderId="15" xfId="0" applyFont="1" applyBorder="1" applyAlignment="1">
      <alignment vertical="top"/>
    </xf>
    <xf numFmtId="0" fontId="87" fillId="0" borderId="15" xfId="138" applyFont="1" applyBorder="1" applyAlignment="1">
      <alignment vertical="top" wrapText="1"/>
    </xf>
    <xf numFmtId="0" fontId="87" fillId="0" borderId="16" xfId="138" applyFont="1" applyBorder="1" applyAlignment="1">
      <alignment horizontal="right" vertical="top"/>
    </xf>
    <xf numFmtId="0" fontId="87" fillId="0" borderId="18" xfId="138" applyFont="1" applyBorder="1" applyAlignment="1">
      <alignment horizontal="left" vertical="top"/>
    </xf>
    <xf numFmtId="2" fontId="87" fillId="0" borderId="15" xfId="138" applyNumberFormat="1" applyFont="1" applyBorder="1" applyAlignment="1">
      <alignment horizontal="center" vertical="top"/>
    </xf>
    <xf numFmtId="167" fontId="87" fillId="0" borderId="15" xfId="138" applyNumberFormat="1" applyFont="1" applyBorder="1" applyAlignment="1">
      <alignment horizontal="center" vertical="top"/>
    </xf>
    <xf numFmtId="0" fontId="87" fillId="0" borderId="16" xfId="0" applyFont="1" applyBorder="1" applyAlignment="1">
      <alignment horizontal="justify" vertical="top" wrapText="1"/>
    </xf>
    <xf numFmtId="0" fontId="87" fillId="0" borderId="17" xfId="0" applyFont="1" applyBorder="1" applyAlignment="1">
      <alignment horizontal="justify" vertical="top" wrapText="1"/>
    </xf>
    <xf numFmtId="0" fontId="87" fillId="0" borderId="18" xfId="0" applyFont="1" applyBorder="1" applyAlignment="1">
      <alignment horizontal="justify" vertical="top" wrapText="1"/>
    </xf>
    <xf numFmtId="0" fontId="87" fillId="0" borderId="15" xfId="1671" applyFont="1" applyBorder="1" applyAlignment="1">
      <alignment horizontal="left" vertical="top" wrapText="1"/>
    </xf>
    <xf numFmtId="167" fontId="87" fillId="0" borderId="15" xfId="1671" applyNumberFormat="1" applyFont="1" applyBorder="1" applyAlignment="1">
      <alignment horizontal="center" vertical="top" wrapText="1"/>
    </xf>
    <xf numFmtId="168" fontId="87" fillId="0" borderId="18" xfId="1274" applyNumberFormat="1" applyFont="1" applyBorder="1" applyAlignment="1">
      <alignment horizontal="left" vertical="top" wrapText="1"/>
    </xf>
    <xf numFmtId="0" fontId="88" fillId="0" borderId="0" xfId="0" applyFont="1" applyAlignment="1">
      <alignment vertical="top" wrapText="1"/>
    </xf>
    <xf numFmtId="0" fontId="87" fillId="0" borderId="15" xfId="1531" applyFont="1" applyBorder="1" applyAlignment="1">
      <alignment vertical="top" wrapText="1"/>
    </xf>
    <xf numFmtId="1" fontId="87" fillId="0" borderId="16" xfId="1531" applyNumberFormat="1" applyFont="1" applyBorder="1" applyAlignment="1">
      <alignment horizontal="right" vertical="top" wrapText="1"/>
    </xf>
    <xf numFmtId="1" fontId="87" fillId="0" borderId="17" xfId="1531" applyNumberFormat="1" applyFont="1" applyBorder="1" applyAlignment="1">
      <alignment horizontal="center" vertical="top" wrapText="1"/>
    </xf>
    <xf numFmtId="1" fontId="87" fillId="0" borderId="18" xfId="1531" applyNumberFormat="1" applyFont="1" applyBorder="1" applyAlignment="1">
      <alignment horizontal="left" vertical="top" wrapText="1"/>
    </xf>
    <xf numFmtId="167" fontId="87" fillId="0" borderId="15" xfId="1531" applyNumberFormat="1" applyFont="1" applyBorder="1" applyAlignment="1">
      <alignment horizontal="center" vertical="top" wrapText="1"/>
    </xf>
    <xf numFmtId="2" fontId="87" fillId="0" borderId="18" xfId="1274" applyNumberFormat="1" applyFont="1" applyBorder="1" applyAlignment="1">
      <alignment horizontal="left" vertical="top" wrapText="1"/>
    </xf>
    <xf numFmtId="0" fontId="87" fillId="0" borderId="15" xfId="94" applyFont="1" applyBorder="1" applyAlignment="1">
      <alignment vertical="top" wrapText="1"/>
    </xf>
    <xf numFmtId="0" fontId="87" fillId="0" borderId="16" xfId="94" applyFont="1" applyBorder="1" applyAlignment="1">
      <alignment horizontal="right" vertical="top"/>
    </xf>
    <xf numFmtId="0" fontId="87" fillId="0" borderId="17" xfId="94" applyFont="1" applyBorder="1" applyAlignment="1">
      <alignment vertical="top"/>
    </xf>
    <xf numFmtId="0" fontId="87" fillId="0" borderId="18" xfId="94" applyFont="1" applyBorder="1" applyAlignment="1">
      <alignment horizontal="left" vertical="top"/>
    </xf>
    <xf numFmtId="2" fontId="87" fillId="0" borderId="16" xfId="94" applyNumberFormat="1" applyFont="1" applyBorder="1" applyAlignment="1">
      <alignment horizontal="right" vertical="top"/>
    </xf>
    <xf numFmtId="2" fontId="87" fillId="0" borderId="18" xfId="94" applyNumberFormat="1" applyFont="1" applyBorder="1" applyAlignment="1">
      <alignment horizontal="left" vertical="top"/>
    </xf>
    <xf numFmtId="2" fontId="87" fillId="0" borderId="15" xfId="1274" applyNumberFormat="1" applyFont="1" applyBorder="1" applyAlignment="1">
      <alignment horizontal="center" vertical="top" wrapText="1"/>
    </xf>
    <xf numFmtId="1" fontId="87" fillId="0" borderId="16" xfId="0" applyNumberFormat="1" applyFont="1" applyBorder="1" applyAlignment="1">
      <alignment horizontal="right" vertical="top"/>
    </xf>
    <xf numFmtId="0" fontId="87" fillId="0" borderId="15" xfId="0" applyFont="1" applyBorder="1" applyAlignment="1">
      <alignment horizontal="left" vertical="top"/>
    </xf>
    <xf numFmtId="2" fontId="87" fillId="0" borderId="18" xfId="0" applyNumberFormat="1" applyFont="1" applyBorder="1" applyAlignment="1">
      <alignment horizontal="left" vertical="top"/>
    </xf>
    <xf numFmtId="0" fontId="87" fillId="0" borderId="15" xfId="1385" applyFont="1" applyBorder="1" applyAlignment="1">
      <alignment vertical="top" wrapText="1"/>
    </xf>
    <xf numFmtId="0" fontId="87" fillId="0" borderId="16" xfId="1385" applyFont="1" applyBorder="1" applyAlignment="1">
      <alignment horizontal="right" vertical="top"/>
    </xf>
    <xf numFmtId="0" fontId="87" fillId="0" borderId="17" xfId="1385" applyFont="1" applyBorder="1" applyAlignment="1">
      <alignment horizontal="center" vertical="top"/>
    </xf>
    <xf numFmtId="167" fontId="87" fillId="0" borderId="15" xfId="1385" applyNumberFormat="1" applyFont="1" applyBorder="1" applyAlignment="1">
      <alignment horizontal="center" vertical="top"/>
    </xf>
    <xf numFmtId="2" fontId="92" fillId="0" borderId="16" xfId="1385" applyNumberFormat="1" applyFont="1" applyBorder="1" applyAlignment="1">
      <alignment horizontal="right" vertical="top"/>
    </xf>
    <xf numFmtId="0" fontId="87" fillId="0" borderId="15" xfId="1418" applyFont="1" applyBorder="1" applyAlignment="1">
      <alignment vertical="top"/>
    </xf>
    <xf numFmtId="0" fontId="87" fillId="0" borderId="16" xfId="1418" applyFont="1" applyBorder="1" applyAlignment="1">
      <alignment horizontal="right" vertical="top"/>
    </xf>
    <xf numFmtId="0" fontId="87" fillId="0" borderId="17" xfId="1418" applyFont="1" applyBorder="1" applyAlignment="1">
      <alignment horizontal="center" vertical="top"/>
    </xf>
    <xf numFmtId="0" fontId="87" fillId="0" borderId="18" xfId="1418" applyFont="1" applyBorder="1" applyAlignment="1">
      <alignment horizontal="left" vertical="top"/>
    </xf>
    <xf numFmtId="167" fontId="87" fillId="0" borderId="15" xfId="1418" applyNumberFormat="1" applyFont="1" applyBorder="1" applyAlignment="1">
      <alignment horizontal="center" vertical="top"/>
    </xf>
    <xf numFmtId="0" fontId="108" fillId="0" borderId="15" xfId="1395" applyFont="1" applyBorder="1"/>
    <xf numFmtId="0" fontId="108" fillId="0" borderId="15" xfId="1395" applyFont="1" applyBorder="1" applyAlignment="1">
      <alignment horizontal="center" vertical="top"/>
    </xf>
    <xf numFmtId="167" fontId="87" fillId="0" borderId="18" xfId="1274" applyNumberFormat="1" applyFont="1" applyBorder="1" applyAlignment="1">
      <alignment horizontal="left" vertical="top" wrapText="1"/>
    </xf>
    <xf numFmtId="1" fontId="87" fillId="0" borderId="0" xfId="1274" applyNumberFormat="1" applyFont="1" applyAlignment="1">
      <alignment horizontal="left" vertical="top" wrapText="1"/>
    </xf>
    <xf numFmtId="2" fontId="93" fillId="0" borderId="0" xfId="0" applyNumberFormat="1" applyFont="1" applyAlignment="1">
      <alignment vertical="top"/>
    </xf>
    <xf numFmtId="1" fontId="87" fillId="0" borderId="15" xfId="1274" applyNumberFormat="1" applyFont="1" applyBorder="1" applyAlignment="1">
      <alignment horizontal="center" vertical="top" wrapText="1"/>
    </xf>
    <xf numFmtId="0" fontId="87" fillId="0" borderId="16" xfId="95" applyFont="1" applyBorder="1" applyAlignment="1">
      <alignment vertical="top"/>
    </xf>
    <xf numFmtId="0" fontId="87" fillId="0" borderId="15" xfId="95" applyFont="1" applyBorder="1" applyAlignment="1">
      <alignment vertical="top"/>
    </xf>
    <xf numFmtId="0" fontId="87" fillId="0" borderId="16" xfId="95" applyFont="1" applyBorder="1" applyAlignment="1">
      <alignment horizontal="right" vertical="top" wrapText="1"/>
    </xf>
    <xf numFmtId="1" fontId="87" fillId="0" borderId="16" xfId="95" applyNumberFormat="1" applyFont="1" applyBorder="1" applyAlignment="1">
      <alignment horizontal="right" vertical="top"/>
    </xf>
    <xf numFmtId="0" fontId="87" fillId="0" borderId="16" xfId="95" applyFont="1" applyBorder="1" applyAlignment="1">
      <alignment horizontal="justify" vertical="top"/>
    </xf>
    <xf numFmtId="0" fontId="87" fillId="0" borderId="17" xfId="95" applyFont="1" applyBorder="1" applyAlignment="1">
      <alignment horizontal="justify" vertical="top"/>
    </xf>
    <xf numFmtId="167" fontId="87" fillId="0" borderId="15" xfId="95" applyNumberFormat="1" applyFont="1" applyBorder="1" applyAlignment="1">
      <alignment horizontal="justify" vertical="top"/>
    </xf>
    <xf numFmtId="2" fontId="87" fillId="0" borderId="15" xfId="95" applyNumberFormat="1" applyFont="1" applyBorder="1" applyAlignment="1">
      <alignment horizontal="justify" vertical="top"/>
    </xf>
    <xf numFmtId="1" fontId="87" fillId="0" borderId="16" xfId="95" applyNumberFormat="1" applyFont="1" applyBorder="1" applyAlignment="1">
      <alignment vertical="top"/>
    </xf>
    <xf numFmtId="2" fontId="87" fillId="0" borderId="16" xfId="95" applyNumberFormat="1" applyFont="1" applyBorder="1" applyAlignment="1">
      <alignment horizontal="right" vertical="top"/>
    </xf>
    <xf numFmtId="0" fontId="87" fillId="0" borderId="8" xfId="0" applyFont="1" applyBorder="1" applyAlignment="1">
      <alignment horizontal="left" vertical="top"/>
    </xf>
    <xf numFmtId="0" fontId="87" fillId="0" borderId="8" xfId="0" applyFont="1" applyBorder="1" applyAlignment="1">
      <alignment vertical="top"/>
    </xf>
    <xf numFmtId="2" fontId="87" fillId="0" borderId="8" xfId="0" applyNumberFormat="1" applyFont="1" applyBorder="1" applyAlignment="1">
      <alignment horizontal="center" vertical="top"/>
    </xf>
    <xf numFmtId="0" fontId="87" fillId="0" borderId="8" xfId="0" applyFont="1" applyBorder="1" applyAlignment="1">
      <alignment horizontal="center" vertical="top"/>
    </xf>
    <xf numFmtId="0" fontId="87" fillId="0" borderId="8" xfId="0" applyFont="1" applyBorder="1" applyAlignment="1">
      <alignment horizontal="center" vertical="top" wrapText="1"/>
    </xf>
    <xf numFmtId="2" fontId="87" fillId="0" borderId="15" xfId="0" applyNumberFormat="1" applyFont="1" applyBorder="1" applyAlignment="1">
      <alignment horizontal="center" vertical="top" shrinkToFit="1"/>
    </xf>
    <xf numFmtId="0" fontId="94" fillId="0" borderId="15" xfId="1672" applyFont="1" applyBorder="1" applyAlignment="1">
      <alignment horizontal="center" vertical="top" wrapText="1"/>
    </xf>
    <xf numFmtId="0" fontId="94" fillId="0" borderId="15" xfId="1672" applyFont="1" applyBorder="1" applyAlignment="1">
      <alignment vertical="top" wrapText="1"/>
    </xf>
    <xf numFmtId="0" fontId="87" fillId="0" borderId="15" xfId="1672" applyFont="1" applyBorder="1" applyAlignment="1">
      <alignment horizontal="center" vertical="top" wrapText="1"/>
    </xf>
    <xf numFmtId="0" fontId="87" fillId="0" borderId="15" xfId="1672" applyFont="1" applyBorder="1" applyAlignment="1">
      <alignment vertical="top" wrapText="1"/>
    </xf>
    <xf numFmtId="0" fontId="87" fillId="0" borderId="0" xfId="1672" applyFont="1" applyAlignment="1">
      <alignment vertical="top" wrapText="1"/>
    </xf>
    <xf numFmtId="170" fontId="87" fillId="0" borderId="15" xfId="0" applyNumberFormat="1" applyFont="1" applyBorder="1" applyAlignment="1">
      <alignment vertical="top" wrapText="1"/>
    </xf>
    <xf numFmtId="2" fontId="87" fillId="0" borderId="18" xfId="0" applyNumberFormat="1" applyFont="1" applyBorder="1" applyAlignment="1">
      <alignment horizontal="center" vertical="top" wrapText="1"/>
    </xf>
    <xf numFmtId="178" fontId="87" fillId="0" borderId="15" xfId="0" applyNumberFormat="1" applyFont="1" applyBorder="1" applyAlignment="1">
      <alignment horizontal="center" vertical="top" wrapText="1"/>
    </xf>
    <xf numFmtId="0" fontId="94" fillId="0" borderId="15" xfId="0" applyFont="1" applyBorder="1" applyAlignment="1">
      <alignment vertical="top"/>
    </xf>
    <xf numFmtId="170" fontId="87" fillId="0" borderId="15" xfId="0" applyNumberFormat="1" applyFont="1" applyBorder="1" applyAlignment="1">
      <alignment horizontal="center" vertical="top" wrapText="1"/>
    </xf>
    <xf numFmtId="0" fontId="137" fillId="0" borderId="15" xfId="0" applyFont="1" applyBorder="1" applyAlignment="1">
      <alignment horizontal="center" vertical="top"/>
    </xf>
    <xf numFmtId="178" fontId="137" fillId="0" borderId="15" xfId="0" applyNumberFormat="1" applyFont="1" applyBorder="1" applyAlignment="1">
      <alignment horizontal="center" vertical="top" wrapText="1"/>
    </xf>
    <xf numFmtId="0" fontId="94" fillId="0" borderId="15" xfId="0" applyFont="1" applyBorder="1" applyAlignment="1">
      <alignment horizontal="right" vertical="top" wrapText="1"/>
    </xf>
    <xf numFmtId="0" fontId="87" fillId="0" borderId="15" xfId="0" applyFont="1" applyBorder="1" applyAlignment="1">
      <alignment horizontal="right" vertical="top" wrapText="1"/>
    </xf>
    <xf numFmtId="0" fontId="91" fillId="0" borderId="15" xfId="0" applyFont="1" applyBorder="1" applyAlignment="1">
      <alignment horizontal="center" vertical="top" wrapText="1"/>
    </xf>
    <xf numFmtId="0" fontId="91" fillId="0" borderId="15" xfId="0" applyFont="1" applyBorder="1" applyAlignment="1">
      <alignment horizontal="justify" vertical="top" wrapText="1"/>
    </xf>
    <xf numFmtId="2" fontId="91" fillId="0" borderId="15" xfId="0" applyNumberFormat="1" applyFont="1" applyBorder="1" applyAlignment="1">
      <alignment horizontal="right" vertical="top"/>
    </xf>
    <xf numFmtId="0" fontId="91" fillId="0" borderId="15" xfId="0" applyFont="1" applyBorder="1" applyAlignment="1">
      <alignment horizontal="left" vertical="top" wrapText="1"/>
    </xf>
    <xf numFmtId="170" fontId="91" fillId="0" borderId="15" xfId="0" applyNumberFormat="1" applyFont="1" applyBorder="1" applyAlignment="1">
      <alignment horizontal="center" vertical="top" wrapText="1"/>
    </xf>
    <xf numFmtId="2" fontId="120" fillId="0" borderId="15" xfId="0" applyNumberFormat="1" applyFont="1" applyBorder="1" applyAlignment="1">
      <alignment horizontal="right" vertical="top"/>
    </xf>
    <xf numFmtId="2" fontId="120" fillId="0" borderId="15" xfId="0" applyNumberFormat="1" applyFont="1" applyBorder="1" applyAlignment="1">
      <alignment vertical="top"/>
    </xf>
    <xf numFmtId="2" fontId="94" fillId="0" borderId="15" xfId="0" applyNumberFormat="1" applyFont="1" applyBorder="1" applyAlignment="1">
      <alignment horizontal="center" vertical="top"/>
    </xf>
    <xf numFmtId="2" fontId="121" fillId="0" borderId="15" xfId="0" applyNumberFormat="1" applyFont="1" applyBorder="1" applyAlignment="1">
      <alignment horizontal="center" vertical="top"/>
    </xf>
    <xf numFmtId="168" fontId="87" fillId="0" borderId="15" xfId="0" applyNumberFormat="1" applyFont="1" applyBorder="1" applyAlignment="1">
      <alignment horizontal="center" vertical="top" wrapText="1"/>
    </xf>
    <xf numFmtId="2" fontId="87" fillId="0" borderId="15" xfId="0" applyNumberFormat="1" applyFont="1" applyBorder="1" applyAlignment="1">
      <alignment horizontal="right" vertical="top" shrinkToFit="1"/>
    </xf>
    <xf numFmtId="2" fontId="87" fillId="0" borderId="21" xfId="0" applyNumberFormat="1" applyFont="1" applyBorder="1" applyAlignment="1">
      <alignment vertical="top"/>
    </xf>
    <xf numFmtId="2" fontId="94" fillId="0" borderId="15" xfId="0" applyNumberFormat="1" applyFont="1" applyBorder="1" applyAlignment="1">
      <alignment horizontal="center" vertical="top" shrinkToFit="1"/>
    </xf>
    <xf numFmtId="49" fontId="87" fillId="0" borderId="15" xfId="0" applyNumberFormat="1" applyFont="1" applyBorder="1" applyAlignment="1">
      <alignment horizontal="center" vertical="top" shrinkToFit="1"/>
    </xf>
    <xf numFmtId="0" fontId="87" fillId="0" borderId="15" xfId="0" applyFont="1" applyBorder="1" applyAlignment="1">
      <alignment horizontal="center" vertical="top" shrinkToFit="1"/>
    </xf>
    <xf numFmtId="0" fontId="97" fillId="0" borderId="15" xfId="0" applyFont="1" applyBorder="1" applyAlignment="1">
      <alignment vertical="top" wrapText="1"/>
    </xf>
    <xf numFmtId="0" fontId="94" fillId="0" borderId="15" xfId="1385" applyFont="1" applyBorder="1" applyAlignment="1">
      <alignment horizontal="center" vertical="top" wrapText="1"/>
    </xf>
    <xf numFmtId="170" fontId="137" fillId="0" borderId="15" xfId="0" applyNumberFormat="1" applyFont="1" applyBorder="1" applyAlignment="1">
      <alignment horizontal="center" vertical="top" wrapText="1"/>
    </xf>
    <xf numFmtId="0" fontId="87" fillId="0" borderId="15" xfId="1385" applyFont="1" applyBorder="1" applyAlignment="1">
      <alignment horizontal="center" vertical="top" wrapText="1"/>
    </xf>
    <xf numFmtId="0" fontId="87" fillId="0" borderId="0" xfId="0" applyFont="1" applyAlignment="1">
      <alignment horizontal="justify" vertical="justify" wrapText="1"/>
    </xf>
    <xf numFmtId="0" fontId="87" fillId="0" borderId="15" xfId="0" applyFont="1" applyBorder="1" applyAlignment="1">
      <alignment horizontal="center" vertical="justify" wrapText="1"/>
    </xf>
    <xf numFmtId="0" fontId="87" fillId="0" borderId="0" xfId="0" applyFont="1" applyAlignment="1">
      <alignment horizontal="center" vertical="center"/>
    </xf>
    <xf numFmtId="0" fontId="87" fillId="0" borderId="15" xfId="0" applyFont="1" applyBorder="1" applyAlignment="1">
      <alignment wrapText="1"/>
    </xf>
    <xf numFmtId="2" fontId="87" fillId="0" borderId="15" xfId="0" applyNumberFormat="1" applyFont="1" applyBorder="1" applyAlignment="1">
      <alignment wrapText="1"/>
    </xf>
    <xf numFmtId="167" fontId="87" fillId="0" borderId="15" xfId="0" applyNumberFormat="1" applyFont="1" applyBorder="1" applyAlignment="1">
      <alignment wrapText="1"/>
    </xf>
    <xf numFmtId="169" fontId="87" fillId="0" borderId="15" xfId="0" applyNumberFormat="1" applyFont="1" applyBorder="1" applyAlignment="1">
      <alignment horizontal="right" wrapText="1"/>
    </xf>
    <xf numFmtId="0" fontId="94" fillId="0" borderId="15" xfId="0" applyFont="1" applyBorder="1" applyAlignment="1">
      <alignment horizontal="justify" vertical="justify" wrapText="1"/>
    </xf>
    <xf numFmtId="169" fontId="94" fillId="0" borderId="15" xfId="0" applyNumberFormat="1" applyFont="1" applyBorder="1" applyAlignment="1">
      <alignment horizontal="right" vertical="top" wrapText="1"/>
    </xf>
    <xf numFmtId="169" fontId="94" fillId="0" borderId="15" xfId="0" applyNumberFormat="1" applyFont="1" applyBorder="1" applyAlignment="1">
      <alignment horizontal="right" wrapText="1"/>
    </xf>
    <xf numFmtId="0" fontId="87" fillId="0" borderId="15" xfId="95" applyFont="1" applyBorder="1" applyAlignment="1">
      <alignment horizontal="justify" vertical="justify" wrapText="1"/>
    </xf>
    <xf numFmtId="0" fontId="97" fillId="0" borderId="15" xfId="0" applyFont="1" applyBorder="1" applyAlignment="1">
      <alignment horizontal="justify" vertical="justify" wrapText="1"/>
    </xf>
    <xf numFmtId="0" fontId="169" fillId="0" borderId="15" xfId="95" applyFont="1" applyBorder="1" applyAlignment="1">
      <alignment horizontal="center" vertical="top" wrapText="1"/>
    </xf>
    <xf numFmtId="170" fontId="169" fillId="0" borderId="15" xfId="95" applyNumberFormat="1" applyFont="1" applyBorder="1" applyAlignment="1">
      <alignment horizontal="center" vertical="top" wrapText="1"/>
    </xf>
    <xf numFmtId="0" fontId="169" fillId="0" borderId="37" xfId="95" applyFont="1" applyBorder="1" applyAlignment="1">
      <alignment horizontal="center" vertical="top" wrapText="1"/>
    </xf>
    <xf numFmtId="172" fontId="169" fillId="0" borderId="37" xfId="95" applyNumberFormat="1" applyFont="1" applyBorder="1" applyAlignment="1">
      <alignment horizontal="center" vertical="top" wrapText="1"/>
    </xf>
    <xf numFmtId="0" fontId="97" fillId="0" borderId="0" xfId="95" applyFont="1" applyAlignment="1">
      <alignment horizontal="center"/>
    </xf>
    <xf numFmtId="2" fontId="104" fillId="0" borderId="15" xfId="95" applyNumberFormat="1" applyFont="1" applyBorder="1" applyAlignment="1">
      <alignment horizontal="center" vertical="top"/>
    </xf>
    <xf numFmtId="0" fontId="104" fillId="0" borderId="16" xfId="95" applyFont="1" applyBorder="1" applyAlignment="1">
      <alignment vertical="top" wrapText="1"/>
    </xf>
    <xf numFmtId="0" fontId="104" fillId="0" borderId="18" xfId="95" applyFont="1" applyBorder="1" applyAlignment="1">
      <alignment vertical="top" wrapText="1"/>
    </xf>
    <xf numFmtId="0" fontId="104" fillId="0" borderId="15" xfId="95" applyFont="1" applyBorder="1" applyAlignment="1">
      <alignment vertical="top" wrapText="1"/>
    </xf>
    <xf numFmtId="0" fontId="104" fillId="0" borderId="15" xfId="95" applyFont="1" applyBorder="1" applyAlignment="1">
      <alignment horizontal="center" vertical="top"/>
    </xf>
    <xf numFmtId="0" fontId="104" fillId="0" borderId="16" xfId="95" applyFont="1" applyBorder="1" applyAlignment="1">
      <alignment horizontal="justify" vertical="top" wrapText="1"/>
    </xf>
    <xf numFmtId="0" fontId="104" fillId="0" borderId="18" xfId="95" applyFont="1" applyBorder="1" applyAlignment="1">
      <alignment horizontal="justify" vertical="top" wrapText="1"/>
    </xf>
    <xf numFmtId="0" fontId="105" fillId="0" borderId="15" xfId="95" applyFont="1" applyBorder="1" applyAlignment="1">
      <alignment horizontal="justify" vertical="top" wrapText="1"/>
    </xf>
    <xf numFmtId="2" fontId="104" fillId="0" borderId="16" xfId="95" applyNumberFormat="1" applyFont="1" applyBorder="1" applyAlignment="1">
      <alignment horizontal="center" vertical="top" wrapText="1"/>
    </xf>
    <xf numFmtId="2" fontId="104" fillId="0" borderId="18" xfId="95" applyNumberFormat="1" applyFont="1" applyBorder="1" applyAlignment="1">
      <alignment horizontal="center" vertical="top" wrapText="1"/>
    </xf>
    <xf numFmtId="1" fontId="105" fillId="0" borderId="16" xfId="95" applyNumberFormat="1" applyFont="1" applyBorder="1" applyAlignment="1">
      <alignment horizontal="center" vertical="top" wrapText="1"/>
    </xf>
    <xf numFmtId="1" fontId="105" fillId="0" borderId="18" xfId="95" applyNumberFormat="1" applyFont="1" applyBorder="1" applyAlignment="1">
      <alignment horizontal="center" vertical="top" wrapText="1"/>
    </xf>
    <xf numFmtId="2" fontId="104" fillId="0" borderId="15" xfId="95" applyNumberFormat="1" applyFont="1" applyBorder="1" applyAlignment="1">
      <alignment horizontal="right" vertical="top"/>
    </xf>
    <xf numFmtId="2" fontId="104" fillId="0" borderId="15" xfId="95" applyNumberFormat="1" applyFont="1" applyBorder="1" applyAlignment="1">
      <alignment horizontal="left" vertical="top"/>
    </xf>
    <xf numFmtId="2" fontId="104" fillId="0" borderId="16" xfId="95" applyNumberFormat="1" applyFont="1" applyBorder="1" applyAlignment="1">
      <alignment horizontal="right" vertical="top" wrapText="1"/>
    </xf>
    <xf numFmtId="4" fontId="104" fillId="0" borderId="18" xfId="95" applyNumberFormat="1" applyFont="1" applyBorder="1" applyAlignment="1">
      <alignment horizontal="left" vertical="top" wrapText="1"/>
    </xf>
    <xf numFmtId="1" fontId="104" fillId="0" borderId="16" xfId="95" applyNumberFormat="1" applyFont="1" applyBorder="1" applyAlignment="1">
      <alignment vertical="top" wrapText="1"/>
    </xf>
    <xf numFmtId="0" fontId="104" fillId="0" borderId="15" xfId="95" applyFont="1" applyBorder="1" applyAlignment="1">
      <alignment horizontal="left" vertical="top" wrapText="1"/>
    </xf>
    <xf numFmtId="0" fontId="104" fillId="0" borderId="18" xfId="95" applyFont="1" applyBorder="1" applyAlignment="1">
      <alignment horizontal="left" vertical="top" wrapText="1"/>
    </xf>
    <xf numFmtId="1" fontId="105" fillId="0" borderId="16" xfId="95" applyNumberFormat="1" applyFont="1" applyBorder="1" applyAlignment="1">
      <alignment vertical="top" wrapText="1"/>
    </xf>
    <xf numFmtId="2" fontId="105" fillId="0" borderId="15" xfId="95" applyNumberFormat="1" applyFont="1" applyBorder="1" applyAlignment="1">
      <alignment horizontal="right" vertical="top"/>
    </xf>
    <xf numFmtId="0" fontId="97" fillId="0" borderId="15" xfId="95" applyFont="1" applyBorder="1"/>
    <xf numFmtId="0" fontId="97" fillId="0" borderId="15" xfId="95" applyFont="1" applyBorder="1" applyAlignment="1">
      <alignment horizontal="center" vertical="top"/>
    </xf>
    <xf numFmtId="0" fontId="104" fillId="0" borderId="16" xfId="95" applyFont="1" applyBorder="1" applyAlignment="1">
      <alignment vertical="top"/>
    </xf>
    <xf numFmtId="0" fontId="104" fillId="0" borderId="15" xfId="95" applyFont="1" applyBorder="1" applyAlignment="1">
      <alignment vertical="top"/>
    </xf>
    <xf numFmtId="0" fontId="97" fillId="0" borderId="15" xfId="0" applyFont="1" applyBorder="1" applyAlignment="1">
      <alignment horizontal="justify" vertical="top" wrapText="1"/>
    </xf>
    <xf numFmtId="0" fontId="97" fillId="0" borderId="15" xfId="0" quotePrefix="1" applyFont="1" applyBorder="1" applyAlignment="1">
      <alignment horizontal="justify" vertical="top" wrapText="1"/>
    </xf>
    <xf numFmtId="167" fontId="104" fillId="0" borderId="15" xfId="95" applyNumberFormat="1" applyFont="1" applyBorder="1" applyAlignment="1">
      <alignment horizontal="center" vertical="top"/>
    </xf>
    <xf numFmtId="0" fontId="97" fillId="0" borderId="16" xfId="95" applyFont="1" applyBorder="1"/>
    <xf numFmtId="0" fontId="97" fillId="0" borderId="18" xfId="95" applyFont="1" applyBorder="1"/>
    <xf numFmtId="2" fontId="97" fillId="0" borderId="15" xfId="95" applyNumberFormat="1" applyFont="1" applyBorder="1"/>
    <xf numFmtId="0" fontId="97" fillId="0" borderId="36" xfId="95" applyFont="1" applyBorder="1"/>
    <xf numFmtId="0" fontId="97" fillId="0" borderId="36" xfId="95" applyFont="1" applyBorder="1" applyAlignment="1">
      <alignment horizontal="center" vertical="top"/>
    </xf>
    <xf numFmtId="0" fontId="104" fillId="0" borderId="36" xfId="95" applyFont="1" applyBorder="1" applyAlignment="1">
      <alignment horizontal="justify" vertical="top" wrapText="1"/>
    </xf>
    <xf numFmtId="0" fontId="104" fillId="0" borderId="35" xfId="95" applyFont="1" applyBorder="1" applyAlignment="1">
      <alignment vertical="top" wrapText="1"/>
    </xf>
    <xf numFmtId="0" fontId="104" fillId="0" borderId="34" xfId="95" applyFont="1" applyBorder="1" applyAlignment="1">
      <alignment vertical="top" wrapText="1"/>
    </xf>
    <xf numFmtId="0" fontId="104" fillId="0" borderId="36" xfId="95" applyFont="1" applyBorder="1" applyAlignment="1">
      <alignment vertical="top" wrapText="1"/>
    </xf>
    <xf numFmtId="0" fontId="97" fillId="0" borderId="8" xfId="95" applyFont="1" applyBorder="1"/>
    <xf numFmtId="0" fontId="97" fillId="0" borderId="8" xfId="95" applyFont="1" applyBorder="1" applyAlignment="1">
      <alignment horizontal="center" vertical="top"/>
    </xf>
    <xf numFmtId="2" fontId="104" fillId="0" borderId="8" xfId="95" applyNumberFormat="1" applyFont="1" applyBorder="1" applyAlignment="1">
      <alignment horizontal="left" vertical="top"/>
    </xf>
    <xf numFmtId="2" fontId="104" fillId="0" borderId="27" xfId="95" applyNumberFormat="1" applyFont="1" applyBorder="1" applyAlignment="1">
      <alignment horizontal="right" vertical="top" wrapText="1"/>
    </xf>
    <xf numFmtId="4" fontId="104" fillId="0" borderId="28" xfId="95" applyNumberFormat="1" applyFont="1" applyBorder="1" applyAlignment="1">
      <alignment horizontal="left" vertical="top" wrapText="1"/>
    </xf>
    <xf numFmtId="1" fontId="104" fillId="0" borderId="27" xfId="95" applyNumberFormat="1" applyFont="1" applyBorder="1" applyAlignment="1">
      <alignment vertical="top" wrapText="1"/>
    </xf>
    <xf numFmtId="2" fontId="104" fillId="0" borderId="8" xfId="95" applyNumberFormat="1" applyFont="1" applyBorder="1" applyAlignment="1">
      <alignment horizontal="center" vertical="top"/>
    </xf>
    <xf numFmtId="2" fontId="104" fillId="0" borderId="8" xfId="95" applyNumberFormat="1" applyFont="1" applyBorder="1" applyAlignment="1">
      <alignment horizontal="right" vertical="top"/>
    </xf>
    <xf numFmtId="0" fontId="97" fillId="0" borderId="31" xfId="95" applyFont="1" applyBorder="1"/>
    <xf numFmtId="0" fontId="97" fillId="0" borderId="31" xfId="95" applyFont="1" applyBorder="1" applyAlignment="1">
      <alignment horizontal="center" vertical="top"/>
    </xf>
    <xf numFmtId="0" fontId="104" fillId="0" borderId="31" xfId="95" applyFont="1" applyBorder="1" applyAlignment="1">
      <alignment horizontal="left" vertical="top" wrapText="1"/>
    </xf>
    <xf numFmtId="2" fontId="104" fillId="0" borderId="30" xfId="95" applyNumberFormat="1" applyFont="1" applyBorder="1" applyAlignment="1">
      <alignment horizontal="right" vertical="top" wrapText="1"/>
    </xf>
    <xf numFmtId="4" fontId="104" fillId="0" borderId="29" xfId="95" applyNumberFormat="1" applyFont="1" applyBorder="1" applyAlignment="1">
      <alignment horizontal="left" vertical="top" wrapText="1"/>
    </xf>
    <xf numFmtId="1" fontId="104" fillId="0" borderId="30" xfId="95" applyNumberFormat="1" applyFont="1" applyBorder="1" applyAlignment="1">
      <alignment vertical="top" wrapText="1"/>
    </xf>
    <xf numFmtId="2" fontId="104" fillId="0" borderId="31" xfId="95" applyNumberFormat="1" applyFont="1" applyBorder="1" applyAlignment="1">
      <alignment horizontal="center" vertical="top"/>
    </xf>
    <xf numFmtId="2" fontId="104" fillId="0" borderId="31" xfId="95" applyNumberFormat="1" applyFont="1" applyBorder="1" applyAlignment="1">
      <alignment horizontal="right" vertical="top"/>
    </xf>
    <xf numFmtId="0" fontId="97" fillId="0" borderId="40" xfId="95" applyFont="1" applyBorder="1"/>
    <xf numFmtId="0" fontId="97" fillId="0" borderId="40" xfId="95" applyFont="1" applyBorder="1" applyAlignment="1">
      <alignment horizontal="center" vertical="top"/>
    </xf>
    <xf numFmtId="0" fontId="104" fillId="0" borderId="40" xfId="95" applyFont="1" applyBorder="1" applyAlignment="1">
      <alignment horizontal="justify" vertical="top" wrapText="1"/>
    </xf>
    <xf numFmtId="0" fontId="104" fillId="0" borderId="20" xfId="95" applyFont="1" applyBorder="1" applyAlignment="1">
      <alignment vertical="top" wrapText="1"/>
    </xf>
    <xf numFmtId="0" fontId="104" fillId="0" borderId="41" xfId="95" applyFont="1" applyBorder="1" applyAlignment="1">
      <alignment vertical="top" wrapText="1"/>
    </xf>
    <xf numFmtId="0" fontId="104" fillId="0" borderId="40" xfId="95" applyFont="1" applyBorder="1" applyAlignment="1">
      <alignment vertical="top" wrapText="1"/>
    </xf>
    <xf numFmtId="2" fontId="97" fillId="0" borderId="15" xfId="0" applyNumberFormat="1" applyFont="1" applyBorder="1" applyAlignment="1">
      <alignment horizontal="right" vertical="top" wrapText="1"/>
    </xf>
    <xf numFmtId="0" fontId="104" fillId="0" borderId="8" xfId="95" applyFont="1" applyBorder="1" applyAlignment="1">
      <alignment horizontal="left" vertical="top" wrapText="1"/>
    </xf>
    <xf numFmtId="0" fontId="104" fillId="0" borderId="8" xfId="95" applyFont="1" applyBorder="1" applyAlignment="1">
      <alignment horizontal="justify" vertical="top" wrapText="1"/>
    </xf>
    <xf numFmtId="0" fontId="104" fillId="0" borderId="27" xfId="95" applyFont="1" applyBorder="1" applyAlignment="1">
      <alignment vertical="top" wrapText="1"/>
    </xf>
    <xf numFmtId="0" fontId="104" fillId="0" borderId="28" xfId="95" applyFont="1" applyBorder="1" applyAlignment="1">
      <alignment vertical="top" wrapText="1"/>
    </xf>
    <xf numFmtId="0" fontId="104" fillId="0" borderId="8" xfId="95" applyFont="1" applyBorder="1" applyAlignment="1">
      <alignment vertical="top" wrapText="1"/>
    </xf>
    <xf numFmtId="2" fontId="104" fillId="0" borderId="15" xfId="95" applyNumberFormat="1" applyFont="1" applyBorder="1" applyAlignment="1">
      <alignment horizontal="center" vertical="top" wrapText="1"/>
    </xf>
    <xf numFmtId="2" fontId="104" fillId="0" borderId="15" xfId="95" applyNumberFormat="1" applyFont="1" applyBorder="1" applyAlignment="1">
      <alignment vertical="top"/>
    </xf>
    <xf numFmtId="1" fontId="104" fillId="0" borderId="16" xfId="95" applyNumberFormat="1" applyFont="1" applyBorder="1" applyAlignment="1">
      <alignment horizontal="right" vertical="top" wrapText="1"/>
    </xf>
    <xf numFmtId="2" fontId="104" fillId="0" borderId="15" xfId="95" applyNumberFormat="1" applyFont="1" applyBorder="1" applyAlignment="1">
      <alignment horizontal="justify" vertical="top"/>
    </xf>
    <xf numFmtId="167" fontId="104" fillId="0" borderId="16" xfId="95" applyNumberFormat="1" applyFont="1" applyBorder="1" applyAlignment="1">
      <alignment horizontal="right" vertical="top" wrapText="1"/>
    </xf>
    <xf numFmtId="2" fontId="105" fillId="0" borderId="16" xfId="95" applyNumberFormat="1" applyFont="1" applyBorder="1" applyAlignment="1">
      <alignment vertical="top" wrapText="1"/>
    </xf>
    <xf numFmtId="0" fontId="105" fillId="0" borderId="18" xfId="95" applyFont="1" applyBorder="1" applyAlignment="1">
      <alignment horizontal="left" vertical="top" wrapText="1"/>
    </xf>
    <xf numFmtId="2" fontId="105" fillId="0" borderId="15" xfId="95" applyNumberFormat="1" applyFont="1" applyBorder="1" applyAlignment="1">
      <alignment horizontal="center" vertical="top"/>
    </xf>
    <xf numFmtId="2" fontId="104" fillId="0" borderId="40" xfId="95" applyNumberFormat="1" applyFont="1" applyBorder="1" applyAlignment="1">
      <alignment horizontal="center" vertical="top" wrapText="1"/>
    </xf>
    <xf numFmtId="0" fontId="104" fillId="0" borderId="40" xfId="95" applyFont="1" applyBorder="1" applyAlignment="1">
      <alignment horizontal="center" vertical="top"/>
    </xf>
    <xf numFmtId="0" fontId="104" fillId="0" borderId="20" xfId="95" applyFont="1" applyBorder="1" applyAlignment="1">
      <alignment horizontal="justify" vertical="top" wrapText="1"/>
    </xf>
    <xf numFmtId="0" fontId="104" fillId="0" borderId="41" xfId="95" applyFont="1" applyBorder="1" applyAlignment="1">
      <alignment horizontal="justify" vertical="top" wrapText="1"/>
    </xf>
    <xf numFmtId="2" fontId="104" fillId="0" borderId="36" xfId="95" applyNumberFormat="1" applyFont="1" applyBorder="1" applyAlignment="1">
      <alignment horizontal="center" vertical="top"/>
    </xf>
    <xf numFmtId="0" fontId="104" fillId="0" borderId="36" xfId="95" applyFont="1" applyBorder="1" applyAlignment="1">
      <alignment horizontal="center" vertical="top"/>
    </xf>
    <xf numFmtId="0" fontId="104" fillId="0" borderId="35" xfId="95" applyFont="1" applyBorder="1" applyAlignment="1">
      <alignment horizontal="justify" vertical="top" wrapText="1"/>
    </xf>
    <xf numFmtId="0" fontId="104" fillId="0" borderId="34" xfId="95" applyFont="1" applyBorder="1" applyAlignment="1">
      <alignment horizontal="justify" vertical="top" wrapText="1"/>
    </xf>
    <xf numFmtId="0" fontId="104" fillId="0" borderId="8" xfId="95" applyFont="1" applyBorder="1" applyAlignment="1">
      <alignment horizontal="center" vertical="top" wrapText="1"/>
    </xf>
    <xf numFmtId="0" fontId="104" fillId="0" borderId="28" xfId="95" applyFont="1" applyBorder="1" applyAlignment="1">
      <alignment horizontal="left" vertical="top" wrapText="1"/>
    </xf>
    <xf numFmtId="2" fontId="104" fillId="0" borderId="8" xfId="95" applyNumberFormat="1" applyFont="1" applyBorder="1" applyAlignment="1">
      <alignment vertical="top"/>
    </xf>
    <xf numFmtId="167" fontId="104" fillId="0" borderId="27" xfId="95" applyNumberFormat="1" applyFont="1" applyBorder="1" applyAlignment="1">
      <alignment horizontal="right" vertical="top" wrapText="1"/>
    </xf>
    <xf numFmtId="2" fontId="104" fillId="0" borderId="8" xfId="95" applyNumberFormat="1" applyFont="1" applyBorder="1" applyAlignment="1">
      <alignment horizontal="justify" vertical="top" wrapText="1"/>
    </xf>
    <xf numFmtId="1" fontId="104" fillId="0" borderId="27" xfId="95" applyNumberFormat="1" applyFont="1" applyBorder="1" applyAlignment="1">
      <alignment horizontal="right" vertical="top" wrapText="1"/>
    </xf>
    <xf numFmtId="0" fontId="104" fillId="0" borderId="27" xfId="95" applyFont="1" applyBorder="1" applyAlignment="1">
      <alignment vertical="top"/>
    </xf>
    <xf numFmtId="2" fontId="105" fillId="0" borderId="27" xfId="95" applyNumberFormat="1" applyFont="1" applyBorder="1" applyAlignment="1">
      <alignment vertical="top" wrapText="1"/>
    </xf>
    <xf numFmtId="0" fontId="105" fillId="0" borderId="28" xfId="95" applyFont="1" applyBorder="1" applyAlignment="1">
      <alignment horizontal="left" vertical="top" wrapText="1"/>
    </xf>
    <xf numFmtId="2" fontId="105" fillId="0" borderId="8" xfId="95" applyNumberFormat="1" applyFont="1" applyBorder="1" applyAlignment="1">
      <alignment horizontal="center" vertical="top"/>
    </xf>
    <xf numFmtId="0" fontId="104" fillId="0" borderId="8" xfId="95" applyFont="1" applyBorder="1" applyAlignment="1">
      <alignment horizontal="center" vertical="top"/>
    </xf>
    <xf numFmtId="0" fontId="104" fillId="0" borderId="27" xfId="95" applyFont="1" applyBorder="1" applyAlignment="1">
      <alignment horizontal="justify" vertical="top" wrapText="1"/>
    </xf>
    <xf numFmtId="0" fontId="104" fillId="0" borderId="28" xfId="95" applyFont="1" applyBorder="1" applyAlignment="1">
      <alignment horizontal="justify" vertical="top" wrapText="1"/>
    </xf>
    <xf numFmtId="0" fontId="104" fillId="0" borderId="31" xfId="95" applyFont="1" applyBorder="1" applyAlignment="1">
      <alignment horizontal="center" vertical="top"/>
    </xf>
    <xf numFmtId="0" fontId="104" fillId="0" borderId="31" xfId="95" applyFont="1" applyBorder="1" applyAlignment="1">
      <alignment horizontal="center" vertical="top" wrapText="1"/>
    </xf>
    <xf numFmtId="0" fontId="104" fillId="0" borderId="31" xfId="95" applyFont="1" applyBorder="1" applyAlignment="1">
      <alignment horizontal="justify" vertical="top" wrapText="1"/>
    </xf>
    <xf numFmtId="0" fontId="104" fillId="0" borderId="29" xfId="95" applyFont="1" applyBorder="1" applyAlignment="1">
      <alignment horizontal="left" vertical="top" wrapText="1"/>
    </xf>
    <xf numFmtId="2" fontId="105" fillId="0" borderId="31" xfId="95" applyNumberFormat="1" applyFont="1" applyBorder="1" applyAlignment="1">
      <alignment horizontal="center" vertical="top"/>
    </xf>
    <xf numFmtId="2" fontId="104" fillId="0" borderId="31" xfId="95" applyNumberFormat="1" applyFont="1" applyBorder="1" applyAlignment="1">
      <alignment vertical="top"/>
    </xf>
    <xf numFmtId="2" fontId="104" fillId="0" borderId="16" xfId="95" applyNumberFormat="1" applyFont="1" applyBorder="1" applyAlignment="1">
      <alignment horizontal="justify" vertical="top" wrapText="1"/>
    </xf>
    <xf numFmtId="0" fontId="104" fillId="0" borderId="15" xfId="95" applyFont="1" applyBorder="1" applyAlignment="1">
      <alignment horizontal="left" vertical="top"/>
    </xf>
    <xf numFmtId="10" fontId="104" fillId="0" borderId="15" xfId="95" applyNumberFormat="1" applyFont="1" applyBorder="1" applyAlignment="1">
      <alignment horizontal="center" vertical="top"/>
    </xf>
    <xf numFmtId="0" fontId="104" fillId="0" borderId="37" xfId="95" applyFont="1" applyBorder="1" applyAlignment="1">
      <alignment horizontal="center" vertical="top"/>
    </xf>
    <xf numFmtId="0" fontId="104" fillId="0" borderId="37" xfId="95" applyFont="1" applyBorder="1" applyAlignment="1">
      <alignment horizontal="center" vertical="top" wrapText="1"/>
    </xf>
    <xf numFmtId="0" fontId="105" fillId="0" borderId="37" xfId="95" applyFont="1" applyBorder="1" applyAlignment="1">
      <alignment horizontal="justify" vertical="top" wrapText="1"/>
    </xf>
    <xf numFmtId="0" fontId="104" fillId="0" borderId="38" xfId="95" applyFont="1" applyBorder="1" applyAlignment="1">
      <alignment vertical="top" wrapText="1"/>
    </xf>
    <xf numFmtId="0" fontId="104" fillId="0" borderId="39" xfId="95" applyFont="1" applyBorder="1" applyAlignment="1">
      <alignment vertical="top" wrapText="1"/>
    </xf>
    <xf numFmtId="0" fontId="104" fillId="0" borderId="39" xfId="95" applyFont="1" applyBorder="1" applyAlignment="1">
      <alignment vertical="top"/>
    </xf>
    <xf numFmtId="2" fontId="105" fillId="0" borderId="37" xfId="95" applyNumberFormat="1" applyFont="1" applyBorder="1" applyAlignment="1">
      <alignment horizontal="center" vertical="top"/>
    </xf>
    <xf numFmtId="2" fontId="104" fillId="0" borderId="37" xfId="95" applyNumberFormat="1" applyFont="1" applyBorder="1" applyAlignment="1">
      <alignment vertical="top"/>
    </xf>
    <xf numFmtId="2" fontId="104" fillId="0" borderId="15" xfId="95" applyNumberFormat="1" applyFont="1" applyBorder="1" applyAlignment="1">
      <alignment horizontal="right" vertical="top" wrapText="1"/>
    </xf>
    <xf numFmtId="0" fontId="104" fillId="0" borderId="18" xfId="95" applyFont="1" applyBorder="1" applyAlignment="1">
      <alignment vertical="top"/>
    </xf>
    <xf numFmtId="10" fontId="104" fillId="0" borderId="8" xfId="95" applyNumberFormat="1" applyFont="1" applyBorder="1" applyAlignment="1">
      <alignment horizontal="center" vertical="top"/>
    </xf>
    <xf numFmtId="0" fontId="105" fillId="0" borderId="31" xfId="95" applyFont="1" applyBorder="1" applyAlignment="1">
      <alignment horizontal="justify" vertical="top" wrapText="1"/>
    </xf>
    <xf numFmtId="0" fontId="104" fillId="0" borderId="30" xfId="95" applyFont="1" applyBorder="1" applyAlignment="1">
      <alignment vertical="top" wrapText="1"/>
    </xf>
    <xf numFmtId="0" fontId="104" fillId="0" borderId="29" xfId="95" applyFont="1" applyBorder="1" applyAlignment="1">
      <alignment vertical="top" wrapText="1"/>
    </xf>
    <xf numFmtId="0" fontId="104" fillId="0" borderId="29" xfId="95" applyFont="1" applyBorder="1" applyAlignment="1">
      <alignment vertical="top"/>
    </xf>
    <xf numFmtId="167" fontId="104" fillId="0" borderId="15" xfId="95" applyNumberFormat="1" applyFont="1" applyBorder="1" applyAlignment="1">
      <alignment horizontal="right" vertical="top" wrapText="1"/>
    </xf>
    <xf numFmtId="4" fontId="104" fillId="0" borderId="15" xfId="95" applyNumberFormat="1" applyFont="1" applyBorder="1" applyAlignment="1">
      <alignment horizontal="left" vertical="top" wrapText="1"/>
    </xf>
    <xf numFmtId="0" fontId="104" fillId="0" borderId="8" xfId="95" applyFont="1" applyBorder="1" applyAlignment="1">
      <alignment horizontal="left" vertical="top"/>
    </xf>
    <xf numFmtId="0" fontId="97" fillId="0" borderId="37" xfId="95" applyFont="1" applyBorder="1"/>
    <xf numFmtId="0" fontId="97" fillId="0" borderId="37" xfId="95" applyFont="1" applyBorder="1" applyAlignment="1">
      <alignment horizontal="center" vertical="top"/>
    </xf>
    <xf numFmtId="0" fontId="104" fillId="0" borderId="37" xfId="95" applyFont="1" applyBorder="1" applyAlignment="1">
      <alignment horizontal="left" vertical="top" wrapText="1"/>
    </xf>
    <xf numFmtId="2" fontId="104" fillId="0" borderId="38" xfId="95" applyNumberFormat="1" applyFont="1" applyBorder="1" applyAlignment="1">
      <alignment horizontal="right" vertical="top" wrapText="1"/>
    </xf>
    <xf numFmtId="4" fontId="104" fillId="0" borderId="39" xfId="95" applyNumberFormat="1" applyFont="1" applyBorder="1" applyAlignment="1">
      <alignment horizontal="left" vertical="top" wrapText="1"/>
    </xf>
    <xf numFmtId="1" fontId="104" fillId="0" borderId="38" xfId="95" applyNumberFormat="1" applyFont="1" applyBorder="1" applyAlignment="1">
      <alignment vertical="top" wrapText="1"/>
    </xf>
    <xf numFmtId="2" fontId="104" fillId="0" borderId="37" xfId="95" applyNumberFormat="1" applyFont="1" applyBorder="1" applyAlignment="1">
      <alignment horizontal="center" vertical="top"/>
    </xf>
    <xf numFmtId="2" fontId="104" fillId="0" borderId="37" xfId="95" applyNumberFormat="1" applyFont="1" applyBorder="1" applyAlignment="1">
      <alignment horizontal="right" vertical="top"/>
    </xf>
    <xf numFmtId="0" fontId="104" fillId="0" borderId="16" xfId="95" applyFont="1" applyBorder="1" applyAlignment="1">
      <alignment horizontal="right" vertical="top" wrapText="1"/>
    </xf>
    <xf numFmtId="0" fontId="105" fillId="0" borderId="15" xfId="95" applyFont="1" applyBorder="1" applyAlignment="1">
      <alignment horizontal="center" vertical="top" wrapText="1"/>
    </xf>
    <xf numFmtId="2" fontId="105" fillId="0" borderId="16" xfId="95" applyNumberFormat="1" applyFont="1" applyBorder="1" applyAlignment="1">
      <alignment horizontal="right" vertical="top" wrapText="1"/>
    </xf>
    <xf numFmtId="0" fontId="105" fillId="0" borderId="18" xfId="95" applyFont="1" applyBorder="1" applyAlignment="1">
      <alignment horizontal="justify" vertical="top" wrapText="1"/>
    </xf>
    <xf numFmtId="2" fontId="105" fillId="0" borderId="15" xfId="95" applyNumberFormat="1" applyFont="1" applyBorder="1" applyAlignment="1">
      <alignment vertical="top"/>
    </xf>
    <xf numFmtId="0" fontId="104" fillId="0" borderId="40" xfId="95" applyFont="1" applyBorder="1" applyAlignment="1">
      <alignment horizontal="center" vertical="top" wrapText="1"/>
    </xf>
    <xf numFmtId="2" fontId="104" fillId="0" borderId="16" xfId="95" applyNumberFormat="1" applyFont="1" applyBorder="1" applyAlignment="1">
      <alignment horizontal="left" vertical="top"/>
    </xf>
    <xf numFmtId="4" fontId="104" fillId="0" borderId="18" xfId="95" applyNumberFormat="1" applyFont="1" applyBorder="1" applyAlignment="1">
      <alignment horizontal="left" vertical="top"/>
    </xf>
    <xf numFmtId="9" fontId="104" fillId="0" borderId="16" xfId="95" applyNumberFormat="1" applyFont="1" applyBorder="1" applyAlignment="1">
      <alignment vertical="top"/>
    </xf>
    <xf numFmtId="0" fontId="87" fillId="0" borderId="0" xfId="0" applyFont="1" applyAlignment="1">
      <alignment horizontal="justify" vertical="top" wrapText="1"/>
    </xf>
    <xf numFmtId="172" fontId="94" fillId="0" borderId="15" xfId="0" applyNumberFormat="1" applyFont="1" applyBorder="1" applyAlignment="1">
      <alignment horizontal="center" vertical="top" wrapText="1"/>
    </xf>
    <xf numFmtId="172" fontId="87" fillId="0" borderId="0" xfId="0" applyNumberFormat="1" applyFont="1" applyAlignment="1">
      <alignment horizontal="center" vertical="top" wrapText="1"/>
    </xf>
    <xf numFmtId="167" fontId="87" fillId="0" borderId="15" xfId="0" applyNumberFormat="1" applyFont="1" applyBorder="1" applyAlignment="1">
      <alignment horizontal="center" vertical="top" shrinkToFit="1"/>
    </xf>
    <xf numFmtId="2" fontId="94" fillId="0" borderId="15" xfId="0" applyNumberFormat="1" applyFont="1" applyBorder="1" applyAlignment="1">
      <alignment horizontal="right" vertical="top" shrinkToFit="1"/>
    </xf>
    <xf numFmtId="172" fontId="94" fillId="0" borderId="0" xfId="0" applyNumberFormat="1" applyFont="1" applyAlignment="1">
      <alignment horizontal="center" vertical="top" wrapText="1"/>
    </xf>
    <xf numFmtId="2" fontId="87" fillId="0" borderId="15" xfId="0" applyNumberFormat="1" applyFont="1" applyBorder="1" applyAlignment="1">
      <alignment vertical="top" shrinkToFit="1"/>
    </xf>
    <xf numFmtId="179" fontId="87" fillId="0" borderId="0" xfId="0" applyNumberFormat="1" applyFont="1" applyAlignment="1">
      <alignment horizontal="justify" vertical="top" wrapText="1"/>
    </xf>
    <xf numFmtId="2" fontId="87" fillId="0" borderId="0" xfId="178" applyNumberFormat="1" applyFont="1" applyAlignment="1">
      <alignment horizontal="center" vertical="top"/>
    </xf>
    <xf numFmtId="0" fontId="87" fillId="45" borderId="0" xfId="0" applyFont="1" applyFill="1" applyAlignment="1">
      <alignment vertical="top"/>
    </xf>
    <xf numFmtId="0" fontId="87" fillId="45" borderId="15" xfId="0" applyFont="1" applyFill="1" applyBorder="1" applyAlignment="1">
      <alignment horizontal="center" vertical="top"/>
    </xf>
    <xf numFmtId="0" fontId="87" fillId="45" borderId="16" xfId="0" applyFont="1" applyFill="1" applyBorder="1" applyAlignment="1">
      <alignment horizontal="right" vertical="top"/>
    </xf>
    <xf numFmtId="0" fontId="87" fillId="45" borderId="18" xfId="0" applyFont="1" applyFill="1" applyBorder="1" applyAlignment="1">
      <alignment horizontal="right" vertical="top"/>
    </xf>
    <xf numFmtId="1" fontId="87" fillId="45" borderId="15" xfId="0" applyNumberFormat="1" applyFont="1" applyFill="1" applyBorder="1" applyAlignment="1">
      <alignment horizontal="center" vertical="top"/>
    </xf>
    <xf numFmtId="0" fontId="87" fillId="45" borderId="15" xfId="0" applyFont="1" applyFill="1" applyBorder="1" applyAlignment="1">
      <alignment horizontal="right" vertical="top"/>
    </xf>
    <xf numFmtId="2" fontId="92" fillId="45" borderId="16" xfId="0" applyNumberFormat="1" applyFont="1" applyFill="1" applyBorder="1" applyAlignment="1">
      <alignment horizontal="right" vertical="top"/>
    </xf>
    <xf numFmtId="2" fontId="92" fillId="45" borderId="17" xfId="0" applyNumberFormat="1" applyFont="1" applyFill="1" applyBorder="1" applyAlignment="1">
      <alignment vertical="top"/>
    </xf>
    <xf numFmtId="0" fontId="87" fillId="45" borderId="15" xfId="0" applyFont="1" applyFill="1" applyBorder="1" applyAlignment="1">
      <alignment vertical="top"/>
    </xf>
    <xf numFmtId="0" fontId="93" fillId="45" borderId="0" xfId="0" applyFont="1" applyFill="1" applyAlignment="1">
      <alignment vertical="top"/>
    </xf>
    <xf numFmtId="0" fontId="87" fillId="45" borderId="15" xfId="0" applyFont="1" applyFill="1" applyBorder="1" applyAlignment="1">
      <alignment horizontal="left" vertical="top" wrapText="1"/>
    </xf>
    <xf numFmtId="0" fontId="87" fillId="45" borderId="17" xfId="0" applyFont="1" applyFill="1" applyBorder="1" applyAlignment="1">
      <alignment horizontal="center" vertical="top"/>
    </xf>
    <xf numFmtId="0" fontId="87" fillId="45" borderId="18" xfId="0" applyFont="1" applyFill="1" applyBorder="1" applyAlignment="1">
      <alignment horizontal="left" vertical="top"/>
    </xf>
    <xf numFmtId="2" fontId="87" fillId="45" borderId="15" xfId="0" applyNumberFormat="1" applyFont="1" applyFill="1" applyBorder="1" applyAlignment="1">
      <alignment horizontal="center" vertical="top"/>
    </xf>
    <xf numFmtId="0" fontId="87" fillId="45" borderId="15" xfId="1274" applyFont="1" applyFill="1" applyBorder="1" applyAlignment="1">
      <alignment vertical="top" wrapText="1"/>
    </xf>
    <xf numFmtId="1" fontId="87" fillId="45" borderId="16" xfId="1274" applyNumberFormat="1" applyFont="1" applyFill="1" applyBorder="1" applyAlignment="1">
      <alignment horizontal="right" vertical="top" wrapText="1"/>
    </xf>
    <xf numFmtId="1" fontId="87" fillId="45" borderId="17" xfId="1274" applyNumberFormat="1" applyFont="1" applyFill="1" applyBorder="1" applyAlignment="1">
      <alignment horizontal="center" vertical="top" wrapText="1"/>
    </xf>
    <xf numFmtId="1" fontId="87" fillId="45" borderId="18" xfId="1274" applyNumberFormat="1" applyFont="1" applyFill="1" applyBorder="1" applyAlignment="1">
      <alignment horizontal="left" vertical="top" wrapText="1"/>
    </xf>
    <xf numFmtId="167" fontId="87" fillId="45" borderId="15" xfId="1274" applyNumberFormat="1" applyFont="1" applyFill="1" applyBorder="1" applyAlignment="1">
      <alignment horizontal="center" vertical="top" wrapText="1"/>
    </xf>
    <xf numFmtId="2" fontId="87" fillId="45" borderId="16" xfId="0" applyNumberFormat="1" applyFont="1" applyFill="1" applyBorder="1" applyAlignment="1">
      <alignment horizontal="right" vertical="top"/>
    </xf>
    <xf numFmtId="0" fontId="87" fillId="45" borderId="16" xfId="0" applyFont="1" applyFill="1" applyBorder="1" applyAlignment="1">
      <alignment vertical="top"/>
    </xf>
    <xf numFmtId="0" fontId="87" fillId="45" borderId="17" xfId="0" applyFont="1" applyFill="1" applyBorder="1" applyAlignment="1">
      <alignment vertical="top"/>
    </xf>
    <xf numFmtId="167" fontId="87" fillId="45" borderId="15" xfId="0" applyNumberFormat="1" applyFont="1" applyFill="1" applyBorder="1" applyAlignment="1">
      <alignment horizontal="center" vertical="top"/>
    </xf>
    <xf numFmtId="167" fontId="87" fillId="45" borderId="15" xfId="0" applyNumberFormat="1" applyFont="1" applyFill="1" applyBorder="1" applyAlignment="1">
      <alignment vertical="top"/>
    </xf>
    <xf numFmtId="2" fontId="92" fillId="45" borderId="18" xfId="0" applyNumberFormat="1" applyFont="1" applyFill="1" applyBorder="1" applyAlignment="1">
      <alignment vertical="top"/>
    </xf>
    <xf numFmtId="2" fontId="87" fillId="45" borderId="15" xfId="0" applyNumberFormat="1" applyFont="1" applyFill="1" applyBorder="1" applyAlignment="1">
      <alignment horizontal="right" vertical="top"/>
    </xf>
    <xf numFmtId="0" fontId="88" fillId="0" borderId="15" xfId="0" applyFont="1" applyBorder="1" applyAlignment="1">
      <alignment horizontal="center" vertical="center" wrapText="1"/>
    </xf>
    <xf numFmtId="1" fontId="88" fillId="0" borderId="15" xfId="0" applyNumberFormat="1" applyFont="1" applyBorder="1" applyAlignment="1">
      <alignment horizontal="center" vertical="center" wrapText="1"/>
    </xf>
    <xf numFmtId="0" fontId="88" fillId="0" borderId="0" xfId="0" applyFont="1" applyAlignment="1">
      <alignment vertical="center" wrapText="1"/>
    </xf>
    <xf numFmtId="167" fontId="88" fillId="0" borderId="15" xfId="0" applyNumberFormat="1" applyFont="1" applyBorder="1" applyAlignment="1">
      <alignment horizontal="center" vertical="center" wrapText="1"/>
    </xf>
    <xf numFmtId="0" fontId="88" fillId="0" borderId="16" xfId="0" applyFont="1" applyBorder="1" applyAlignment="1">
      <alignment vertical="center" wrapText="1"/>
    </xf>
    <xf numFmtId="0" fontId="88" fillId="0" borderId="18" xfId="0" applyFont="1" applyBorder="1" applyAlignment="1">
      <alignment vertical="center" wrapText="1"/>
    </xf>
    <xf numFmtId="2" fontId="91" fillId="0" borderId="15" xfId="0" applyNumberFormat="1" applyFont="1" applyBorder="1" applyAlignment="1">
      <alignment horizontal="left" vertical="top"/>
    </xf>
    <xf numFmtId="0" fontId="87" fillId="0" borderId="16" xfId="0" applyFont="1" applyBorder="1" applyAlignment="1">
      <alignment horizontal="right" vertical="top" wrapText="1"/>
    </xf>
    <xf numFmtId="0" fontId="87" fillId="0" borderId="17" xfId="0" applyFont="1" applyBorder="1" applyAlignment="1">
      <alignment horizontal="right" vertical="top" wrapText="1"/>
    </xf>
    <xf numFmtId="0" fontId="87" fillId="0" borderId="16" xfId="0" applyFont="1" applyBorder="1" applyAlignment="1">
      <alignment horizontal="right" vertical="center" wrapText="1"/>
    </xf>
    <xf numFmtId="0" fontId="87" fillId="0" borderId="17" xfId="0" applyFont="1" applyBorder="1" applyAlignment="1">
      <alignment horizontal="center" vertical="center" wrapText="1"/>
    </xf>
    <xf numFmtId="1" fontId="87" fillId="0" borderId="18" xfId="0" applyNumberFormat="1" applyFont="1" applyBorder="1" applyAlignment="1">
      <alignment horizontal="left" vertical="center" wrapText="1"/>
    </xf>
    <xf numFmtId="167" fontId="87" fillId="0" borderId="15" xfId="0" applyNumberFormat="1" applyFont="1" applyBorder="1" applyAlignment="1">
      <alignment horizontal="center" vertical="center" wrapText="1"/>
    </xf>
    <xf numFmtId="167" fontId="92" fillId="0" borderId="16" xfId="0" applyNumberFormat="1" applyFont="1" applyBorder="1" applyAlignment="1">
      <alignment horizontal="right" vertical="top"/>
    </xf>
    <xf numFmtId="2" fontId="90" fillId="0" borderId="15" xfId="0" applyNumberFormat="1" applyFont="1" applyBorder="1" applyAlignment="1">
      <alignment horizontal="center" vertical="top"/>
    </xf>
    <xf numFmtId="2" fontId="87" fillId="0" borderId="15" xfId="0" applyNumberFormat="1" applyFont="1" applyBorder="1" applyAlignment="1">
      <alignment horizontal="left" vertical="top"/>
    </xf>
    <xf numFmtId="0" fontId="87" fillId="0" borderId="20" xfId="126" applyFont="1" applyBorder="1" applyAlignment="1">
      <alignment horizontal="left" vertical="justify" wrapText="1"/>
    </xf>
    <xf numFmtId="0" fontId="87" fillId="0" borderId="16" xfId="138" applyFont="1" applyBorder="1" applyAlignment="1">
      <alignment horizontal="right"/>
    </xf>
    <xf numFmtId="0" fontId="87" fillId="0" borderId="17" xfId="138" applyFont="1" applyBorder="1" applyAlignment="1">
      <alignment horizontal="center"/>
    </xf>
    <xf numFmtId="0" fontId="87" fillId="0" borderId="18" xfId="138" applyFont="1" applyBorder="1" applyAlignment="1">
      <alignment horizontal="left"/>
    </xf>
    <xf numFmtId="2" fontId="87" fillId="0" borderId="15" xfId="138" applyNumberFormat="1" applyFont="1" applyBorder="1" applyAlignment="1">
      <alignment horizontal="center"/>
    </xf>
    <xf numFmtId="1" fontId="87" fillId="0" borderId="17" xfId="1274" applyNumberFormat="1" applyFont="1" applyBorder="1" applyAlignment="1">
      <alignment horizontal="right" vertical="top" wrapText="1"/>
    </xf>
    <xf numFmtId="167" fontId="87" fillId="0" borderId="16" xfId="0" applyNumberFormat="1" applyFont="1" applyBorder="1" applyAlignment="1">
      <alignment horizontal="right" vertical="top"/>
    </xf>
    <xf numFmtId="0" fontId="87" fillId="0" borderId="18" xfId="0" applyFont="1" applyBorder="1" applyAlignment="1">
      <alignment horizontal="left" vertical="top" wrapText="1"/>
    </xf>
    <xf numFmtId="167" fontId="87" fillId="0" borderId="15" xfId="0" applyNumberFormat="1" applyFont="1" applyBorder="1" applyAlignment="1">
      <alignment horizontal="justify" vertical="top" wrapText="1"/>
    </xf>
    <xf numFmtId="2" fontId="87" fillId="0" borderId="18" xfId="0" applyNumberFormat="1" applyFont="1" applyBorder="1" applyAlignment="1">
      <alignment horizontal="right" vertical="top"/>
    </xf>
    <xf numFmtId="2" fontId="94" fillId="0" borderId="15" xfId="0" applyNumberFormat="1" applyFont="1" applyBorder="1" applyAlignment="1">
      <alignment horizontal="right" vertical="top"/>
    </xf>
    <xf numFmtId="0" fontId="87" fillId="0" borderId="15" xfId="94" applyFont="1" applyBorder="1" applyAlignment="1">
      <alignment horizontal="center" vertical="top"/>
    </xf>
    <xf numFmtId="0" fontId="87" fillId="0" borderId="15" xfId="94" applyFont="1" applyBorder="1" applyAlignment="1">
      <alignment horizontal="justify" vertical="top" wrapText="1"/>
    </xf>
    <xf numFmtId="0" fontId="87" fillId="0" borderId="18" xfId="94" applyFont="1" applyBorder="1" applyAlignment="1">
      <alignment horizontal="right" vertical="top"/>
    </xf>
    <xf numFmtId="2" fontId="87" fillId="0" borderId="15" xfId="94" applyNumberFormat="1" applyFont="1" applyBorder="1" applyAlignment="1">
      <alignment horizontal="right" vertical="top"/>
    </xf>
    <xf numFmtId="0" fontId="87" fillId="0" borderId="0" xfId="94" applyFont="1" applyAlignment="1">
      <alignment vertical="top"/>
    </xf>
    <xf numFmtId="2" fontId="94" fillId="0" borderId="15" xfId="94" applyNumberFormat="1" applyFont="1" applyBorder="1" applyAlignment="1">
      <alignment horizontal="right" vertical="top"/>
    </xf>
    <xf numFmtId="1" fontId="87" fillId="0" borderId="16" xfId="94" applyNumberFormat="1" applyFont="1" applyBorder="1" applyAlignment="1">
      <alignment horizontal="right" vertical="top"/>
    </xf>
    <xf numFmtId="2" fontId="87" fillId="0" borderId="0" xfId="94" applyNumberFormat="1" applyFont="1" applyAlignment="1">
      <alignment vertical="top"/>
    </xf>
    <xf numFmtId="0" fontId="87" fillId="0" borderId="0" xfId="0" applyFont="1" applyAlignment="1">
      <alignment horizontal="left" vertical="top"/>
    </xf>
    <xf numFmtId="167" fontId="87" fillId="0" borderId="0" xfId="0" applyNumberFormat="1" applyFont="1" applyAlignment="1">
      <alignment horizontal="center" vertical="top"/>
    </xf>
    <xf numFmtId="167" fontId="87" fillId="0" borderId="0" xfId="0" applyNumberFormat="1" applyFont="1" applyAlignment="1">
      <alignment vertical="top"/>
    </xf>
    <xf numFmtId="1" fontId="87" fillId="0" borderId="0" xfId="0" applyNumberFormat="1" applyFont="1" applyAlignment="1">
      <alignment horizontal="center" vertical="top"/>
    </xf>
    <xf numFmtId="2" fontId="87" fillId="0" borderId="0" xfId="0" applyNumberFormat="1" applyFont="1" applyAlignment="1">
      <alignment horizontal="right" vertical="top"/>
    </xf>
    <xf numFmtId="0" fontId="95" fillId="0" borderId="0" xfId="95" applyFont="1" applyAlignment="1">
      <alignment horizontal="right" vertical="top"/>
    </xf>
    <xf numFmtId="0" fontId="95" fillId="0" borderId="0" xfId="95" applyFont="1" applyAlignment="1">
      <alignment horizontal="center" vertical="top"/>
    </xf>
    <xf numFmtId="1" fontId="95" fillId="0" borderId="0" xfId="0" applyNumberFormat="1" applyFont="1" applyAlignment="1">
      <alignment horizontal="center" vertical="top"/>
    </xf>
    <xf numFmtId="2" fontId="87" fillId="0" borderId="0" xfId="0" applyNumberFormat="1" applyFont="1" applyAlignment="1">
      <alignment horizontal="center" vertical="top"/>
    </xf>
    <xf numFmtId="0" fontId="59" fillId="0" borderId="0" xfId="121" applyFont="1" applyAlignment="1">
      <alignment horizontal="center" vertical="center"/>
    </xf>
    <xf numFmtId="0" fontId="64" fillId="0" borderId="0" xfId="121" applyFont="1" applyAlignment="1">
      <alignment horizontal="left" vertical="center" wrapText="1"/>
    </xf>
    <xf numFmtId="0" fontId="67" fillId="0" borderId="0" xfId="121" applyFont="1" applyAlignment="1">
      <alignment horizontal="left" vertical="center"/>
    </xf>
    <xf numFmtId="0" fontId="67" fillId="0" borderId="0" xfId="121" applyFont="1" applyAlignment="1">
      <alignment horizontal="left" vertical="center" wrapText="1"/>
    </xf>
    <xf numFmtId="0" fontId="15" fillId="0" borderId="0" xfId="121"/>
    <xf numFmtId="0" fontId="59" fillId="0" borderId="0" xfId="121" applyFont="1" applyAlignment="1">
      <alignment horizontal="center" textRotation="90"/>
    </xf>
    <xf numFmtId="0" fontId="59" fillId="0" borderId="0" xfId="121" applyFont="1" applyAlignment="1">
      <alignment vertical="center" textRotation="90"/>
    </xf>
    <xf numFmtId="0" fontId="60" fillId="0" borderId="0" xfId="121" applyFont="1" applyAlignment="1">
      <alignment horizontal="center" vertical="center"/>
    </xf>
    <xf numFmtId="0" fontId="62" fillId="0" borderId="0" xfId="121" applyFont="1" applyAlignment="1">
      <alignment horizontal="center" vertical="center"/>
    </xf>
    <xf numFmtId="0" fontId="63" fillId="0" borderId="0" xfId="121" applyFont="1"/>
    <xf numFmtId="0" fontId="66" fillId="0" borderId="0" xfId="121" applyFont="1" applyAlignment="1">
      <alignment horizontal="left" vertical="top"/>
    </xf>
    <xf numFmtId="0" fontId="69" fillId="0" borderId="0" xfId="121" applyFont="1" applyAlignment="1">
      <alignment horizontal="center"/>
    </xf>
    <xf numFmtId="0" fontId="65" fillId="0" borderId="0" xfId="121" applyFont="1" applyAlignment="1">
      <alignment horizontal="justify" vertical="top" wrapText="1"/>
    </xf>
    <xf numFmtId="2" fontId="65" fillId="0" borderId="0" xfId="121" applyNumberFormat="1" applyFont="1" applyAlignment="1">
      <alignment horizontal="left" vertical="center" wrapText="1"/>
    </xf>
    <xf numFmtId="0" fontId="65" fillId="0" borderId="0" xfId="121" applyFont="1" applyAlignment="1">
      <alignment horizontal="left" vertical="center" wrapText="1"/>
    </xf>
    <xf numFmtId="0" fontId="170" fillId="0" borderId="0" xfId="121" applyFont="1" applyAlignment="1">
      <alignment horizontal="left" vertical="center" wrapText="1"/>
    </xf>
    <xf numFmtId="0" fontId="115" fillId="0" borderId="0" xfId="1506" applyFont="1" applyAlignment="1">
      <alignment horizontal="justify" vertical="top" wrapText="1"/>
    </xf>
    <xf numFmtId="0" fontId="112" fillId="0" borderId="0" xfId="860" applyFont="1" applyAlignment="1">
      <alignment horizontal="center"/>
    </xf>
    <xf numFmtId="0" fontId="115" fillId="0" borderId="0" xfId="860" applyFont="1" applyAlignment="1">
      <alignment horizontal="justify" vertical="top" wrapText="1"/>
    </xf>
    <xf numFmtId="0" fontId="115" fillId="0" borderId="0" xfId="860" applyFont="1" applyAlignment="1">
      <alignment horizontal="left" vertical="top" wrapText="1"/>
    </xf>
    <xf numFmtId="0" fontId="116" fillId="0" borderId="0" xfId="860" applyFont="1" applyAlignment="1">
      <alignment horizontal="right"/>
    </xf>
    <xf numFmtId="0" fontId="115" fillId="0" borderId="0" xfId="1423" applyFont="1" applyAlignment="1">
      <alignment horizontal="justify" vertical="top" wrapText="1"/>
    </xf>
    <xf numFmtId="0" fontId="117" fillId="0" borderId="0" xfId="1419" applyFont="1" applyAlignment="1">
      <alignment horizontal="justify" vertical="top" wrapText="1"/>
    </xf>
    <xf numFmtId="0" fontId="87" fillId="0" borderId="15" xfId="0" applyFont="1" applyBorder="1" applyAlignment="1">
      <alignment horizontal="justify" vertical="top" wrapText="1"/>
    </xf>
    <xf numFmtId="0" fontId="87" fillId="0" borderId="15" xfId="95" applyFont="1" applyBorder="1" applyAlignment="1">
      <alignment horizontal="justify" vertical="top"/>
    </xf>
    <xf numFmtId="0" fontId="87" fillId="0" borderId="16" xfId="94" applyFont="1" applyBorder="1" applyAlignment="1">
      <alignment horizontal="center" vertical="top" wrapText="1"/>
    </xf>
    <xf numFmtId="0" fontId="87" fillId="0" borderId="17" xfId="94" applyFont="1" applyBorder="1" applyAlignment="1">
      <alignment horizontal="center" vertical="top" wrapText="1"/>
    </xf>
    <xf numFmtId="0" fontId="87" fillId="0" borderId="18" xfId="94" applyFont="1" applyBorder="1" applyAlignment="1">
      <alignment horizontal="center" vertical="top" wrapText="1"/>
    </xf>
    <xf numFmtId="0" fontId="87" fillId="0" borderId="15" xfId="94" applyFont="1" applyBorder="1" applyAlignment="1">
      <alignment horizontal="justify" vertical="top" wrapText="1"/>
    </xf>
    <xf numFmtId="0" fontId="87" fillId="0" borderId="15" xfId="95" applyFont="1" applyBorder="1" applyAlignment="1">
      <alignment horizontal="justify" vertical="top" wrapText="1"/>
    </xf>
    <xf numFmtId="0" fontId="97" fillId="0" borderId="15" xfId="0" applyFont="1" applyBorder="1" applyAlignment="1">
      <alignment horizontal="justify" vertical="top" wrapText="1"/>
    </xf>
    <xf numFmtId="0" fontId="87" fillId="0" borderId="16" xfId="0" applyFont="1" applyBorder="1" applyAlignment="1">
      <alignment horizontal="justify" vertical="top" wrapText="1"/>
    </xf>
    <xf numFmtId="0" fontId="87" fillId="0" borderId="17" xfId="0" applyFont="1" applyBorder="1" applyAlignment="1">
      <alignment horizontal="justify" vertical="top" wrapText="1"/>
    </xf>
    <xf numFmtId="0" fontId="87" fillId="0" borderId="18" xfId="0" applyFont="1" applyBorder="1" applyAlignment="1">
      <alignment horizontal="justify" vertical="top" wrapText="1"/>
    </xf>
    <xf numFmtId="0" fontId="87" fillId="45" borderId="15" xfId="0" applyFont="1" applyFill="1" applyBorder="1" applyAlignment="1">
      <alignment horizontal="justify" vertical="top" wrapText="1"/>
    </xf>
    <xf numFmtId="1" fontId="88" fillId="0" borderId="15" xfId="0" applyNumberFormat="1" applyFont="1" applyBorder="1" applyAlignment="1">
      <alignment horizontal="center" vertical="center" wrapText="1"/>
    </xf>
    <xf numFmtId="0" fontId="88" fillId="0" borderId="15" xfId="0" applyFont="1" applyBorder="1" applyAlignment="1">
      <alignment horizontal="center" vertical="center" wrapText="1"/>
    </xf>
    <xf numFmtId="0" fontId="86" fillId="0" borderId="0" xfId="0" applyFont="1" applyAlignment="1">
      <alignment horizontal="center" vertical="top"/>
    </xf>
    <xf numFmtId="0" fontId="87" fillId="0" borderId="0" xfId="0" applyFont="1" applyAlignment="1">
      <alignment horizontal="right" vertical="top" wrapText="1"/>
    </xf>
    <xf numFmtId="0" fontId="88" fillId="0" borderId="0" xfId="0" applyFont="1" applyAlignment="1">
      <alignment horizontal="left" vertical="top" wrapText="1"/>
    </xf>
    <xf numFmtId="0" fontId="88" fillId="0" borderId="0" xfId="0" applyFont="1" applyAlignment="1">
      <alignment horizontal="center" vertical="top" wrapText="1"/>
    </xf>
    <xf numFmtId="0" fontId="89" fillId="0" borderId="0" xfId="0" applyFont="1" applyAlignment="1">
      <alignment horizontal="right" vertical="top" wrapText="1"/>
    </xf>
    <xf numFmtId="2" fontId="89" fillId="0" borderId="0" xfId="0" applyNumberFormat="1" applyFont="1" applyAlignment="1">
      <alignment horizontal="left" vertical="top" wrapText="1"/>
    </xf>
    <xf numFmtId="0" fontId="109" fillId="0" borderId="0" xfId="0" applyFont="1" applyAlignment="1">
      <alignment horizontal="center"/>
    </xf>
    <xf numFmtId="0" fontId="87" fillId="0" borderId="15" xfId="0" applyFont="1" applyBorder="1" applyAlignment="1">
      <alignment horizontal="center" vertical="center" wrapText="1"/>
    </xf>
    <xf numFmtId="0" fontId="127" fillId="0" borderId="0" xfId="178" applyFont="1" applyAlignment="1">
      <alignment horizontal="center" vertical="center" wrapText="1"/>
    </xf>
    <xf numFmtId="0" fontId="89" fillId="0" borderId="0" xfId="0" applyFont="1" applyAlignment="1">
      <alignment horizontal="center" vertical="center" wrapText="1"/>
    </xf>
    <xf numFmtId="0" fontId="125" fillId="0" borderId="15" xfId="0" applyFont="1" applyBorder="1" applyAlignment="1">
      <alignment horizontal="center" vertical="center" wrapText="1"/>
    </xf>
    <xf numFmtId="2" fontId="125" fillId="0" borderId="15" xfId="0" applyNumberFormat="1" applyFont="1" applyBorder="1" applyAlignment="1">
      <alignment horizontal="center" vertical="center" wrapText="1"/>
    </xf>
    <xf numFmtId="0" fontId="94" fillId="0" borderId="0" xfId="0" applyFont="1" applyAlignment="1">
      <alignment horizontal="left" vertical="center" wrapText="1"/>
    </xf>
    <xf numFmtId="0" fontId="96" fillId="0" borderId="0" xfId="0" applyFont="1" applyAlignment="1">
      <alignment horizontal="center" vertical="top"/>
    </xf>
    <xf numFmtId="0" fontId="94" fillId="0" borderId="0" xfId="0" applyFont="1" applyAlignment="1">
      <alignment horizontal="center" vertical="top" wrapText="1"/>
    </xf>
    <xf numFmtId="0" fontId="94" fillId="0" borderId="0" xfId="95" applyFont="1" applyAlignment="1">
      <alignment horizontal="center" vertical="top" wrapText="1"/>
    </xf>
    <xf numFmtId="0" fontId="97" fillId="0" borderId="31" xfId="95" applyFont="1" applyBorder="1" applyAlignment="1">
      <alignment horizontal="center"/>
    </xf>
    <xf numFmtId="0" fontId="97" fillId="0" borderId="30" xfId="95" applyFont="1" applyBorder="1" applyAlignment="1">
      <alignment horizontal="center"/>
    </xf>
    <xf numFmtId="0" fontId="97" fillId="0" borderId="29" xfId="95" applyFont="1" applyBorder="1" applyAlignment="1">
      <alignment horizontal="center"/>
    </xf>
    <xf numFmtId="0" fontId="169" fillId="0" borderId="16" xfId="95" applyFont="1" applyBorder="1" applyAlignment="1">
      <alignment horizontal="center" vertical="top" wrapText="1"/>
    </xf>
    <xf numFmtId="0" fontId="169" fillId="0" borderId="18" xfId="95" applyFont="1" applyBorder="1" applyAlignment="1">
      <alignment horizontal="center" vertical="top" wrapText="1"/>
    </xf>
    <xf numFmtId="170" fontId="169" fillId="0" borderId="16" xfId="95" applyNumberFormat="1" applyFont="1" applyBorder="1" applyAlignment="1">
      <alignment horizontal="center" vertical="top" wrapText="1"/>
    </xf>
    <xf numFmtId="170" fontId="169" fillId="0" borderId="18" xfId="95" applyNumberFormat="1" applyFont="1" applyBorder="1" applyAlignment="1">
      <alignment horizontal="center" vertical="top" wrapText="1"/>
    </xf>
    <xf numFmtId="0" fontId="169" fillId="0" borderId="38" xfId="95" applyFont="1" applyBorder="1" applyAlignment="1">
      <alignment horizontal="center" vertical="top" wrapText="1"/>
    </xf>
    <xf numFmtId="0" fontId="169" fillId="0" borderId="39" xfId="95" applyFont="1" applyBorder="1" applyAlignment="1">
      <alignment horizontal="center" vertical="top" wrapText="1"/>
    </xf>
    <xf numFmtId="172" fontId="169" fillId="0" borderId="38" xfId="95" applyNumberFormat="1" applyFont="1" applyBorder="1" applyAlignment="1">
      <alignment horizontal="center" vertical="top" wrapText="1"/>
    </xf>
    <xf numFmtId="172" fontId="169" fillId="0" borderId="39" xfId="95" applyNumberFormat="1" applyFont="1" applyBorder="1" applyAlignment="1">
      <alignment horizontal="center" vertical="top" wrapText="1"/>
    </xf>
    <xf numFmtId="0" fontId="168" fillId="0" borderId="0" xfId="0" applyFont="1" applyAlignment="1">
      <alignment horizontal="center" vertical="top"/>
    </xf>
    <xf numFmtId="0" fontId="146" fillId="0" borderId="0" xfId="1420" applyFont="1" applyAlignment="1">
      <alignment horizontal="justify" vertical="center"/>
    </xf>
    <xf numFmtId="0" fontId="95" fillId="0" borderId="0" xfId="1420" applyFont="1" applyAlignment="1">
      <alignment horizontal="justify" vertical="center"/>
    </xf>
    <xf numFmtId="0" fontId="146" fillId="0" borderId="0" xfId="1420" applyFont="1" applyAlignment="1">
      <alignment horizontal="left" vertical="center"/>
    </xf>
    <xf numFmtId="0" fontId="95" fillId="0" borderId="0" xfId="1420" applyFont="1" applyAlignment="1">
      <alignment horizontal="left" vertical="center"/>
    </xf>
    <xf numFmtId="49" fontId="143" fillId="0" borderId="0" xfId="1420" applyNumberFormat="1" applyFont="1" applyAlignment="1">
      <alignment horizontal="center" vertical="center" wrapText="1"/>
    </xf>
    <xf numFmtId="0" fontId="144" fillId="0" borderId="0" xfId="1420" applyFont="1"/>
    <xf numFmtId="0" fontId="95" fillId="0" borderId="0" xfId="1420" applyFont="1" applyAlignment="1">
      <alignment horizontal="right" vertical="center"/>
    </xf>
    <xf numFmtId="0" fontId="145" fillId="0" borderId="0" xfId="1420" applyFont="1" applyAlignment="1">
      <alignment horizontal="center" vertical="center" wrapText="1"/>
    </xf>
    <xf numFmtId="0" fontId="95" fillId="0" borderId="0" xfId="1420" applyFont="1" applyAlignment="1">
      <alignment horizontal="center" vertical="center"/>
    </xf>
    <xf numFmtId="0" fontId="146" fillId="0" borderId="0" xfId="1420" applyFont="1" applyAlignment="1">
      <alignment horizontal="center" vertical="center"/>
    </xf>
    <xf numFmtId="0" fontId="146" fillId="0" borderId="0" xfId="1420" applyFont="1" applyAlignment="1">
      <alignment horizontal="left" vertical="top" wrapText="1"/>
    </xf>
    <xf numFmtId="0" fontId="146" fillId="0" borderId="0" xfId="1420" applyFont="1" applyAlignment="1">
      <alignment horizontal="justify" vertical="center" wrapText="1"/>
    </xf>
    <xf numFmtId="0" fontId="95" fillId="0" borderId="0" xfId="1420" applyFont="1" applyAlignment="1">
      <alignment horizontal="justify" vertical="center" wrapText="1"/>
    </xf>
    <xf numFmtId="0" fontId="147" fillId="0" borderId="28" xfId="1420" applyFont="1" applyBorder="1" applyAlignment="1">
      <alignment horizontal="center" vertical="center" wrapText="1"/>
    </xf>
    <xf numFmtId="49" fontId="147" fillId="0" borderId="8" xfId="1420" applyNumberFormat="1" applyFont="1" applyBorder="1" applyAlignment="1">
      <alignment horizontal="center" vertical="center" wrapText="1"/>
    </xf>
    <xf numFmtId="49" fontId="148" fillId="0" borderId="0" xfId="1420" applyNumberFormat="1" applyFont="1" applyAlignment="1">
      <alignment horizontal="left" vertical="center" wrapText="1"/>
    </xf>
    <xf numFmtId="49" fontId="148" fillId="0" borderId="0" xfId="1420" applyNumberFormat="1" applyFont="1" applyAlignment="1">
      <alignment horizontal="center" vertical="center" wrapText="1"/>
    </xf>
    <xf numFmtId="49" fontId="147" fillId="0" borderId="27" xfId="1420" applyNumberFormat="1" applyFont="1" applyBorder="1" applyAlignment="1">
      <alignment horizontal="center" vertical="center" wrapText="1"/>
    </xf>
    <xf numFmtId="49" fontId="147" fillId="0" borderId="28" xfId="1420" applyNumberFormat="1" applyFont="1" applyBorder="1" applyAlignment="1">
      <alignment horizontal="center" vertical="center" wrapText="1"/>
    </xf>
    <xf numFmtId="0" fontId="154" fillId="0" borderId="31" xfId="1421" applyFont="1" applyBorder="1" applyAlignment="1">
      <alignment horizontal="left" vertical="top" wrapText="1"/>
    </xf>
    <xf numFmtId="0" fontId="154" fillId="0" borderId="33" xfId="1421" applyFont="1" applyBorder="1" applyAlignment="1">
      <alignment horizontal="left" vertical="top" wrapText="1"/>
    </xf>
    <xf numFmtId="49" fontId="154" fillId="0" borderId="36" xfId="1421" applyNumberFormat="1" applyFont="1" applyBorder="1" applyAlignment="1">
      <alignment horizontal="left" vertical="center" wrapText="1"/>
    </xf>
    <xf numFmtId="2" fontId="156" fillId="0" borderId="36" xfId="1421" applyNumberFormat="1" applyFont="1" applyBorder="1" applyAlignment="1">
      <alignment horizontal="center" vertical="center" wrapText="1"/>
    </xf>
    <xf numFmtId="2" fontId="156" fillId="0" borderId="35" xfId="1421" applyNumberFormat="1" applyFont="1" applyBorder="1" applyAlignment="1">
      <alignment horizontal="center" vertical="center" wrapText="1"/>
    </xf>
    <xf numFmtId="49" fontId="148" fillId="0" borderId="0" xfId="1420" applyNumberFormat="1" applyFont="1" applyAlignment="1">
      <alignment horizontal="left" wrapText="1"/>
    </xf>
    <xf numFmtId="49" fontId="148" fillId="0" borderId="0" xfId="1420" applyNumberFormat="1" applyFont="1" applyAlignment="1">
      <alignment horizontal="center" wrapText="1"/>
    </xf>
    <xf numFmtId="0" fontId="157" fillId="0" borderId="0" xfId="1420" applyFont="1" applyAlignment="1">
      <alignment horizontal="justify" vertical="top" wrapText="1"/>
    </xf>
    <xf numFmtId="49" fontId="146" fillId="0" borderId="0" xfId="1420" applyNumberFormat="1" applyFont="1" applyAlignment="1">
      <alignment horizontal="center" vertical="center" wrapText="1"/>
    </xf>
    <xf numFmtId="49" fontId="95" fillId="0" borderId="0" xfId="1420" applyNumberFormat="1" applyFont="1" applyAlignment="1">
      <alignment horizontal="center" vertical="center" wrapText="1"/>
    </xf>
    <xf numFmtId="0" fontId="95" fillId="0" borderId="0" xfId="1420" applyFont="1" applyAlignment="1">
      <alignment horizontal="center" vertical="center" wrapText="1"/>
    </xf>
    <xf numFmtId="49" fontId="16" fillId="0" borderId="0" xfId="1420" applyNumberFormat="1" applyFont="1" applyAlignment="1">
      <alignment horizontal="left" vertical="center" wrapText="1"/>
    </xf>
    <xf numFmtId="0" fontId="14" fillId="0" borderId="0" xfId="1420" applyFont="1" applyAlignment="1">
      <alignment horizontal="left"/>
    </xf>
    <xf numFmtId="49" fontId="16" fillId="0" borderId="10" xfId="1420" applyNumberFormat="1" applyFont="1" applyBorder="1" applyAlignment="1">
      <alignment horizontal="left" vertical="center" wrapText="1"/>
    </xf>
    <xf numFmtId="49" fontId="160" fillId="0" borderId="0" xfId="1420" applyNumberFormat="1" applyFont="1" applyAlignment="1">
      <alignment horizontal="left" vertical="center" wrapText="1"/>
    </xf>
    <xf numFmtId="49" fontId="16" fillId="0" borderId="0" xfId="1420" applyNumberFormat="1" applyFont="1" applyAlignment="1">
      <alignment vertical="center" wrapText="1"/>
    </xf>
    <xf numFmtId="0" fontId="13" fillId="0" borderId="0" xfId="1420" applyAlignment="1">
      <alignment horizontal="center"/>
    </xf>
    <xf numFmtId="0" fontId="16" fillId="0" borderId="0" xfId="1420" applyFont="1" applyAlignment="1">
      <alignment horizontal="center"/>
    </xf>
    <xf numFmtId="49" fontId="161" fillId="0" borderId="14" xfId="1420" applyNumberFormat="1" applyFont="1" applyBorder="1" applyAlignment="1">
      <alignment horizontal="center" vertical="center" wrapText="1"/>
    </xf>
    <xf numFmtId="49" fontId="16" fillId="0" borderId="14" xfId="1420" applyNumberFormat="1" applyFont="1" applyBorder="1" applyAlignment="1">
      <alignment horizontal="center" vertical="center" wrapText="1"/>
    </xf>
    <xf numFmtId="49" fontId="16" fillId="0" borderId="0" xfId="1420" applyNumberFormat="1" applyFont="1" applyAlignment="1">
      <alignment horizontal="center" vertical="center" wrapText="1"/>
    </xf>
    <xf numFmtId="49" fontId="161" fillId="0" borderId="14" xfId="1420" applyNumberFormat="1" applyFont="1" applyBorder="1" applyAlignment="1">
      <alignment horizontal="left" wrapText="1"/>
    </xf>
    <xf numFmtId="49" fontId="161" fillId="0" borderId="4" xfId="1420" applyNumberFormat="1" applyFont="1" applyBorder="1" applyAlignment="1">
      <alignment horizontal="center" vertical="center" wrapText="1"/>
    </xf>
    <xf numFmtId="49" fontId="23" fillId="0" borderId="0" xfId="1420" applyNumberFormat="1" applyFont="1" applyAlignment="1">
      <alignment horizontal="left" vertical="center" wrapText="1"/>
    </xf>
    <xf numFmtId="49" fontId="16" fillId="0" borderId="0" xfId="1420" applyNumberFormat="1" applyFont="1" applyAlignment="1">
      <alignment horizontal="justify" vertical="center" wrapText="1"/>
    </xf>
    <xf numFmtId="0" fontId="111" fillId="0" borderId="15" xfId="0" applyFont="1" applyBorder="1" applyAlignment="1">
      <alignment horizontal="center" vertical="top" wrapText="1"/>
    </xf>
    <xf numFmtId="0" fontId="94" fillId="0" borderId="15" xfId="0" applyFont="1" applyBorder="1" applyAlignment="1">
      <alignment horizontal="center" vertical="top" wrapText="1"/>
    </xf>
    <xf numFmtId="0" fontId="128" fillId="0" borderId="8" xfId="1416" applyFont="1" applyBorder="1" applyAlignment="1">
      <alignment horizontal="center"/>
    </xf>
    <xf numFmtId="0" fontId="129" fillId="0" borderId="8" xfId="1416" applyFont="1" applyBorder="1" applyAlignment="1">
      <alignment horizontal="center"/>
    </xf>
    <xf numFmtId="0" fontId="130" fillId="0" borderId="8" xfId="1416" applyFont="1" applyBorder="1" applyAlignment="1">
      <alignment horizontal="center" vertical="center" wrapText="1"/>
    </xf>
    <xf numFmtId="49" fontId="87" fillId="0" borderId="15" xfId="970" applyNumberFormat="1" applyFont="1" applyBorder="1" applyAlignment="1">
      <alignment horizontal="left" vertical="center" wrapText="1"/>
    </xf>
    <xf numFmtId="0" fontId="87" fillId="0" borderId="15" xfId="970" applyFont="1" applyBorder="1" applyAlignment="1">
      <alignment horizontal="left" vertical="center" wrapText="1"/>
    </xf>
    <xf numFmtId="49" fontId="135" fillId="0" borderId="0" xfId="970" applyNumberFormat="1" applyFont="1" applyAlignment="1">
      <alignment horizontal="center" vertical="center" wrapText="1"/>
    </xf>
    <xf numFmtId="49" fontId="136" fillId="0" borderId="0" xfId="970" applyNumberFormat="1" applyFont="1" applyAlignment="1">
      <alignment horizontal="center" vertical="center" wrapText="1"/>
    </xf>
    <xf numFmtId="0" fontId="136" fillId="0" borderId="0" xfId="970" applyFont="1" applyAlignment="1">
      <alignment horizontal="center" vertical="center" wrapText="1"/>
    </xf>
    <xf numFmtId="0" fontId="94" fillId="0" borderId="0" xfId="970" applyFont="1" applyAlignment="1">
      <alignment horizontal="center" vertical="center" wrapText="1"/>
    </xf>
    <xf numFmtId="2" fontId="94" fillId="0" borderId="0" xfId="970" applyNumberFormat="1" applyFont="1" applyAlignment="1">
      <alignment horizontal="left" vertical="center" wrapText="1"/>
    </xf>
    <xf numFmtId="0" fontId="87" fillId="0" borderId="0" xfId="970" applyFont="1" applyAlignment="1">
      <alignment horizontal="left" vertical="center" wrapText="1"/>
    </xf>
    <xf numFmtId="49" fontId="94" fillId="0" borderId="15" xfId="970" applyNumberFormat="1" applyFont="1" applyBorder="1" applyAlignment="1">
      <alignment horizontal="center" vertical="center" wrapText="1"/>
    </xf>
    <xf numFmtId="0" fontId="94" fillId="0" borderId="15" xfId="970" applyFont="1" applyBorder="1" applyAlignment="1">
      <alignment horizontal="center" vertical="center" wrapText="1"/>
    </xf>
    <xf numFmtId="0" fontId="33" fillId="0" borderId="15" xfId="1388" applyBorder="1" applyAlignment="1">
      <alignment horizontal="left" vertical="top" wrapText="1"/>
    </xf>
    <xf numFmtId="0" fontId="33" fillId="0" borderId="15" xfId="1388" applyBorder="1" applyAlignment="1">
      <alignment horizontal="left" vertical="top"/>
    </xf>
    <xf numFmtId="2" fontId="33" fillId="0" borderId="15" xfId="1388" applyNumberFormat="1" applyBorder="1" applyAlignment="1">
      <alignment horizontal="left" vertical="top"/>
    </xf>
    <xf numFmtId="0" fontId="33" fillId="0" borderId="16" xfId="1388" applyBorder="1" applyAlignment="1">
      <alignment horizontal="left" vertical="top" wrapText="1"/>
    </xf>
    <xf numFmtId="0" fontId="33" fillId="0" borderId="17" xfId="1388" applyBorder="1" applyAlignment="1">
      <alignment horizontal="left" vertical="top" wrapText="1"/>
    </xf>
    <xf numFmtId="0" fontId="33" fillId="0" borderId="18" xfId="1388" applyBorder="1" applyAlignment="1">
      <alignment horizontal="left" vertical="top" wrapText="1"/>
    </xf>
    <xf numFmtId="0" fontId="39" fillId="0" borderId="16" xfId="1388" applyFont="1" applyBorder="1" applyAlignment="1">
      <alignment horizontal="left" vertical="top"/>
    </xf>
    <xf numFmtId="0" fontId="39" fillId="0" borderId="18" xfId="1388" applyFont="1" applyBorder="1" applyAlignment="1">
      <alignment horizontal="left" vertical="top"/>
    </xf>
    <xf numFmtId="0" fontId="33" fillId="0" borderId="16" xfId="1388" applyBorder="1" applyAlignment="1">
      <alignment horizontal="justify" vertical="top" wrapText="1"/>
    </xf>
    <xf numFmtId="0" fontId="33" fillId="0" borderId="17" xfId="1388" applyBorder="1" applyAlignment="1">
      <alignment horizontal="justify" vertical="top" wrapText="1"/>
    </xf>
    <xf numFmtId="0" fontId="33" fillId="0" borderId="18" xfId="1388" applyBorder="1" applyAlignment="1">
      <alignment horizontal="justify" vertical="top" wrapText="1"/>
    </xf>
    <xf numFmtId="0" fontId="138" fillId="0" borderId="0" xfId="1388" applyFont="1" applyAlignment="1">
      <alignment horizontal="center" vertical="top"/>
    </xf>
    <xf numFmtId="0" fontId="139" fillId="0" borderId="17" xfId="1388" applyFont="1" applyBorder="1" applyAlignment="1">
      <alignment horizontal="center" vertical="top" wrapText="1"/>
    </xf>
    <xf numFmtId="0" fontId="39" fillId="0" borderId="17" xfId="1388" applyFont="1" applyBorder="1" applyAlignment="1">
      <alignment horizontal="left" vertical="top"/>
    </xf>
    <xf numFmtId="0" fontId="33" fillId="0" borderId="16" xfId="1388" applyBorder="1" applyAlignment="1">
      <alignment horizontal="center" vertical="top" wrapText="1"/>
    </xf>
    <xf numFmtId="0" fontId="33" fillId="0" borderId="17" xfId="1388" applyBorder="1" applyAlignment="1">
      <alignment horizontal="center" vertical="top" wrapText="1"/>
    </xf>
    <xf numFmtId="0" fontId="33" fillId="0" borderId="18" xfId="1388" applyBorder="1" applyAlignment="1">
      <alignment horizontal="center" vertical="top" wrapText="1"/>
    </xf>
    <xf numFmtId="0" fontId="33" fillId="0" borderId="15" xfId="1388" applyBorder="1" applyAlignment="1">
      <alignment horizontal="justify" vertical="top" wrapText="1"/>
    </xf>
    <xf numFmtId="0" fontId="142" fillId="0" borderId="16" xfId="1388" applyFont="1" applyBorder="1" applyAlignment="1">
      <alignment horizontal="left" vertical="top" wrapText="1"/>
    </xf>
    <xf numFmtId="0" fontId="142" fillId="0" borderId="17" xfId="1388" applyFont="1" applyBorder="1" applyAlignment="1">
      <alignment horizontal="left" vertical="top" wrapText="1"/>
    </xf>
    <xf numFmtId="0" fontId="142" fillId="0" borderId="18" xfId="1388" applyFont="1" applyBorder="1" applyAlignment="1">
      <alignment horizontal="left" vertical="top" wrapText="1"/>
    </xf>
    <xf numFmtId="0" fontId="33" fillId="0" borderId="15" xfId="1388" applyBorder="1" applyAlignment="1">
      <alignment horizontal="center" vertical="top" wrapText="1"/>
    </xf>
    <xf numFmtId="0" fontId="162" fillId="0" borderId="0" xfId="1424" applyFont="1" applyAlignment="1">
      <alignment horizontal="justify" vertical="top" wrapText="1"/>
    </xf>
    <xf numFmtId="0" fontId="162" fillId="0" borderId="0" xfId="1423" applyFont="1" applyAlignment="1">
      <alignment horizontal="left" vertical="top" wrapText="1"/>
    </xf>
    <xf numFmtId="0" fontId="163" fillId="0" borderId="0" xfId="1423" applyFont="1" applyAlignment="1">
      <alignment horizontal="center"/>
    </xf>
    <xf numFmtId="0" fontId="163" fillId="0" borderId="0" xfId="1391" applyFont="1" applyAlignment="1">
      <alignment horizontal="center" vertical="top"/>
    </xf>
    <xf numFmtId="0" fontId="162" fillId="0" borderId="0" xfId="1391" applyFont="1" applyAlignment="1">
      <alignment horizontal="justify" vertical="justify" wrapText="1"/>
    </xf>
    <xf numFmtId="0" fontId="162" fillId="0" borderId="0" xfId="1391" applyFont="1" applyAlignment="1">
      <alignment horizontal="justify" vertical="justify"/>
    </xf>
  </cellXfs>
  <cellStyles count="1673">
    <cellStyle name="20% - Accent1 10" xfId="179" xr:uid="{00000000-0005-0000-0000-000000000000}"/>
    <cellStyle name="20% - Accent1 11" xfId="180" xr:uid="{00000000-0005-0000-0000-000001000000}"/>
    <cellStyle name="20% - Accent1 2" xfId="1" xr:uid="{00000000-0005-0000-0000-000002000000}"/>
    <cellStyle name="20% - Accent1 3" xfId="181" xr:uid="{00000000-0005-0000-0000-000003000000}"/>
    <cellStyle name="20% - Accent1 4" xfId="182" xr:uid="{00000000-0005-0000-0000-000004000000}"/>
    <cellStyle name="20% - Accent1 5" xfId="183" xr:uid="{00000000-0005-0000-0000-000005000000}"/>
    <cellStyle name="20% - Accent1 6" xfId="184" xr:uid="{00000000-0005-0000-0000-000006000000}"/>
    <cellStyle name="20% - Accent1 7" xfId="185" xr:uid="{00000000-0005-0000-0000-000007000000}"/>
    <cellStyle name="20% - Accent1 8" xfId="186" xr:uid="{00000000-0005-0000-0000-000008000000}"/>
    <cellStyle name="20% - Accent1 9" xfId="187" xr:uid="{00000000-0005-0000-0000-000009000000}"/>
    <cellStyle name="20% - Accent2 10" xfId="188" xr:uid="{00000000-0005-0000-0000-00000A000000}"/>
    <cellStyle name="20% - Accent2 11" xfId="189" xr:uid="{00000000-0005-0000-0000-00000B000000}"/>
    <cellStyle name="20% - Accent2 2" xfId="2" xr:uid="{00000000-0005-0000-0000-00000C000000}"/>
    <cellStyle name="20% - Accent2 3" xfId="190" xr:uid="{00000000-0005-0000-0000-00000D000000}"/>
    <cellStyle name="20% - Accent2 4" xfId="191" xr:uid="{00000000-0005-0000-0000-00000E000000}"/>
    <cellStyle name="20% - Accent2 5" xfId="192" xr:uid="{00000000-0005-0000-0000-00000F000000}"/>
    <cellStyle name="20% - Accent2 6" xfId="193" xr:uid="{00000000-0005-0000-0000-000010000000}"/>
    <cellStyle name="20% - Accent2 7" xfId="194" xr:uid="{00000000-0005-0000-0000-000011000000}"/>
    <cellStyle name="20% - Accent2 8" xfId="195" xr:uid="{00000000-0005-0000-0000-000012000000}"/>
    <cellStyle name="20% - Accent2 9" xfId="196" xr:uid="{00000000-0005-0000-0000-000013000000}"/>
    <cellStyle name="20% - Accent3 10" xfId="197" xr:uid="{00000000-0005-0000-0000-000014000000}"/>
    <cellStyle name="20% - Accent3 11" xfId="198" xr:uid="{00000000-0005-0000-0000-000015000000}"/>
    <cellStyle name="20% - Accent3 2" xfId="3" xr:uid="{00000000-0005-0000-0000-000016000000}"/>
    <cellStyle name="20% - Accent3 3" xfId="199" xr:uid="{00000000-0005-0000-0000-000017000000}"/>
    <cellStyle name="20% - Accent3 4" xfId="200" xr:uid="{00000000-0005-0000-0000-000018000000}"/>
    <cellStyle name="20% - Accent3 5" xfId="201" xr:uid="{00000000-0005-0000-0000-000019000000}"/>
    <cellStyle name="20% - Accent3 6" xfId="202" xr:uid="{00000000-0005-0000-0000-00001A000000}"/>
    <cellStyle name="20% - Accent3 7" xfId="203" xr:uid="{00000000-0005-0000-0000-00001B000000}"/>
    <cellStyle name="20% - Accent3 8" xfId="204" xr:uid="{00000000-0005-0000-0000-00001C000000}"/>
    <cellStyle name="20% - Accent3 9" xfId="205" xr:uid="{00000000-0005-0000-0000-00001D000000}"/>
    <cellStyle name="20% - Accent4 10" xfId="206" xr:uid="{00000000-0005-0000-0000-00001E000000}"/>
    <cellStyle name="20% - Accent4 11" xfId="207" xr:uid="{00000000-0005-0000-0000-00001F000000}"/>
    <cellStyle name="20% - Accent4 2" xfId="4" xr:uid="{00000000-0005-0000-0000-000020000000}"/>
    <cellStyle name="20% - Accent4 3" xfId="208" xr:uid="{00000000-0005-0000-0000-000021000000}"/>
    <cellStyle name="20% - Accent4 4" xfId="209" xr:uid="{00000000-0005-0000-0000-000022000000}"/>
    <cellStyle name="20% - Accent4 5" xfId="210" xr:uid="{00000000-0005-0000-0000-000023000000}"/>
    <cellStyle name="20% - Accent4 6" xfId="211" xr:uid="{00000000-0005-0000-0000-000024000000}"/>
    <cellStyle name="20% - Accent4 7" xfId="212" xr:uid="{00000000-0005-0000-0000-000025000000}"/>
    <cellStyle name="20% - Accent4 8" xfId="213" xr:uid="{00000000-0005-0000-0000-000026000000}"/>
    <cellStyle name="20% - Accent4 9" xfId="214" xr:uid="{00000000-0005-0000-0000-000027000000}"/>
    <cellStyle name="20% - Accent5 10" xfId="215" xr:uid="{00000000-0005-0000-0000-000028000000}"/>
    <cellStyle name="20% - Accent5 11" xfId="216" xr:uid="{00000000-0005-0000-0000-000029000000}"/>
    <cellStyle name="20% - Accent5 2" xfId="5" xr:uid="{00000000-0005-0000-0000-00002A000000}"/>
    <cellStyle name="20% - Accent5 3" xfId="217" xr:uid="{00000000-0005-0000-0000-00002B000000}"/>
    <cellStyle name="20% - Accent5 4" xfId="218" xr:uid="{00000000-0005-0000-0000-00002C000000}"/>
    <cellStyle name="20% - Accent5 5" xfId="219" xr:uid="{00000000-0005-0000-0000-00002D000000}"/>
    <cellStyle name="20% - Accent5 6" xfId="220" xr:uid="{00000000-0005-0000-0000-00002E000000}"/>
    <cellStyle name="20% - Accent5 7" xfId="221" xr:uid="{00000000-0005-0000-0000-00002F000000}"/>
    <cellStyle name="20% - Accent5 8" xfId="222" xr:uid="{00000000-0005-0000-0000-000030000000}"/>
    <cellStyle name="20% - Accent5 9" xfId="223" xr:uid="{00000000-0005-0000-0000-000031000000}"/>
    <cellStyle name="20% - Accent6 10" xfId="224" xr:uid="{00000000-0005-0000-0000-000032000000}"/>
    <cellStyle name="20% - Accent6 11" xfId="225" xr:uid="{00000000-0005-0000-0000-000033000000}"/>
    <cellStyle name="20% - Accent6 2" xfId="6" xr:uid="{00000000-0005-0000-0000-000034000000}"/>
    <cellStyle name="20% - Accent6 3" xfId="226" xr:uid="{00000000-0005-0000-0000-000035000000}"/>
    <cellStyle name="20% - Accent6 4" xfId="227" xr:uid="{00000000-0005-0000-0000-000036000000}"/>
    <cellStyle name="20% - Accent6 5" xfId="228" xr:uid="{00000000-0005-0000-0000-000037000000}"/>
    <cellStyle name="20% - Accent6 6" xfId="229" xr:uid="{00000000-0005-0000-0000-000038000000}"/>
    <cellStyle name="20% - Accent6 7" xfId="230" xr:uid="{00000000-0005-0000-0000-000039000000}"/>
    <cellStyle name="20% - Accent6 8" xfId="231" xr:uid="{00000000-0005-0000-0000-00003A000000}"/>
    <cellStyle name="20% - Accent6 9" xfId="232" xr:uid="{00000000-0005-0000-0000-00003B000000}"/>
    <cellStyle name="40% - Accent1 10" xfId="233" xr:uid="{00000000-0005-0000-0000-00003C000000}"/>
    <cellStyle name="40% - Accent1 11" xfId="234" xr:uid="{00000000-0005-0000-0000-00003D000000}"/>
    <cellStyle name="40% - Accent1 2" xfId="7" xr:uid="{00000000-0005-0000-0000-00003E000000}"/>
    <cellStyle name="40% - Accent1 3" xfId="235" xr:uid="{00000000-0005-0000-0000-00003F000000}"/>
    <cellStyle name="40% - Accent1 4" xfId="236" xr:uid="{00000000-0005-0000-0000-000040000000}"/>
    <cellStyle name="40% - Accent1 5" xfId="237" xr:uid="{00000000-0005-0000-0000-000041000000}"/>
    <cellStyle name="40% - Accent1 6" xfId="238" xr:uid="{00000000-0005-0000-0000-000042000000}"/>
    <cellStyle name="40% - Accent1 7" xfId="239" xr:uid="{00000000-0005-0000-0000-000043000000}"/>
    <cellStyle name="40% - Accent1 8" xfId="240" xr:uid="{00000000-0005-0000-0000-000044000000}"/>
    <cellStyle name="40% - Accent1 9" xfId="241" xr:uid="{00000000-0005-0000-0000-000045000000}"/>
    <cellStyle name="40% - Accent2 10" xfId="242" xr:uid="{00000000-0005-0000-0000-000046000000}"/>
    <cellStyle name="40% - Accent2 11" xfId="243" xr:uid="{00000000-0005-0000-0000-000047000000}"/>
    <cellStyle name="40% - Accent2 2" xfId="8" xr:uid="{00000000-0005-0000-0000-000048000000}"/>
    <cellStyle name="40% - Accent2 3" xfId="244" xr:uid="{00000000-0005-0000-0000-000049000000}"/>
    <cellStyle name="40% - Accent2 4" xfId="245" xr:uid="{00000000-0005-0000-0000-00004A000000}"/>
    <cellStyle name="40% - Accent2 5" xfId="246" xr:uid="{00000000-0005-0000-0000-00004B000000}"/>
    <cellStyle name="40% - Accent2 6" xfId="247" xr:uid="{00000000-0005-0000-0000-00004C000000}"/>
    <cellStyle name="40% - Accent2 7" xfId="248" xr:uid="{00000000-0005-0000-0000-00004D000000}"/>
    <cellStyle name="40% - Accent2 8" xfId="249" xr:uid="{00000000-0005-0000-0000-00004E000000}"/>
    <cellStyle name="40% - Accent2 9" xfId="250" xr:uid="{00000000-0005-0000-0000-00004F000000}"/>
    <cellStyle name="40% - Accent3 10" xfId="251" xr:uid="{00000000-0005-0000-0000-000050000000}"/>
    <cellStyle name="40% - Accent3 11" xfId="252" xr:uid="{00000000-0005-0000-0000-000051000000}"/>
    <cellStyle name="40% - Accent3 2" xfId="9" xr:uid="{00000000-0005-0000-0000-000052000000}"/>
    <cellStyle name="40% - Accent3 3" xfId="253" xr:uid="{00000000-0005-0000-0000-000053000000}"/>
    <cellStyle name="40% - Accent3 4" xfId="254" xr:uid="{00000000-0005-0000-0000-000054000000}"/>
    <cellStyle name="40% - Accent3 5" xfId="255" xr:uid="{00000000-0005-0000-0000-000055000000}"/>
    <cellStyle name="40% - Accent3 6" xfId="256" xr:uid="{00000000-0005-0000-0000-000056000000}"/>
    <cellStyle name="40% - Accent3 7" xfId="257" xr:uid="{00000000-0005-0000-0000-000057000000}"/>
    <cellStyle name="40% - Accent3 8" xfId="258" xr:uid="{00000000-0005-0000-0000-000058000000}"/>
    <cellStyle name="40% - Accent3 9" xfId="259" xr:uid="{00000000-0005-0000-0000-000059000000}"/>
    <cellStyle name="40% - Accent4 10" xfId="260" xr:uid="{00000000-0005-0000-0000-00005A000000}"/>
    <cellStyle name="40% - Accent4 11" xfId="261" xr:uid="{00000000-0005-0000-0000-00005B000000}"/>
    <cellStyle name="40% - Accent4 2" xfId="10" xr:uid="{00000000-0005-0000-0000-00005C000000}"/>
    <cellStyle name="40% - Accent4 3" xfId="262" xr:uid="{00000000-0005-0000-0000-00005D000000}"/>
    <cellStyle name="40% - Accent4 4" xfId="263" xr:uid="{00000000-0005-0000-0000-00005E000000}"/>
    <cellStyle name="40% - Accent4 5" xfId="264" xr:uid="{00000000-0005-0000-0000-00005F000000}"/>
    <cellStyle name="40% - Accent4 6" xfId="265" xr:uid="{00000000-0005-0000-0000-000060000000}"/>
    <cellStyle name="40% - Accent4 7" xfId="266" xr:uid="{00000000-0005-0000-0000-000061000000}"/>
    <cellStyle name="40% - Accent4 8" xfId="267" xr:uid="{00000000-0005-0000-0000-000062000000}"/>
    <cellStyle name="40% - Accent4 9" xfId="268" xr:uid="{00000000-0005-0000-0000-000063000000}"/>
    <cellStyle name="40% - Accent5 10" xfId="269" xr:uid="{00000000-0005-0000-0000-000064000000}"/>
    <cellStyle name="40% - Accent5 11" xfId="270" xr:uid="{00000000-0005-0000-0000-000065000000}"/>
    <cellStyle name="40% - Accent5 2" xfId="11" xr:uid="{00000000-0005-0000-0000-000066000000}"/>
    <cellStyle name="40% - Accent5 3" xfId="271" xr:uid="{00000000-0005-0000-0000-000067000000}"/>
    <cellStyle name="40% - Accent5 4" xfId="272" xr:uid="{00000000-0005-0000-0000-000068000000}"/>
    <cellStyle name="40% - Accent5 5" xfId="273" xr:uid="{00000000-0005-0000-0000-000069000000}"/>
    <cellStyle name="40% - Accent5 6" xfId="274" xr:uid="{00000000-0005-0000-0000-00006A000000}"/>
    <cellStyle name="40% - Accent5 7" xfId="275" xr:uid="{00000000-0005-0000-0000-00006B000000}"/>
    <cellStyle name="40% - Accent5 8" xfId="276" xr:uid="{00000000-0005-0000-0000-00006C000000}"/>
    <cellStyle name="40% - Accent5 9" xfId="277" xr:uid="{00000000-0005-0000-0000-00006D000000}"/>
    <cellStyle name="40% - Accent6 10" xfId="278" xr:uid="{00000000-0005-0000-0000-00006E000000}"/>
    <cellStyle name="40% - Accent6 11" xfId="279" xr:uid="{00000000-0005-0000-0000-00006F000000}"/>
    <cellStyle name="40% - Accent6 2" xfId="12" xr:uid="{00000000-0005-0000-0000-000070000000}"/>
    <cellStyle name="40% - Accent6 3" xfId="280" xr:uid="{00000000-0005-0000-0000-000071000000}"/>
    <cellStyle name="40% - Accent6 4" xfId="281" xr:uid="{00000000-0005-0000-0000-000072000000}"/>
    <cellStyle name="40% - Accent6 5" xfId="282" xr:uid="{00000000-0005-0000-0000-000073000000}"/>
    <cellStyle name="40% - Accent6 6" xfId="283" xr:uid="{00000000-0005-0000-0000-000074000000}"/>
    <cellStyle name="40% - Accent6 7" xfId="284" xr:uid="{00000000-0005-0000-0000-000075000000}"/>
    <cellStyle name="40% - Accent6 8" xfId="285" xr:uid="{00000000-0005-0000-0000-000076000000}"/>
    <cellStyle name="40% - Accent6 9" xfId="286" xr:uid="{00000000-0005-0000-0000-000077000000}"/>
    <cellStyle name="60% - Accent1 10" xfId="287" xr:uid="{00000000-0005-0000-0000-000078000000}"/>
    <cellStyle name="60% - Accent1 11" xfId="288" xr:uid="{00000000-0005-0000-0000-000079000000}"/>
    <cellStyle name="60% - Accent1 2" xfId="13" xr:uid="{00000000-0005-0000-0000-00007A000000}"/>
    <cellStyle name="60% - Accent1 3" xfId="289" xr:uid="{00000000-0005-0000-0000-00007B000000}"/>
    <cellStyle name="60% - Accent1 4" xfId="290" xr:uid="{00000000-0005-0000-0000-00007C000000}"/>
    <cellStyle name="60% - Accent1 5" xfId="291" xr:uid="{00000000-0005-0000-0000-00007D000000}"/>
    <cellStyle name="60% - Accent1 6" xfId="292" xr:uid="{00000000-0005-0000-0000-00007E000000}"/>
    <cellStyle name="60% - Accent1 7" xfId="293" xr:uid="{00000000-0005-0000-0000-00007F000000}"/>
    <cellStyle name="60% - Accent1 8" xfId="294" xr:uid="{00000000-0005-0000-0000-000080000000}"/>
    <cellStyle name="60% - Accent1 9" xfId="295" xr:uid="{00000000-0005-0000-0000-000081000000}"/>
    <cellStyle name="60% - Accent2 10" xfId="296" xr:uid="{00000000-0005-0000-0000-000082000000}"/>
    <cellStyle name="60% - Accent2 11" xfId="297" xr:uid="{00000000-0005-0000-0000-000083000000}"/>
    <cellStyle name="60% - Accent2 2" xfId="14" xr:uid="{00000000-0005-0000-0000-000084000000}"/>
    <cellStyle name="60% - Accent2 3" xfId="298" xr:uid="{00000000-0005-0000-0000-000085000000}"/>
    <cellStyle name="60% - Accent2 4" xfId="299" xr:uid="{00000000-0005-0000-0000-000086000000}"/>
    <cellStyle name="60% - Accent2 5" xfId="300" xr:uid="{00000000-0005-0000-0000-000087000000}"/>
    <cellStyle name="60% - Accent2 6" xfId="301" xr:uid="{00000000-0005-0000-0000-000088000000}"/>
    <cellStyle name="60% - Accent2 7" xfId="302" xr:uid="{00000000-0005-0000-0000-000089000000}"/>
    <cellStyle name="60% - Accent2 8" xfId="303" xr:uid="{00000000-0005-0000-0000-00008A000000}"/>
    <cellStyle name="60% - Accent2 9" xfId="304" xr:uid="{00000000-0005-0000-0000-00008B000000}"/>
    <cellStyle name="60% - Accent3 10" xfId="305" xr:uid="{00000000-0005-0000-0000-00008C000000}"/>
    <cellStyle name="60% - Accent3 11" xfId="306" xr:uid="{00000000-0005-0000-0000-00008D000000}"/>
    <cellStyle name="60% - Accent3 2" xfId="15" xr:uid="{00000000-0005-0000-0000-00008E000000}"/>
    <cellStyle name="60% - Accent3 3" xfId="307" xr:uid="{00000000-0005-0000-0000-00008F000000}"/>
    <cellStyle name="60% - Accent3 4" xfId="308" xr:uid="{00000000-0005-0000-0000-000090000000}"/>
    <cellStyle name="60% - Accent3 5" xfId="309" xr:uid="{00000000-0005-0000-0000-000091000000}"/>
    <cellStyle name="60% - Accent3 6" xfId="310" xr:uid="{00000000-0005-0000-0000-000092000000}"/>
    <cellStyle name="60% - Accent3 7" xfId="311" xr:uid="{00000000-0005-0000-0000-000093000000}"/>
    <cellStyle name="60% - Accent3 8" xfId="312" xr:uid="{00000000-0005-0000-0000-000094000000}"/>
    <cellStyle name="60% - Accent3 9" xfId="313" xr:uid="{00000000-0005-0000-0000-000095000000}"/>
    <cellStyle name="60% - Accent4 10" xfId="314" xr:uid="{00000000-0005-0000-0000-000096000000}"/>
    <cellStyle name="60% - Accent4 11" xfId="315" xr:uid="{00000000-0005-0000-0000-000097000000}"/>
    <cellStyle name="60% - Accent4 2" xfId="16" xr:uid="{00000000-0005-0000-0000-000098000000}"/>
    <cellStyle name="60% - Accent4 3" xfId="316" xr:uid="{00000000-0005-0000-0000-000099000000}"/>
    <cellStyle name="60% - Accent4 4" xfId="317" xr:uid="{00000000-0005-0000-0000-00009A000000}"/>
    <cellStyle name="60% - Accent4 5" xfId="318" xr:uid="{00000000-0005-0000-0000-00009B000000}"/>
    <cellStyle name="60% - Accent4 6" xfId="319" xr:uid="{00000000-0005-0000-0000-00009C000000}"/>
    <cellStyle name="60% - Accent4 7" xfId="320" xr:uid="{00000000-0005-0000-0000-00009D000000}"/>
    <cellStyle name="60% - Accent4 8" xfId="321" xr:uid="{00000000-0005-0000-0000-00009E000000}"/>
    <cellStyle name="60% - Accent4 9" xfId="322" xr:uid="{00000000-0005-0000-0000-00009F000000}"/>
    <cellStyle name="60% - Accent5 10" xfId="323" xr:uid="{00000000-0005-0000-0000-0000A0000000}"/>
    <cellStyle name="60% - Accent5 11" xfId="324" xr:uid="{00000000-0005-0000-0000-0000A1000000}"/>
    <cellStyle name="60% - Accent5 2" xfId="17" xr:uid="{00000000-0005-0000-0000-0000A2000000}"/>
    <cellStyle name="60% - Accent5 3" xfId="325" xr:uid="{00000000-0005-0000-0000-0000A3000000}"/>
    <cellStyle name="60% - Accent5 4" xfId="326" xr:uid="{00000000-0005-0000-0000-0000A4000000}"/>
    <cellStyle name="60% - Accent5 5" xfId="327" xr:uid="{00000000-0005-0000-0000-0000A5000000}"/>
    <cellStyle name="60% - Accent5 6" xfId="328" xr:uid="{00000000-0005-0000-0000-0000A6000000}"/>
    <cellStyle name="60% - Accent5 7" xfId="329" xr:uid="{00000000-0005-0000-0000-0000A7000000}"/>
    <cellStyle name="60% - Accent5 8" xfId="330" xr:uid="{00000000-0005-0000-0000-0000A8000000}"/>
    <cellStyle name="60% - Accent5 9" xfId="331" xr:uid="{00000000-0005-0000-0000-0000A9000000}"/>
    <cellStyle name="60% - Accent6 10" xfId="332" xr:uid="{00000000-0005-0000-0000-0000AA000000}"/>
    <cellStyle name="60% - Accent6 11" xfId="333" xr:uid="{00000000-0005-0000-0000-0000AB000000}"/>
    <cellStyle name="60% - Accent6 2" xfId="18" xr:uid="{00000000-0005-0000-0000-0000AC000000}"/>
    <cellStyle name="60% - Accent6 3" xfId="334" xr:uid="{00000000-0005-0000-0000-0000AD000000}"/>
    <cellStyle name="60% - Accent6 4" xfId="335" xr:uid="{00000000-0005-0000-0000-0000AE000000}"/>
    <cellStyle name="60% - Accent6 5" xfId="336" xr:uid="{00000000-0005-0000-0000-0000AF000000}"/>
    <cellStyle name="60% - Accent6 6" xfId="337" xr:uid="{00000000-0005-0000-0000-0000B0000000}"/>
    <cellStyle name="60% - Accent6 7" xfId="338" xr:uid="{00000000-0005-0000-0000-0000B1000000}"/>
    <cellStyle name="60% - Accent6 8" xfId="339" xr:uid="{00000000-0005-0000-0000-0000B2000000}"/>
    <cellStyle name="60% - Accent6 9" xfId="340" xr:uid="{00000000-0005-0000-0000-0000B3000000}"/>
    <cellStyle name="Accent1 - 20%" xfId="19" xr:uid="{00000000-0005-0000-0000-0000B4000000}"/>
    <cellStyle name="Accent1 - 20% 2" xfId="341" xr:uid="{00000000-0005-0000-0000-0000B5000000}"/>
    <cellStyle name="Accent1 - 20% 3" xfId="342" xr:uid="{00000000-0005-0000-0000-0000B6000000}"/>
    <cellStyle name="Accent1 - 20% 4" xfId="343" xr:uid="{00000000-0005-0000-0000-0000B7000000}"/>
    <cellStyle name="Accent1 - 40%" xfId="20" xr:uid="{00000000-0005-0000-0000-0000B8000000}"/>
    <cellStyle name="Accent1 - 40% 2" xfId="344" xr:uid="{00000000-0005-0000-0000-0000B9000000}"/>
    <cellStyle name="Accent1 - 40% 3" xfId="345" xr:uid="{00000000-0005-0000-0000-0000BA000000}"/>
    <cellStyle name="Accent1 - 40% 4" xfId="346" xr:uid="{00000000-0005-0000-0000-0000BB000000}"/>
    <cellStyle name="Accent1 - 60%" xfId="21" xr:uid="{00000000-0005-0000-0000-0000BC000000}"/>
    <cellStyle name="Accent1 10" xfId="347" xr:uid="{00000000-0005-0000-0000-0000BD000000}"/>
    <cellStyle name="Accent1 11" xfId="348" xr:uid="{00000000-0005-0000-0000-0000BE000000}"/>
    <cellStyle name="Accent1 12" xfId="349" xr:uid="{00000000-0005-0000-0000-0000BF000000}"/>
    <cellStyle name="Accent1 13" xfId="350" xr:uid="{00000000-0005-0000-0000-0000C0000000}"/>
    <cellStyle name="Accent1 14" xfId="351" xr:uid="{00000000-0005-0000-0000-0000C1000000}"/>
    <cellStyle name="Accent1 15" xfId="352" xr:uid="{00000000-0005-0000-0000-0000C2000000}"/>
    <cellStyle name="Accent1 16" xfId="353" xr:uid="{00000000-0005-0000-0000-0000C3000000}"/>
    <cellStyle name="Accent1 2" xfId="22" xr:uid="{00000000-0005-0000-0000-0000C4000000}"/>
    <cellStyle name="Accent1 2 2" xfId="354" xr:uid="{00000000-0005-0000-0000-0000C5000000}"/>
    <cellStyle name="Accent1 2 3" xfId="355" xr:uid="{00000000-0005-0000-0000-0000C6000000}"/>
    <cellStyle name="Accent1 3" xfId="356" xr:uid="{00000000-0005-0000-0000-0000C7000000}"/>
    <cellStyle name="Accent1 3 2" xfId="357" xr:uid="{00000000-0005-0000-0000-0000C8000000}"/>
    <cellStyle name="Accent1 4" xfId="358" xr:uid="{00000000-0005-0000-0000-0000C9000000}"/>
    <cellStyle name="Accent1 5" xfId="359" xr:uid="{00000000-0005-0000-0000-0000CA000000}"/>
    <cellStyle name="Accent1 6" xfId="360" xr:uid="{00000000-0005-0000-0000-0000CB000000}"/>
    <cellStyle name="Accent1 7" xfId="361" xr:uid="{00000000-0005-0000-0000-0000CC000000}"/>
    <cellStyle name="Accent1 8" xfId="362" xr:uid="{00000000-0005-0000-0000-0000CD000000}"/>
    <cellStyle name="Accent1 9" xfId="363" xr:uid="{00000000-0005-0000-0000-0000CE000000}"/>
    <cellStyle name="Accent2 - 20%" xfId="23" xr:uid="{00000000-0005-0000-0000-0000CF000000}"/>
    <cellStyle name="Accent2 - 20% 2" xfId="364" xr:uid="{00000000-0005-0000-0000-0000D0000000}"/>
    <cellStyle name="Accent2 - 20% 3" xfId="365" xr:uid="{00000000-0005-0000-0000-0000D1000000}"/>
    <cellStyle name="Accent2 - 20% 4" xfId="366" xr:uid="{00000000-0005-0000-0000-0000D2000000}"/>
    <cellStyle name="Accent2 - 40%" xfId="24" xr:uid="{00000000-0005-0000-0000-0000D3000000}"/>
    <cellStyle name="Accent2 - 40% 2" xfId="367" xr:uid="{00000000-0005-0000-0000-0000D4000000}"/>
    <cellStyle name="Accent2 - 40% 3" xfId="368" xr:uid="{00000000-0005-0000-0000-0000D5000000}"/>
    <cellStyle name="Accent2 - 40% 4" xfId="369" xr:uid="{00000000-0005-0000-0000-0000D6000000}"/>
    <cellStyle name="Accent2 - 60%" xfId="25" xr:uid="{00000000-0005-0000-0000-0000D7000000}"/>
    <cellStyle name="Accent2 10" xfId="370" xr:uid="{00000000-0005-0000-0000-0000D8000000}"/>
    <cellStyle name="Accent2 11" xfId="371" xr:uid="{00000000-0005-0000-0000-0000D9000000}"/>
    <cellStyle name="Accent2 12" xfId="372" xr:uid="{00000000-0005-0000-0000-0000DA000000}"/>
    <cellStyle name="Accent2 13" xfId="373" xr:uid="{00000000-0005-0000-0000-0000DB000000}"/>
    <cellStyle name="Accent2 14" xfId="374" xr:uid="{00000000-0005-0000-0000-0000DC000000}"/>
    <cellStyle name="Accent2 15" xfId="375" xr:uid="{00000000-0005-0000-0000-0000DD000000}"/>
    <cellStyle name="Accent2 16" xfId="376" xr:uid="{00000000-0005-0000-0000-0000DE000000}"/>
    <cellStyle name="Accent2 2" xfId="26" xr:uid="{00000000-0005-0000-0000-0000DF000000}"/>
    <cellStyle name="Accent2 2 2" xfId="377" xr:uid="{00000000-0005-0000-0000-0000E0000000}"/>
    <cellStyle name="Accent2 2 3" xfId="378" xr:uid="{00000000-0005-0000-0000-0000E1000000}"/>
    <cellStyle name="Accent2 3" xfId="379" xr:uid="{00000000-0005-0000-0000-0000E2000000}"/>
    <cellStyle name="Accent2 3 2" xfId="380" xr:uid="{00000000-0005-0000-0000-0000E3000000}"/>
    <cellStyle name="Accent2 4" xfId="381" xr:uid="{00000000-0005-0000-0000-0000E4000000}"/>
    <cellStyle name="Accent2 5" xfId="382" xr:uid="{00000000-0005-0000-0000-0000E5000000}"/>
    <cellStyle name="Accent2 6" xfId="383" xr:uid="{00000000-0005-0000-0000-0000E6000000}"/>
    <cellStyle name="Accent2 7" xfId="384" xr:uid="{00000000-0005-0000-0000-0000E7000000}"/>
    <cellStyle name="Accent2 8" xfId="385" xr:uid="{00000000-0005-0000-0000-0000E8000000}"/>
    <cellStyle name="Accent2 9" xfId="386" xr:uid="{00000000-0005-0000-0000-0000E9000000}"/>
    <cellStyle name="Accent3 - 20%" xfId="27" xr:uid="{00000000-0005-0000-0000-0000EA000000}"/>
    <cellStyle name="Accent3 - 20% 2" xfId="387" xr:uid="{00000000-0005-0000-0000-0000EB000000}"/>
    <cellStyle name="Accent3 - 20% 3" xfId="388" xr:uid="{00000000-0005-0000-0000-0000EC000000}"/>
    <cellStyle name="Accent3 - 20% 4" xfId="389" xr:uid="{00000000-0005-0000-0000-0000ED000000}"/>
    <cellStyle name="Accent3 - 40%" xfId="28" xr:uid="{00000000-0005-0000-0000-0000EE000000}"/>
    <cellStyle name="Accent3 - 40% 2" xfId="390" xr:uid="{00000000-0005-0000-0000-0000EF000000}"/>
    <cellStyle name="Accent3 - 40% 3" xfId="391" xr:uid="{00000000-0005-0000-0000-0000F0000000}"/>
    <cellStyle name="Accent3 - 40% 4" xfId="392" xr:uid="{00000000-0005-0000-0000-0000F1000000}"/>
    <cellStyle name="Accent3 - 60%" xfId="29" xr:uid="{00000000-0005-0000-0000-0000F2000000}"/>
    <cellStyle name="Accent3 10" xfId="393" xr:uid="{00000000-0005-0000-0000-0000F3000000}"/>
    <cellStyle name="Accent3 11" xfId="394" xr:uid="{00000000-0005-0000-0000-0000F4000000}"/>
    <cellStyle name="Accent3 12" xfId="395" xr:uid="{00000000-0005-0000-0000-0000F5000000}"/>
    <cellStyle name="Accent3 13" xfId="396" xr:uid="{00000000-0005-0000-0000-0000F6000000}"/>
    <cellStyle name="Accent3 14" xfId="397" xr:uid="{00000000-0005-0000-0000-0000F7000000}"/>
    <cellStyle name="Accent3 15" xfId="398" xr:uid="{00000000-0005-0000-0000-0000F8000000}"/>
    <cellStyle name="Accent3 16" xfId="399" xr:uid="{00000000-0005-0000-0000-0000F9000000}"/>
    <cellStyle name="Accent3 2" xfId="30" xr:uid="{00000000-0005-0000-0000-0000FA000000}"/>
    <cellStyle name="Accent3 2 2" xfId="400" xr:uid="{00000000-0005-0000-0000-0000FB000000}"/>
    <cellStyle name="Accent3 2 3" xfId="401" xr:uid="{00000000-0005-0000-0000-0000FC000000}"/>
    <cellStyle name="Accent3 3" xfId="402" xr:uid="{00000000-0005-0000-0000-0000FD000000}"/>
    <cellStyle name="Accent3 3 2" xfId="403" xr:uid="{00000000-0005-0000-0000-0000FE000000}"/>
    <cellStyle name="Accent3 4" xfId="404" xr:uid="{00000000-0005-0000-0000-0000FF000000}"/>
    <cellStyle name="Accent3 5" xfId="405" xr:uid="{00000000-0005-0000-0000-000000010000}"/>
    <cellStyle name="Accent3 6" xfId="406" xr:uid="{00000000-0005-0000-0000-000001010000}"/>
    <cellStyle name="Accent3 7" xfId="407" xr:uid="{00000000-0005-0000-0000-000002010000}"/>
    <cellStyle name="Accent3 8" xfId="408" xr:uid="{00000000-0005-0000-0000-000003010000}"/>
    <cellStyle name="Accent3 9" xfId="409" xr:uid="{00000000-0005-0000-0000-000004010000}"/>
    <cellStyle name="Accent4 - 20%" xfId="31" xr:uid="{00000000-0005-0000-0000-000005010000}"/>
    <cellStyle name="Accent4 - 20% 2" xfId="410" xr:uid="{00000000-0005-0000-0000-000006010000}"/>
    <cellStyle name="Accent4 - 20% 3" xfId="411" xr:uid="{00000000-0005-0000-0000-000007010000}"/>
    <cellStyle name="Accent4 - 20% 4" xfId="412" xr:uid="{00000000-0005-0000-0000-000008010000}"/>
    <cellStyle name="Accent4 - 40%" xfId="32" xr:uid="{00000000-0005-0000-0000-000009010000}"/>
    <cellStyle name="Accent4 - 40% 2" xfId="413" xr:uid="{00000000-0005-0000-0000-00000A010000}"/>
    <cellStyle name="Accent4 - 40% 3" xfId="414" xr:uid="{00000000-0005-0000-0000-00000B010000}"/>
    <cellStyle name="Accent4 - 40% 4" xfId="415" xr:uid="{00000000-0005-0000-0000-00000C010000}"/>
    <cellStyle name="Accent4 - 60%" xfId="33" xr:uid="{00000000-0005-0000-0000-00000D010000}"/>
    <cellStyle name="Accent4 10" xfId="416" xr:uid="{00000000-0005-0000-0000-00000E010000}"/>
    <cellStyle name="Accent4 11" xfId="417" xr:uid="{00000000-0005-0000-0000-00000F010000}"/>
    <cellStyle name="Accent4 12" xfId="418" xr:uid="{00000000-0005-0000-0000-000010010000}"/>
    <cellStyle name="Accent4 13" xfId="419" xr:uid="{00000000-0005-0000-0000-000011010000}"/>
    <cellStyle name="Accent4 14" xfId="420" xr:uid="{00000000-0005-0000-0000-000012010000}"/>
    <cellStyle name="Accent4 15" xfId="421" xr:uid="{00000000-0005-0000-0000-000013010000}"/>
    <cellStyle name="Accent4 16" xfId="422" xr:uid="{00000000-0005-0000-0000-000014010000}"/>
    <cellStyle name="Accent4 2" xfId="34" xr:uid="{00000000-0005-0000-0000-000015010000}"/>
    <cellStyle name="Accent4 2 2" xfId="423" xr:uid="{00000000-0005-0000-0000-000016010000}"/>
    <cellStyle name="Accent4 2 3" xfId="424" xr:uid="{00000000-0005-0000-0000-000017010000}"/>
    <cellStyle name="Accent4 3" xfId="425" xr:uid="{00000000-0005-0000-0000-000018010000}"/>
    <cellStyle name="Accent4 3 2" xfId="426" xr:uid="{00000000-0005-0000-0000-000019010000}"/>
    <cellStyle name="Accent4 4" xfId="427" xr:uid="{00000000-0005-0000-0000-00001A010000}"/>
    <cellStyle name="Accent4 5" xfId="428" xr:uid="{00000000-0005-0000-0000-00001B010000}"/>
    <cellStyle name="Accent4 6" xfId="429" xr:uid="{00000000-0005-0000-0000-00001C010000}"/>
    <cellStyle name="Accent4 7" xfId="430" xr:uid="{00000000-0005-0000-0000-00001D010000}"/>
    <cellStyle name="Accent4 8" xfId="431" xr:uid="{00000000-0005-0000-0000-00001E010000}"/>
    <cellStyle name="Accent4 9" xfId="432" xr:uid="{00000000-0005-0000-0000-00001F010000}"/>
    <cellStyle name="Accent5 - 20%" xfId="35" xr:uid="{00000000-0005-0000-0000-000020010000}"/>
    <cellStyle name="Accent5 - 20% 2" xfId="433" xr:uid="{00000000-0005-0000-0000-000021010000}"/>
    <cellStyle name="Accent5 - 20% 3" xfId="434" xr:uid="{00000000-0005-0000-0000-000022010000}"/>
    <cellStyle name="Accent5 - 20% 4" xfId="435" xr:uid="{00000000-0005-0000-0000-000023010000}"/>
    <cellStyle name="Accent5 - 40%" xfId="36" xr:uid="{00000000-0005-0000-0000-000024010000}"/>
    <cellStyle name="Accent5 - 40% 2" xfId="436" xr:uid="{00000000-0005-0000-0000-000025010000}"/>
    <cellStyle name="Accent5 - 40% 3" xfId="437" xr:uid="{00000000-0005-0000-0000-000026010000}"/>
    <cellStyle name="Accent5 - 40% 4" xfId="438" xr:uid="{00000000-0005-0000-0000-000027010000}"/>
    <cellStyle name="Accent5 - 60%" xfId="37" xr:uid="{00000000-0005-0000-0000-000028010000}"/>
    <cellStyle name="Accent5 10" xfId="439" xr:uid="{00000000-0005-0000-0000-000029010000}"/>
    <cellStyle name="Accent5 11" xfId="440" xr:uid="{00000000-0005-0000-0000-00002A010000}"/>
    <cellStyle name="Accent5 12" xfId="441" xr:uid="{00000000-0005-0000-0000-00002B010000}"/>
    <cellStyle name="Accent5 13" xfId="442" xr:uid="{00000000-0005-0000-0000-00002C010000}"/>
    <cellStyle name="Accent5 14" xfId="443" xr:uid="{00000000-0005-0000-0000-00002D010000}"/>
    <cellStyle name="Accent5 15" xfId="444" xr:uid="{00000000-0005-0000-0000-00002E010000}"/>
    <cellStyle name="Accent5 16" xfId="445" xr:uid="{00000000-0005-0000-0000-00002F010000}"/>
    <cellStyle name="Accent5 2" xfId="38" xr:uid="{00000000-0005-0000-0000-000030010000}"/>
    <cellStyle name="Accent5 2 2" xfId="446" xr:uid="{00000000-0005-0000-0000-000031010000}"/>
    <cellStyle name="Accent5 2 3" xfId="447" xr:uid="{00000000-0005-0000-0000-000032010000}"/>
    <cellStyle name="Accent5 3" xfId="448" xr:uid="{00000000-0005-0000-0000-000033010000}"/>
    <cellStyle name="Accent5 3 2" xfId="449" xr:uid="{00000000-0005-0000-0000-000034010000}"/>
    <cellStyle name="Accent5 4" xfId="450" xr:uid="{00000000-0005-0000-0000-000035010000}"/>
    <cellStyle name="Accent5 5" xfId="451" xr:uid="{00000000-0005-0000-0000-000036010000}"/>
    <cellStyle name="Accent5 6" xfId="452" xr:uid="{00000000-0005-0000-0000-000037010000}"/>
    <cellStyle name="Accent5 7" xfId="453" xr:uid="{00000000-0005-0000-0000-000038010000}"/>
    <cellStyle name="Accent5 8" xfId="454" xr:uid="{00000000-0005-0000-0000-000039010000}"/>
    <cellStyle name="Accent5 9" xfId="455" xr:uid="{00000000-0005-0000-0000-00003A010000}"/>
    <cellStyle name="Accent6 - 20%" xfId="39" xr:uid="{00000000-0005-0000-0000-00003B010000}"/>
    <cellStyle name="Accent6 - 20% 2" xfId="456" xr:uid="{00000000-0005-0000-0000-00003C010000}"/>
    <cellStyle name="Accent6 - 20% 3" xfId="457" xr:uid="{00000000-0005-0000-0000-00003D010000}"/>
    <cellStyle name="Accent6 - 20% 4" xfId="458" xr:uid="{00000000-0005-0000-0000-00003E010000}"/>
    <cellStyle name="Accent6 - 40%" xfId="40" xr:uid="{00000000-0005-0000-0000-00003F010000}"/>
    <cellStyle name="Accent6 - 40% 2" xfId="459" xr:uid="{00000000-0005-0000-0000-000040010000}"/>
    <cellStyle name="Accent6 - 40% 3" xfId="460" xr:uid="{00000000-0005-0000-0000-000041010000}"/>
    <cellStyle name="Accent6 - 40% 4" xfId="461" xr:uid="{00000000-0005-0000-0000-000042010000}"/>
    <cellStyle name="Accent6 - 60%" xfId="41" xr:uid="{00000000-0005-0000-0000-000043010000}"/>
    <cellStyle name="Accent6 10" xfId="462" xr:uid="{00000000-0005-0000-0000-000044010000}"/>
    <cellStyle name="Accent6 11" xfId="463" xr:uid="{00000000-0005-0000-0000-000045010000}"/>
    <cellStyle name="Accent6 12" xfId="464" xr:uid="{00000000-0005-0000-0000-000046010000}"/>
    <cellStyle name="Accent6 13" xfId="465" xr:uid="{00000000-0005-0000-0000-000047010000}"/>
    <cellStyle name="Accent6 14" xfId="466" xr:uid="{00000000-0005-0000-0000-000048010000}"/>
    <cellStyle name="Accent6 15" xfId="467" xr:uid="{00000000-0005-0000-0000-000049010000}"/>
    <cellStyle name="Accent6 16" xfId="468" xr:uid="{00000000-0005-0000-0000-00004A010000}"/>
    <cellStyle name="Accent6 2" xfId="42" xr:uid="{00000000-0005-0000-0000-00004B010000}"/>
    <cellStyle name="Accent6 2 2" xfId="469" xr:uid="{00000000-0005-0000-0000-00004C010000}"/>
    <cellStyle name="Accent6 2 3" xfId="470" xr:uid="{00000000-0005-0000-0000-00004D010000}"/>
    <cellStyle name="Accent6 3" xfId="471" xr:uid="{00000000-0005-0000-0000-00004E010000}"/>
    <cellStyle name="Accent6 3 2" xfId="472" xr:uid="{00000000-0005-0000-0000-00004F010000}"/>
    <cellStyle name="Accent6 4" xfId="473" xr:uid="{00000000-0005-0000-0000-000050010000}"/>
    <cellStyle name="Accent6 5" xfId="474" xr:uid="{00000000-0005-0000-0000-000051010000}"/>
    <cellStyle name="Accent6 6" xfId="475" xr:uid="{00000000-0005-0000-0000-000052010000}"/>
    <cellStyle name="Accent6 7" xfId="476" xr:uid="{00000000-0005-0000-0000-000053010000}"/>
    <cellStyle name="Accent6 8" xfId="477" xr:uid="{00000000-0005-0000-0000-000054010000}"/>
    <cellStyle name="Accent6 9" xfId="478" xr:uid="{00000000-0005-0000-0000-000055010000}"/>
    <cellStyle name="Bad 10" xfId="479" xr:uid="{00000000-0005-0000-0000-000056010000}"/>
    <cellStyle name="Bad 11" xfId="480" xr:uid="{00000000-0005-0000-0000-000057010000}"/>
    <cellStyle name="Bad 12" xfId="481" xr:uid="{00000000-0005-0000-0000-000058010000}"/>
    <cellStyle name="Bad 13" xfId="482" xr:uid="{00000000-0005-0000-0000-000059010000}"/>
    <cellStyle name="Bad 14" xfId="483" xr:uid="{00000000-0005-0000-0000-00005A010000}"/>
    <cellStyle name="Bad 15" xfId="484" xr:uid="{00000000-0005-0000-0000-00005B010000}"/>
    <cellStyle name="Bad 16" xfId="485" xr:uid="{00000000-0005-0000-0000-00005C010000}"/>
    <cellStyle name="Bad 2" xfId="43" xr:uid="{00000000-0005-0000-0000-00005D010000}"/>
    <cellStyle name="Bad 2 2" xfId="486" xr:uid="{00000000-0005-0000-0000-00005E010000}"/>
    <cellStyle name="Bad 2 3" xfId="487" xr:uid="{00000000-0005-0000-0000-00005F010000}"/>
    <cellStyle name="Bad 3" xfId="488" xr:uid="{00000000-0005-0000-0000-000060010000}"/>
    <cellStyle name="Bad 3 2" xfId="489" xr:uid="{00000000-0005-0000-0000-000061010000}"/>
    <cellStyle name="Bad 4" xfId="490" xr:uid="{00000000-0005-0000-0000-000062010000}"/>
    <cellStyle name="Bad 5" xfId="491" xr:uid="{00000000-0005-0000-0000-000063010000}"/>
    <cellStyle name="Bad 6" xfId="492" xr:uid="{00000000-0005-0000-0000-000064010000}"/>
    <cellStyle name="Bad 7" xfId="493" xr:uid="{00000000-0005-0000-0000-000065010000}"/>
    <cellStyle name="Bad 8" xfId="494" xr:uid="{00000000-0005-0000-0000-000066010000}"/>
    <cellStyle name="Bad 9" xfId="495" xr:uid="{00000000-0005-0000-0000-000067010000}"/>
    <cellStyle name="BOOKMAN" xfId="496" xr:uid="{00000000-0005-0000-0000-000068010000}"/>
    <cellStyle name="Calc Currency (0)" xfId="44" xr:uid="{00000000-0005-0000-0000-000069010000}"/>
    <cellStyle name="Calculation 10" xfId="497" xr:uid="{00000000-0005-0000-0000-00006A010000}"/>
    <cellStyle name="Calculation 11" xfId="498" xr:uid="{00000000-0005-0000-0000-00006B010000}"/>
    <cellStyle name="Calculation 12" xfId="499" xr:uid="{00000000-0005-0000-0000-00006C010000}"/>
    <cellStyle name="Calculation 13" xfId="500" xr:uid="{00000000-0005-0000-0000-00006D010000}"/>
    <cellStyle name="Calculation 14" xfId="501" xr:uid="{00000000-0005-0000-0000-00006E010000}"/>
    <cellStyle name="Calculation 15" xfId="502" xr:uid="{00000000-0005-0000-0000-00006F010000}"/>
    <cellStyle name="Calculation 16" xfId="503" xr:uid="{00000000-0005-0000-0000-000070010000}"/>
    <cellStyle name="Calculation 2" xfId="45" xr:uid="{00000000-0005-0000-0000-000071010000}"/>
    <cellStyle name="Calculation 2 2" xfId="504" xr:uid="{00000000-0005-0000-0000-000072010000}"/>
    <cellStyle name="Calculation 2 3" xfId="505" xr:uid="{00000000-0005-0000-0000-000073010000}"/>
    <cellStyle name="Calculation 2 4" xfId="506" xr:uid="{00000000-0005-0000-0000-000074010000}"/>
    <cellStyle name="Calculation 3" xfId="507" xr:uid="{00000000-0005-0000-0000-000075010000}"/>
    <cellStyle name="Calculation 3 2" xfId="508" xr:uid="{00000000-0005-0000-0000-000076010000}"/>
    <cellStyle name="Calculation 4" xfId="509" xr:uid="{00000000-0005-0000-0000-000077010000}"/>
    <cellStyle name="Calculation 5" xfId="510" xr:uid="{00000000-0005-0000-0000-000078010000}"/>
    <cellStyle name="Calculation 6" xfId="511" xr:uid="{00000000-0005-0000-0000-000079010000}"/>
    <cellStyle name="Calculation 7" xfId="512" xr:uid="{00000000-0005-0000-0000-00007A010000}"/>
    <cellStyle name="Calculation 8" xfId="513" xr:uid="{00000000-0005-0000-0000-00007B010000}"/>
    <cellStyle name="Calculation 9" xfId="514" xr:uid="{00000000-0005-0000-0000-00007C010000}"/>
    <cellStyle name="Check Cell 10" xfId="515" xr:uid="{00000000-0005-0000-0000-00007D010000}"/>
    <cellStyle name="Check Cell 11" xfId="516" xr:uid="{00000000-0005-0000-0000-00007E010000}"/>
    <cellStyle name="Check Cell 12" xfId="517" xr:uid="{00000000-0005-0000-0000-00007F010000}"/>
    <cellStyle name="Check Cell 13" xfId="518" xr:uid="{00000000-0005-0000-0000-000080010000}"/>
    <cellStyle name="Check Cell 14" xfId="519" xr:uid="{00000000-0005-0000-0000-000081010000}"/>
    <cellStyle name="Check Cell 15" xfId="520" xr:uid="{00000000-0005-0000-0000-000082010000}"/>
    <cellStyle name="Check Cell 16" xfId="521" xr:uid="{00000000-0005-0000-0000-000083010000}"/>
    <cellStyle name="Check Cell 2" xfId="46" xr:uid="{00000000-0005-0000-0000-000084010000}"/>
    <cellStyle name="Check Cell 2 2" xfId="522" xr:uid="{00000000-0005-0000-0000-000085010000}"/>
    <cellStyle name="Check Cell 2 3" xfId="523" xr:uid="{00000000-0005-0000-0000-000086010000}"/>
    <cellStyle name="Check Cell 3" xfId="524" xr:uid="{00000000-0005-0000-0000-000087010000}"/>
    <cellStyle name="Check Cell 3 2" xfId="525" xr:uid="{00000000-0005-0000-0000-000088010000}"/>
    <cellStyle name="Check Cell 4" xfId="526" xr:uid="{00000000-0005-0000-0000-000089010000}"/>
    <cellStyle name="Check Cell 5" xfId="527" xr:uid="{00000000-0005-0000-0000-00008A010000}"/>
    <cellStyle name="Check Cell 6" xfId="528" xr:uid="{00000000-0005-0000-0000-00008B010000}"/>
    <cellStyle name="Check Cell 7" xfId="529" xr:uid="{00000000-0005-0000-0000-00008C010000}"/>
    <cellStyle name="Check Cell 8" xfId="530" xr:uid="{00000000-0005-0000-0000-00008D010000}"/>
    <cellStyle name="Check Cell 9" xfId="531" xr:uid="{00000000-0005-0000-0000-00008E010000}"/>
    <cellStyle name="Comma  - Style1" xfId="47" xr:uid="{00000000-0005-0000-0000-00008F010000}"/>
    <cellStyle name="Comma  - Style1 2" xfId="532" xr:uid="{00000000-0005-0000-0000-000090010000}"/>
    <cellStyle name="Comma  - Style1 3" xfId="533" xr:uid="{00000000-0005-0000-0000-000091010000}"/>
    <cellStyle name="Comma  - Style1 4" xfId="534" xr:uid="{00000000-0005-0000-0000-000092010000}"/>
    <cellStyle name="Comma  - Style1 5" xfId="535" xr:uid="{00000000-0005-0000-0000-000093010000}"/>
    <cellStyle name="Comma  - Style1 6" xfId="536" xr:uid="{00000000-0005-0000-0000-000094010000}"/>
    <cellStyle name="Comma  - Style1_PMGSY_-NEW_-Seebai1" xfId="537" xr:uid="{00000000-0005-0000-0000-000095010000}"/>
    <cellStyle name="Comma  - Style2" xfId="48" xr:uid="{00000000-0005-0000-0000-000096010000}"/>
    <cellStyle name="Comma  - Style2 2" xfId="538" xr:uid="{00000000-0005-0000-0000-000097010000}"/>
    <cellStyle name="Comma  - Style2 3" xfId="539" xr:uid="{00000000-0005-0000-0000-000098010000}"/>
    <cellStyle name="Comma  - Style2 4" xfId="540" xr:uid="{00000000-0005-0000-0000-000099010000}"/>
    <cellStyle name="Comma  - Style2 5" xfId="541" xr:uid="{00000000-0005-0000-0000-00009A010000}"/>
    <cellStyle name="Comma  - Style2 6" xfId="542" xr:uid="{00000000-0005-0000-0000-00009B010000}"/>
    <cellStyle name="Comma  - Style2_PMGSY_-NEW_-Seebai1" xfId="543" xr:uid="{00000000-0005-0000-0000-00009C010000}"/>
    <cellStyle name="Comma  - Style3" xfId="49" xr:uid="{00000000-0005-0000-0000-00009D010000}"/>
    <cellStyle name="Comma  - Style3 2" xfId="544" xr:uid="{00000000-0005-0000-0000-00009E010000}"/>
    <cellStyle name="Comma  - Style3 3" xfId="545" xr:uid="{00000000-0005-0000-0000-00009F010000}"/>
    <cellStyle name="Comma  - Style3 4" xfId="546" xr:uid="{00000000-0005-0000-0000-0000A0010000}"/>
    <cellStyle name="Comma  - Style3 5" xfId="547" xr:uid="{00000000-0005-0000-0000-0000A1010000}"/>
    <cellStyle name="Comma  - Style3 6" xfId="548" xr:uid="{00000000-0005-0000-0000-0000A2010000}"/>
    <cellStyle name="Comma  - Style3_PMGSY_-NEW_-Seebai1" xfId="549" xr:uid="{00000000-0005-0000-0000-0000A3010000}"/>
    <cellStyle name="Comma  - Style4" xfId="50" xr:uid="{00000000-0005-0000-0000-0000A4010000}"/>
    <cellStyle name="Comma  - Style4 2" xfId="550" xr:uid="{00000000-0005-0000-0000-0000A5010000}"/>
    <cellStyle name="Comma  - Style4 3" xfId="551" xr:uid="{00000000-0005-0000-0000-0000A6010000}"/>
    <cellStyle name="Comma  - Style4 4" xfId="552" xr:uid="{00000000-0005-0000-0000-0000A7010000}"/>
    <cellStyle name="Comma  - Style4 5" xfId="553" xr:uid="{00000000-0005-0000-0000-0000A8010000}"/>
    <cellStyle name="Comma  - Style4 6" xfId="554" xr:uid="{00000000-0005-0000-0000-0000A9010000}"/>
    <cellStyle name="Comma  - Style4_PMGSY_-NEW_-Seebai1" xfId="555" xr:uid="{00000000-0005-0000-0000-0000AA010000}"/>
    <cellStyle name="Comma  - Style5" xfId="51" xr:uid="{00000000-0005-0000-0000-0000AB010000}"/>
    <cellStyle name="Comma  - Style5 2" xfId="556" xr:uid="{00000000-0005-0000-0000-0000AC010000}"/>
    <cellStyle name="Comma  - Style5 3" xfId="557" xr:uid="{00000000-0005-0000-0000-0000AD010000}"/>
    <cellStyle name="Comma  - Style5 4" xfId="558" xr:uid="{00000000-0005-0000-0000-0000AE010000}"/>
    <cellStyle name="Comma  - Style5 5" xfId="559" xr:uid="{00000000-0005-0000-0000-0000AF010000}"/>
    <cellStyle name="Comma  - Style5 6" xfId="560" xr:uid="{00000000-0005-0000-0000-0000B0010000}"/>
    <cellStyle name="Comma  - Style5_PMGSY_-NEW_-Seebai1" xfId="561" xr:uid="{00000000-0005-0000-0000-0000B1010000}"/>
    <cellStyle name="Comma  - Style6" xfId="52" xr:uid="{00000000-0005-0000-0000-0000B2010000}"/>
    <cellStyle name="Comma  - Style6 2" xfId="562" xr:uid="{00000000-0005-0000-0000-0000B3010000}"/>
    <cellStyle name="Comma  - Style6 3" xfId="563" xr:uid="{00000000-0005-0000-0000-0000B4010000}"/>
    <cellStyle name="Comma  - Style6 4" xfId="564" xr:uid="{00000000-0005-0000-0000-0000B5010000}"/>
    <cellStyle name="Comma  - Style6 5" xfId="565" xr:uid="{00000000-0005-0000-0000-0000B6010000}"/>
    <cellStyle name="Comma  - Style6 6" xfId="566" xr:uid="{00000000-0005-0000-0000-0000B7010000}"/>
    <cellStyle name="Comma  - Style6_PMGSY_-NEW_-Seebai1" xfId="567" xr:uid="{00000000-0005-0000-0000-0000B8010000}"/>
    <cellStyle name="Comma  - Style7" xfId="53" xr:uid="{00000000-0005-0000-0000-0000B9010000}"/>
    <cellStyle name="Comma  - Style7 2" xfId="568" xr:uid="{00000000-0005-0000-0000-0000BA010000}"/>
    <cellStyle name="Comma  - Style7 3" xfId="569" xr:uid="{00000000-0005-0000-0000-0000BB010000}"/>
    <cellStyle name="Comma  - Style7 4" xfId="570" xr:uid="{00000000-0005-0000-0000-0000BC010000}"/>
    <cellStyle name="Comma  - Style7 5" xfId="571" xr:uid="{00000000-0005-0000-0000-0000BD010000}"/>
    <cellStyle name="Comma  - Style7 6" xfId="572" xr:uid="{00000000-0005-0000-0000-0000BE010000}"/>
    <cellStyle name="Comma  - Style7_PMGSY_-NEW_-Seebai1" xfId="573" xr:uid="{00000000-0005-0000-0000-0000BF010000}"/>
    <cellStyle name="Comma  - Style8" xfId="54" xr:uid="{00000000-0005-0000-0000-0000C0010000}"/>
    <cellStyle name="Comma  - Style8 2" xfId="574" xr:uid="{00000000-0005-0000-0000-0000C1010000}"/>
    <cellStyle name="Comma  - Style8 3" xfId="575" xr:uid="{00000000-0005-0000-0000-0000C2010000}"/>
    <cellStyle name="Comma  - Style8 4" xfId="576" xr:uid="{00000000-0005-0000-0000-0000C3010000}"/>
    <cellStyle name="Comma  - Style8 5" xfId="577" xr:uid="{00000000-0005-0000-0000-0000C4010000}"/>
    <cellStyle name="Comma  - Style8 6" xfId="578" xr:uid="{00000000-0005-0000-0000-0000C5010000}"/>
    <cellStyle name="Comma  - Style8_PMGSY_-NEW_-Seebai1" xfId="579" xr:uid="{00000000-0005-0000-0000-0000C6010000}"/>
    <cellStyle name="Comma 2" xfId="55" xr:uid="{00000000-0005-0000-0000-0000C7010000}"/>
    <cellStyle name="Comma 2 10" xfId="580" xr:uid="{00000000-0005-0000-0000-0000C8010000}"/>
    <cellStyle name="Comma 2 11" xfId="581" xr:uid="{00000000-0005-0000-0000-0000C9010000}"/>
    <cellStyle name="Comma 2 12" xfId="582" xr:uid="{00000000-0005-0000-0000-0000CA010000}"/>
    <cellStyle name="Comma 2 13" xfId="583" xr:uid="{00000000-0005-0000-0000-0000CB010000}"/>
    <cellStyle name="Comma 2 2" xfId="56" xr:uid="{00000000-0005-0000-0000-0000CC010000}"/>
    <cellStyle name="Comma 2 2 10" xfId="584" xr:uid="{00000000-0005-0000-0000-0000CD010000}"/>
    <cellStyle name="Comma 2 2 11" xfId="585" xr:uid="{00000000-0005-0000-0000-0000CE010000}"/>
    <cellStyle name="Comma 2 2 2" xfId="586" xr:uid="{00000000-0005-0000-0000-0000CF010000}"/>
    <cellStyle name="Comma 2 2 3" xfId="587" xr:uid="{00000000-0005-0000-0000-0000D0010000}"/>
    <cellStyle name="Comma 2 2 4" xfId="588" xr:uid="{00000000-0005-0000-0000-0000D1010000}"/>
    <cellStyle name="Comma 2 2 5" xfId="589" xr:uid="{00000000-0005-0000-0000-0000D2010000}"/>
    <cellStyle name="Comma 2 2 6" xfId="590" xr:uid="{00000000-0005-0000-0000-0000D3010000}"/>
    <cellStyle name="Comma 2 2 7" xfId="591" xr:uid="{00000000-0005-0000-0000-0000D4010000}"/>
    <cellStyle name="Comma 2 2 8" xfId="592" xr:uid="{00000000-0005-0000-0000-0000D5010000}"/>
    <cellStyle name="Comma 2 2 9" xfId="593" xr:uid="{00000000-0005-0000-0000-0000D6010000}"/>
    <cellStyle name="Comma 2 3" xfId="594" xr:uid="{00000000-0005-0000-0000-0000D7010000}"/>
    <cellStyle name="Comma 2 3 2" xfId="595" xr:uid="{00000000-0005-0000-0000-0000D8010000}"/>
    <cellStyle name="Comma 2 3 3" xfId="596" xr:uid="{00000000-0005-0000-0000-0000D9010000}"/>
    <cellStyle name="Comma 2 3 4" xfId="597" xr:uid="{00000000-0005-0000-0000-0000DA010000}"/>
    <cellStyle name="Comma 2 4" xfId="598" xr:uid="{00000000-0005-0000-0000-0000DB010000}"/>
    <cellStyle name="Comma 2 4 2" xfId="599" xr:uid="{00000000-0005-0000-0000-0000DC010000}"/>
    <cellStyle name="Comma 2 5" xfId="600" xr:uid="{00000000-0005-0000-0000-0000DD010000}"/>
    <cellStyle name="Comma 2 6" xfId="601" xr:uid="{00000000-0005-0000-0000-0000DE010000}"/>
    <cellStyle name="Comma 2 7" xfId="602" xr:uid="{00000000-0005-0000-0000-0000DF010000}"/>
    <cellStyle name="Comma 2 8" xfId="603" xr:uid="{00000000-0005-0000-0000-0000E0010000}"/>
    <cellStyle name="Comma 2 9" xfId="604" xr:uid="{00000000-0005-0000-0000-0000E1010000}"/>
    <cellStyle name="Comma 2_CC Bill" xfId="605" xr:uid="{00000000-0005-0000-0000-0000E2010000}"/>
    <cellStyle name="Comma 3" xfId="57" xr:uid="{00000000-0005-0000-0000-0000E3010000}"/>
    <cellStyle name="Comma 3 10" xfId="606" xr:uid="{00000000-0005-0000-0000-0000E4010000}"/>
    <cellStyle name="Comma 3 11" xfId="607" xr:uid="{00000000-0005-0000-0000-0000E5010000}"/>
    <cellStyle name="Comma 3 2" xfId="608" xr:uid="{00000000-0005-0000-0000-0000E6010000}"/>
    <cellStyle name="Comma 3 2 2" xfId="609" xr:uid="{00000000-0005-0000-0000-0000E7010000}"/>
    <cellStyle name="Comma 3 2 2 2" xfId="610" xr:uid="{00000000-0005-0000-0000-0000E8010000}"/>
    <cellStyle name="Comma 3 2 2 2 2" xfId="611" xr:uid="{00000000-0005-0000-0000-0000E9010000}"/>
    <cellStyle name="Comma 3 2 2 2 3" xfId="612" xr:uid="{00000000-0005-0000-0000-0000EA010000}"/>
    <cellStyle name="Comma 3 2 2 2 4" xfId="613" xr:uid="{00000000-0005-0000-0000-0000EB010000}"/>
    <cellStyle name="Comma 3 2 2 2_RA-2 CC" xfId="614" xr:uid="{00000000-0005-0000-0000-0000EC010000}"/>
    <cellStyle name="Comma 3 3" xfId="615" xr:uid="{00000000-0005-0000-0000-0000ED010000}"/>
    <cellStyle name="Comma 3 3 2" xfId="616" xr:uid="{00000000-0005-0000-0000-0000EE010000}"/>
    <cellStyle name="Comma 3 4" xfId="617" xr:uid="{00000000-0005-0000-0000-0000EF010000}"/>
    <cellStyle name="Comma 3 5" xfId="618" xr:uid="{00000000-0005-0000-0000-0000F0010000}"/>
    <cellStyle name="Comma 3 6" xfId="619" xr:uid="{00000000-0005-0000-0000-0000F1010000}"/>
    <cellStyle name="Comma 3 7" xfId="620" xr:uid="{00000000-0005-0000-0000-0000F2010000}"/>
    <cellStyle name="Comma 3 8" xfId="621" xr:uid="{00000000-0005-0000-0000-0000F3010000}"/>
    <cellStyle name="Comma 3 9" xfId="622" xr:uid="{00000000-0005-0000-0000-0000F4010000}"/>
    <cellStyle name="Comma 3_CC Bill" xfId="623" xr:uid="{00000000-0005-0000-0000-0000F5010000}"/>
    <cellStyle name="Comma 4" xfId="58" xr:uid="{00000000-0005-0000-0000-0000F6010000}"/>
    <cellStyle name="Comma 4 2" xfId="59" xr:uid="{00000000-0005-0000-0000-0000F7010000}"/>
    <cellStyle name="Comma 4 2 2" xfId="624" xr:uid="{00000000-0005-0000-0000-0000F8010000}"/>
    <cellStyle name="Comma 4 3" xfId="625" xr:uid="{00000000-0005-0000-0000-0000F9010000}"/>
    <cellStyle name="Comma 4 4" xfId="626" xr:uid="{00000000-0005-0000-0000-0000FA010000}"/>
    <cellStyle name="Comma 4 5" xfId="1425" xr:uid="{00000000-0005-0000-0000-0000FB010000}"/>
    <cellStyle name="Comma 4 6" xfId="1426" xr:uid="{00000000-0005-0000-0000-0000FC010000}"/>
    <cellStyle name="Comma 4_CC Bill" xfId="627" xr:uid="{00000000-0005-0000-0000-0000FD010000}"/>
    <cellStyle name="Comma 5" xfId="60" xr:uid="{00000000-0005-0000-0000-0000FE010000}"/>
    <cellStyle name="Comma 5 2" xfId="628" xr:uid="{00000000-0005-0000-0000-0000FF010000}"/>
    <cellStyle name="Comma 5 3" xfId="629" xr:uid="{00000000-0005-0000-0000-000000020000}"/>
    <cellStyle name="Comma 5 4" xfId="1427" xr:uid="{00000000-0005-0000-0000-000001020000}"/>
    <cellStyle name="Comma 5 5" xfId="1428" xr:uid="{00000000-0005-0000-0000-000002020000}"/>
    <cellStyle name="Comma 5 6" xfId="1429" xr:uid="{00000000-0005-0000-0000-000003020000}"/>
    <cellStyle name="Comma 6" xfId="61" xr:uid="{00000000-0005-0000-0000-000004020000}"/>
    <cellStyle name="Comma 6 2" xfId="630" xr:uid="{00000000-0005-0000-0000-000005020000}"/>
    <cellStyle name="Comma 6 3" xfId="631" xr:uid="{00000000-0005-0000-0000-000006020000}"/>
    <cellStyle name="Comma 6 4" xfId="1430" xr:uid="{00000000-0005-0000-0000-000007020000}"/>
    <cellStyle name="Comma 6 5" xfId="1431" xr:uid="{00000000-0005-0000-0000-000008020000}"/>
    <cellStyle name="Comma 6 6" xfId="1432" xr:uid="{00000000-0005-0000-0000-000009020000}"/>
    <cellStyle name="Comma 7" xfId="62" xr:uid="{00000000-0005-0000-0000-00000A020000}"/>
    <cellStyle name="Comma 7 2" xfId="632" xr:uid="{00000000-0005-0000-0000-00000B020000}"/>
    <cellStyle name="Comma 7 3" xfId="633" xr:uid="{00000000-0005-0000-0000-00000C020000}"/>
    <cellStyle name="Comma 7 4" xfId="1433" xr:uid="{00000000-0005-0000-0000-00000D020000}"/>
    <cellStyle name="Comma 7 5" xfId="1434" xr:uid="{00000000-0005-0000-0000-00000E020000}"/>
    <cellStyle name="Comma 7 6" xfId="1435" xr:uid="{00000000-0005-0000-0000-00000F020000}"/>
    <cellStyle name="Comma 8" xfId="63" xr:uid="{00000000-0005-0000-0000-000010020000}"/>
    <cellStyle name="Comma 9" xfId="1345" xr:uid="{00000000-0005-0000-0000-000011020000}"/>
    <cellStyle name="Copied" xfId="64" xr:uid="{00000000-0005-0000-0000-000012020000}"/>
    <cellStyle name="Copied 2" xfId="634" xr:uid="{00000000-0005-0000-0000-000013020000}"/>
    <cellStyle name="Copied 3" xfId="635" xr:uid="{00000000-0005-0000-0000-000014020000}"/>
    <cellStyle name="Copied 4" xfId="636" xr:uid="{00000000-0005-0000-0000-000015020000}"/>
    <cellStyle name="Copied 5" xfId="637" xr:uid="{00000000-0005-0000-0000-000016020000}"/>
    <cellStyle name="Copied 6" xfId="638" xr:uid="{00000000-0005-0000-0000-000017020000}"/>
    <cellStyle name="Copied_AKKAMPALLI - RACHANAPALLI RD TO N R R COLONY" xfId="639" xr:uid="{00000000-0005-0000-0000-000018020000}"/>
    <cellStyle name="Currency 2" xfId="640" xr:uid="{00000000-0005-0000-0000-000019020000}"/>
    <cellStyle name="Currency 2 2" xfId="641" xr:uid="{00000000-0005-0000-0000-00001A020000}"/>
    <cellStyle name="Currency 2 3" xfId="1436" xr:uid="{00000000-0005-0000-0000-00001B020000}"/>
    <cellStyle name="Currency 2 4" xfId="1437" xr:uid="{00000000-0005-0000-0000-00001C020000}"/>
    <cellStyle name="Currency 2 5" xfId="1438" xr:uid="{00000000-0005-0000-0000-00001D020000}"/>
    <cellStyle name="Currency 2 6" xfId="1439" xr:uid="{00000000-0005-0000-0000-00001E020000}"/>
    <cellStyle name="Currency 2 7" xfId="1440" xr:uid="{00000000-0005-0000-0000-00001F020000}"/>
    <cellStyle name="Currency 3" xfId="642" xr:uid="{00000000-0005-0000-0000-000020020000}"/>
    <cellStyle name="Currency 4" xfId="643" xr:uid="{00000000-0005-0000-0000-000021020000}"/>
    <cellStyle name="Currency 4 2" xfId="1441" xr:uid="{00000000-0005-0000-0000-000022020000}"/>
    <cellStyle name="Currency 4 3" xfId="1442" xr:uid="{00000000-0005-0000-0000-000023020000}"/>
    <cellStyle name="Currency 4 4" xfId="1443" xr:uid="{00000000-0005-0000-0000-000024020000}"/>
    <cellStyle name="Currency 4 5" xfId="1444" xr:uid="{00000000-0005-0000-0000-000025020000}"/>
    <cellStyle name="Currency 4 6" xfId="1445" xr:uid="{00000000-0005-0000-0000-000026020000}"/>
    <cellStyle name="Currency 5" xfId="644" xr:uid="{00000000-0005-0000-0000-000027020000}"/>
    <cellStyle name="Currency 5 2" xfId="1446" xr:uid="{00000000-0005-0000-0000-000028020000}"/>
    <cellStyle name="Currency 5 3" xfId="1447" xr:uid="{00000000-0005-0000-0000-000029020000}"/>
    <cellStyle name="Currency 5 4" xfId="1448" xr:uid="{00000000-0005-0000-0000-00002A020000}"/>
    <cellStyle name="Currency 5 5" xfId="1449" xr:uid="{00000000-0005-0000-0000-00002B020000}"/>
    <cellStyle name="Currency 5 6" xfId="1450" xr:uid="{00000000-0005-0000-0000-00002C020000}"/>
    <cellStyle name="Currency 6" xfId="645" xr:uid="{00000000-0005-0000-0000-00002D020000}"/>
    <cellStyle name="Emphasis 1" xfId="65" xr:uid="{00000000-0005-0000-0000-00002E020000}"/>
    <cellStyle name="Emphasis 2" xfId="66" xr:uid="{00000000-0005-0000-0000-00002F020000}"/>
    <cellStyle name="Emphasis 3" xfId="67" xr:uid="{00000000-0005-0000-0000-000030020000}"/>
    <cellStyle name="Entered" xfId="68" xr:uid="{00000000-0005-0000-0000-000031020000}"/>
    <cellStyle name="Entered 2" xfId="646" xr:uid="{00000000-0005-0000-0000-000032020000}"/>
    <cellStyle name="Entered 3" xfId="647" xr:uid="{00000000-0005-0000-0000-000033020000}"/>
    <cellStyle name="Entered 4" xfId="648" xr:uid="{00000000-0005-0000-0000-000034020000}"/>
    <cellStyle name="Entered 5" xfId="649" xr:uid="{00000000-0005-0000-0000-000035020000}"/>
    <cellStyle name="Entered 6" xfId="650" xr:uid="{00000000-0005-0000-0000-000036020000}"/>
    <cellStyle name="Entered_AKKAMPALLI - RACHANAPALLI RD TO N R R COLONY" xfId="651" xr:uid="{00000000-0005-0000-0000-000037020000}"/>
    <cellStyle name="Euro" xfId="652" xr:uid="{00000000-0005-0000-0000-000038020000}"/>
    <cellStyle name="Euro 2" xfId="1346" xr:uid="{00000000-0005-0000-0000-000039020000}"/>
    <cellStyle name="Excel Built-in Normal" xfId="653" xr:uid="{00000000-0005-0000-0000-00003A020000}"/>
    <cellStyle name="Excel Built-in Normal 2" xfId="654" xr:uid="{00000000-0005-0000-0000-00003B020000}"/>
    <cellStyle name="Excel_BuiltIn_Total" xfId="655" xr:uid="{00000000-0005-0000-0000-00003C020000}"/>
    <cellStyle name="Explanatory Text 10" xfId="656" xr:uid="{00000000-0005-0000-0000-00003D020000}"/>
    <cellStyle name="Explanatory Text 11" xfId="657" xr:uid="{00000000-0005-0000-0000-00003E020000}"/>
    <cellStyle name="Explanatory Text 2" xfId="69" xr:uid="{00000000-0005-0000-0000-00003F020000}"/>
    <cellStyle name="Explanatory Text 3" xfId="658" xr:uid="{00000000-0005-0000-0000-000040020000}"/>
    <cellStyle name="Explanatory Text 4" xfId="659" xr:uid="{00000000-0005-0000-0000-000041020000}"/>
    <cellStyle name="Explanatory Text 5" xfId="660" xr:uid="{00000000-0005-0000-0000-000042020000}"/>
    <cellStyle name="Explanatory Text 6" xfId="661" xr:uid="{00000000-0005-0000-0000-000043020000}"/>
    <cellStyle name="Explanatory Text 7" xfId="662" xr:uid="{00000000-0005-0000-0000-000044020000}"/>
    <cellStyle name="Explanatory Text 8" xfId="663" xr:uid="{00000000-0005-0000-0000-000045020000}"/>
    <cellStyle name="Explanatory Text 9" xfId="664" xr:uid="{00000000-0005-0000-0000-000046020000}"/>
    <cellStyle name="Fixed" xfId="70" xr:uid="{00000000-0005-0000-0000-000047020000}"/>
    <cellStyle name="Fixed 2" xfId="665" xr:uid="{00000000-0005-0000-0000-000048020000}"/>
    <cellStyle name="Fixed 3" xfId="666" xr:uid="{00000000-0005-0000-0000-000049020000}"/>
    <cellStyle name="Fixed 4" xfId="1347" xr:uid="{00000000-0005-0000-0000-00004A020000}"/>
    <cellStyle name="general" xfId="71" xr:uid="{00000000-0005-0000-0000-00004B020000}"/>
    <cellStyle name="general 2" xfId="72" xr:uid="{00000000-0005-0000-0000-00004C020000}"/>
    <cellStyle name="general 2 2" xfId="1451" xr:uid="{00000000-0005-0000-0000-00004D020000}"/>
    <cellStyle name="general 2 3" xfId="1452" xr:uid="{00000000-0005-0000-0000-00004E020000}"/>
    <cellStyle name="general 2 4" xfId="1453" xr:uid="{00000000-0005-0000-0000-00004F020000}"/>
    <cellStyle name="general 2 5" xfId="1454" xr:uid="{00000000-0005-0000-0000-000050020000}"/>
    <cellStyle name="general 2 6" xfId="1455" xr:uid="{00000000-0005-0000-0000-000051020000}"/>
    <cellStyle name="general 3" xfId="73" xr:uid="{00000000-0005-0000-0000-000052020000}"/>
    <cellStyle name="general 3 2" xfId="1456" xr:uid="{00000000-0005-0000-0000-000053020000}"/>
    <cellStyle name="general 3 3" xfId="1457" xr:uid="{00000000-0005-0000-0000-000054020000}"/>
    <cellStyle name="general 3 4" xfId="1458" xr:uid="{00000000-0005-0000-0000-000055020000}"/>
    <cellStyle name="general 3 5" xfId="1459" xr:uid="{00000000-0005-0000-0000-000056020000}"/>
    <cellStyle name="general 3 6" xfId="1460" xr:uid="{00000000-0005-0000-0000-000057020000}"/>
    <cellStyle name="general 4" xfId="74" xr:uid="{00000000-0005-0000-0000-000058020000}"/>
    <cellStyle name="general 4 2" xfId="1461" xr:uid="{00000000-0005-0000-0000-000059020000}"/>
    <cellStyle name="general 4 3" xfId="1462" xr:uid="{00000000-0005-0000-0000-00005A020000}"/>
    <cellStyle name="general 4 4" xfId="1463" xr:uid="{00000000-0005-0000-0000-00005B020000}"/>
    <cellStyle name="general 4 5" xfId="1464" xr:uid="{00000000-0005-0000-0000-00005C020000}"/>
    <cellStyle name="general 4 6" xfId="1465" xr:uid="{00000000-0005-0000-0000-00005D020000}"/>
    <cellStyle name="general 5" xfId="667" xr:uid="{00000000-0005-0000-0000-00005E020000}"/>
    <cellStyle name="general 6" xfId="668" xr:uid="{00000000-0005-0000-0000-00005F020000}"/>
    <cellStyle name="general_Nakkabokkalapdu Grn Anganwadi     6-11-2016 for Bill," xfId="669" xr:uid="{00000000-0005-0000-0000-000060020000}"/>
    <cellStyle name="Good 10" xfId="670" xr:uid="{00000000-0005-0000-0000-000061020000}"/>
    <cellStyle name="Good 11" xfId="671" xr:uid="{00000000-0005-0000-0000-000062020000}"/>
    <cellStyle name="Good 12" xfId="672" xr:uid="{00000000-0005-0000-0000-000063020000}"/>
    <cellStyle name="Good 13" xfId="673" xr:uid="{00000000-0005-0000-0000-000064020000}"/>
    <cellStyle name="Good 14" xfId="674" xr:uid="{00000000-0005-0000-0000-000065020000}"/>
    <cellStyle name="Good 15" xfId="675" xr:uid="{00000000-0005-0000-0000-000066020000}"/>
    <cellStyle name="Good 16" xfId="676" xr:uid="{00000000-0005-0000-0000-000067020000}"/>
    <cellStyle name="Good 2" xfId="75" xr:uid="{00000000-0005-0000-0000-000068020000}"/>
    <cellStyle name="Good 2 2" xfId="677" xr:uid="{00000000-0005-0000-0000-000069020000}"/>
    <cellStyle name="Good 2 3" xfId="678" xr:uid="{00000000-0005-0000-0000-00006A020000}"/>
    <cellStyle name="Good 3" xfId="679" xr:uid="{00000000-0005-0000-0000-00006B020000}"/>
    <cellStyle name="Good 3 2" xfId="680" xr:uid="{00000000-0005-0000-0000-00006C020000}"/>
    <cellStyle name="Good 4" xfId="681" xr:uid="{00000000-0005-0000-0000-00006D020000}"/>
    <cellStyle name="Good 5" xfId="682" xr:uid="{00000000-0005-0000-0000-00006E020000}"/>
    <cellStyle name="Good 6" xfId="683" xr:uid="{00000000-0005-0000-0000-00006F020000}"/>
    <cellStyle name="Good 7" xfId="684" xr:uid="{00000000-0005-0000-0000-000070020000}"/>
    <cellStyle name="Good 8" xfId="685" xr:uid="{00000000-0005-0000-0000-000071020000}"/>
    <cellStyle name="Good 9" xfId="686" xr:uid="{00000000-0005-0000-0000-000072020000}"/>
    <cellStyle name="Grey" xfId="76" xr:uid="{00000000-0005-0000-0000-000073020000}"/>
    <cellStyle name="Grey 2" xfId="687" xr:uid="{00000000-0005-0000-0000-000074020000}"/>
    <cellStyle name="Grey 3" xfId="1466" xr:uid="{00000000-0005-0000-0000-000075020000}"/>
    <cellStyle name="Grey 4" xfId="1467" xr:uid="{00000000-0005-0000-0000-000076020000}"/>
    <cellStyle name="Grey 5" xfId="1468" xr:uid="{00000000-0005-0000-0000-000077020000}"/>
    <cellStyle name="Grey 6" xfId="1469" xr:uid="{00000000-0005-0000-0000-000078020000}"/>
    <cellStyle name="Header1" xfId="77" xr:uid="{00000000-0005-0000-0000-000079020000}"/>
    <cellStyle name="Header2" xfId="78" xr:uid="{00000000-0005-0000-0000-00007A020000}"/>
    <cellStyle name="Heading 1 10" xfId="688" xr:uid="{00000000-0005-0000-0000-00007B020000}"/>
    <cellStyle name="Heading 1 11" xfId="689" xr:uid="{00000000-0005-0000-0000-00007C020000}"/>
    <cellStyle name="Heading 1 12" xfId="690" xr:uid="{00000000-0005-0000-0000-00007D020000}"/>
    <cellStyle name="Heading 1 13" xfId="691" xr:uid="{00000000-0005-0000-0000-00007E020000}"/>
    <cellStyle name="Heading 1 14" xfId="692" xr:uid="{00000000-0005-0000-0000-00007F020000}"/>
    <cellStyle name="Heading 1 15" xfId="693" xr:uid="{00000000-0005-0000-0000-000080020000}"/>
    <cellStyle name="Heading 1 16" xfId="694" xr:uid="{00000000-0005-0000-0000-000081020000}"/>
    <cellStyle name="Heading 1 2" xfId="79" xr:uid="{00000000-0005-0000-0000-000082020000}"/>
    <cellStyle name="Heading 1 2 2" xfId="695" xr:uid="{00000000-0005-0000-0000-000083020000}"/>
    <cellStyle name="Heading 1 2 3" xfId="696" xr:uid="{00000000-0005-0000-0000-000084020000}"/>
    <cellStyle name="Heading 1 3" xfId="697" xr:uid="{00000000-0005-0000-0000-000085020000}"/>
    <cellStyle name="Heading 1 3 2" xfId="698" xr:uid="{00000000-0005-0000-0000-000086020000}"/>
    <cellStyle name="Heading 1 4" xfId="699" xr:uid="{00000000-0005-0000-0000-000087020000}"/>
    <cellStyle name="Heading 1 5" xfId="700" xr:uid="{00000000-0005-0000-0000-000088020000}"/>
    <cellStyle name="Heading 1 6" xfId="701" xr:uid="{00000000-0005-0000-0000-000089020000}"/>
    <cellStyle name="Heading 1 7" xfId="702" xr:uid="{00000000-0005-0000-0000-00008A020000}"/>
    <cellStyle name="Heading 1 8" xfId="703" xr:uid="{00000000-0005-0000-0000-00008B020000}"/>
    <cellStyle name="Heading 1 9" xfId="704" xr:uid="{00000000-0005-0000-0000-00008C020000}"/>
    <cellStyle name="Heading 2 10" xfId="705" xr:uid="{00000000-0005-0000-0000-00008D020000}"/>
    <cellStyle name="Heading 2 11" xfId="706" xr:uid="{00000000-0005-0000-0000-00008E020000}"/>
    <cellStyle name="Heading 2 12" xfId="707" xr:uid="{00000000-0005-0000-0000-00008F020000}"/>
    <cellStyle name="Heading 2 13" xfId="708" xr:uid="{00000000-0005-0000-0000-000090020000}"/>
    <cellStyle name="Heading 2 14" xfId="709" xr:uid="{00000000-0005-0000-0000-000091020000}"/>
    <cellStyle name="Heading 2 15" xfId="710" xr:uid="{00000000-0005-0000-0000-000092020000}"/>
    <cellStyle name="Heading 2 16" xfId="711" xr:uid="{00000000-0005-0000-0000-000093020000}"/>
    <cellStyle name="Heading 2 2" xfId="80" xr:uid="{00000000-0005-0000-0000-000094020000}"/>
    <cellStyle name="Heading 2 2 2" xfId="712" xr:uid="{00000000-0005-0000-0000-000095020000}"/>
    <cellStyle name="Heading 2 2 3" xfId="713" xr:uid="{00000000-0005-0000-0000-000096020000}"/>
    <cellStyle name="Heading 2 3" xfId="714" xr:uid="{00000000-0005-0000-0000-000097020000}"/>
    <cellStyle name="Heading 2 3 2" xfId="715" xr:uid="{00000000-0005-0000-0000-000098020000}"/>
    <cellStyle name="Heading 2 4" xfId="716" xr:uid="{00000000-0005-0000-0000-000099020000}"/>
    <cellStyle name="Heading 2 5" xfId="717" xr:uid="{00000000-0005-0000-0000-00009A020000}"/>
    <cellStyle name="Heading 2 6" xfId="718" xr:uid="{00000000-0005-0000-0000-00009B020000}"/>
    <cellStyle name="Heading 2 7" xfId="719" xr:uid="{00000000-0005-0000-0000-00009C020000}"/>
    <cellStyle name="Heading 2 8" xfId="720" xr:uid="{00000000-0005-0000-0000-00009D020000}"/>
    <cellStyle name="Heading 2 9" xfId="721" xr:uid="{00000000-0005-0000-0000-00009E020000}"/>
    <cellStyle name="Heading 3 10" xfId="722" xr:uid="{00000000-0005-0000-0000-00009F020000}"/>
    <cellStyle name="Heading 3 11" xfId="723" xr:uid="{00000000-0005-0000-0000-0000A0020000}"/>
    <cellStyle name="Heading 3 12" xfId="724" xr:uid="{00000000-0005-0000-0000-0000A1020000}"/>
    <cellStyle name="Heading 3 13" xfId="725" xr:uid="{00000000-0005-0000-0000-0000A2020000}"/>
    <cellStyle name="Heading 3 14" xfId="726" xr:uid="{00000000-0005-0000-0000-0000A3020000}"/>
    <cellStyle name="Heading 3 15" xfId="727" xr:uid="{00000000-0005-0000-0000-0000A4020000}"/>
    <cellStyle name="Heading 3 16" xfId="728" xr:uid="{00000000-0005-0000-0000-0000A5020000}"/>
    <cellStyle name="Heading 3 2" xfId="81" xr:uid="{00000000-0005-0000-0000-0000A6020000}"/>
    <cellStyle name="Heading 3 2 2" xfId="729" xr:uid="{00000000-0005-0000-0000-0000A7020000}"/>
    <cellStyle name="Heading 3 2 3" xfId="730" xr:uid="{00000000-0005-0000-0000-0000A8020000}"/>
    <cellStyle name="Heading 3 3" xfId="731" xr:uid="{00000000-0005-0000-0000-0000A9020000}"/>
    <cellStyle name="Heading 3 3 2" xfId="732" xr:uid="{00000000-0005-0000-0000-0000AA020000}"/>
    <cellStyle name="Heading 3 4" xfId="733" xr:uid="{00000000-0005-0000-0000-0000AB020000}"/>
    <cellStyle name="Heading 3 5" xfId="734" xr:uid="{00000000-0005-0000-0000-0000AC020000}"/>
    <cellStyle name="Heading 3 6" xfId="735" xr:uid="{00000000-0005-0000-0000-0000AD020000}"/>
    <cellStyle name="Heading 3 7" xfId="736" xr:uid="{00000000-0005-0000-0000-0000AE020000}"/>
    <cellStyle name="Heading 3 8" xfId="737" xr:uid="{00000000-0005-0000-0000-0000AF020000}"/>
    <cellStyle name="Heading 3 9" xfId="738" xr:uid="{00000000-0005-0000-0000-0000B0020000}"/>
    <cellStyle name="Heading 4 10" xfId="739" xr:uid="{00000000-0005-0000-0000-0000B1020000}"/>
    <cellStyle name="Heading 4 11" xfId="740" xr:uid="{00000000-0005-0000-0000-0000B2020000}"/>
    <cellStyle name="Heading 4 12" xfId="741" xr:uid="{00000000-0005-0000-0000-0000B3020000}"/>
    <cellStyle name="Heading 4 13" xfId="742" xr:uid="{00000000-0005-0000-0000-0000B4020000}"/>
    <cellStyle name="Heading 4 14" xfId="743" xr:uid="{00000000-0005-0000-0000-0000B5020000}"/>
    <cellStyle name="Heading 4 15" xfId="744" xr:uid="{00000000-0005-0000-0000-0000B6020000}"/>
    <cellStyle name="Heading 4 16" xfId="745" xr:uid="{00000000-0005-0000-0000-0000B7020000}"/>
    <cellStyle name="Heading 4 2" xfId="82" xr:uid="{00000000-0005-0000-0000-0000B8020000}"/>
    <cellStyle name="Heading 4 2 2" xfId="746" xr:uid="{00000000-0005-0000-0000-0000B9020000}"/>
    <cellStyle name="Heading 4 2 3" xfId="747" xr:uid="{00000000-0005-0000-0000-0000BA020000}"/>
    <cellStyle name="Heading 4 3" xfId="748" xr:uid="{00000000-0005-0000-0000-0000BB020000}"/>
    <cellStyle name="Heading 4 3 2" xfId="749" xr:uid="{00000000-0005-0000-0000-0000BC020000}"/>
    <cellStyle name="Heading 4 4" xfId="750" xr:uid="{00000000-0005-0000-0000-0000BD020000}"/>
    <cellStyle name="Heading 4 5" xfId="751" xr:uid="{00000000-0005-0000-0000-0000BE020000}"/>
    <cellStyle name="Heading 4 6" xfId="752" xr:uid="{00000000-0005-0000-0000-0000BF020000}"/>
    <cellStyle name="Heading 4 7" xfId="753" xr:uid="{00000000-0005-0000-0000-0000C0020000}"/>
    <cellStyle name="Heading 4 8" xfId="754" xr:uid="{00000000-0005-0000-0000-0000C1020000}"/>
    <cellStyle name="Heading 4 9" xfId="755" xr:uid="{00000000-0005-0000-0000-0000C2020000}"/>
    <cellStyle name="Hyperlink 2" xfId="83" xr:uid="{00000000-0005-0000-0000-0000C3020000}"/>
    <cellStyle name="Hyperlink 2 2" xfId="756" xr:uid="{00000000-0005-0000-0000-0000C4020000}"/>
    <cellStyle name="Hyperlink 2 3" xfId="757" xr:uid="{00000000-0005-0000-0000-0000C5020000}"/>
    <cellStyle name="Hyperlink 2_500 KL OHSR 21.60m Staging" xfId="758" xr:uid="{00000000-0005-0000-0000-0000C6020000}"/>
    <cellStyle name="Hyperlink 3" xfId="759" xr:uid="{00000000-0005-0000-0000-0000C7020000}"/>
    <cellStyle name="Input [yellow]" xfId="84" xr:uid="{00000000-0005-0000-0000-0000C8020000}"/>
    <cellStyle name="Input [yellow] 2" xfId="760" xr:uid="{00000000-0005-0000-0000-0000C9020000}"/>
    <cellStyle name="Input [yellow] 3" xfId="1470" xr:uid="{00000000-0005-0000-0000-0000CA020000}"/>
    <cellStyle name="Input [yellow] 4" xfId="1471" xr:uid="{00000000-0005-0000-0000-0000CB020000}"/>
    <cellStyle name="Input [yellow] 5" xfId="1472" xr:uid="{00000000-0005-0000-0000-0000CC020000}"/>
    <cellStyle name="Input [yellow] 6" xfId="1473" xr:uid="{00000000-0005-0000-0000-0000CD020000}"/>
    <cellStyle name="Input 10" xfId="761" xr:uid="{00000000-0005-0000-0000-0000CE020000}"/>
    <cellStyle name="Input 11" xfId="762" xr:uid="{00000000-0005-0000-0000-0000CF020000}"/>
    <cellStyle name="Input 12" xfId="763" xr:uid="{00000000-0005-0000-0000-0000D0020000}"/>
    <cellStyle name="Input 13" xfId="764" xr:uid="{00000000-0005-0000-0000-0000D1020000}"/>
    <cellStyle name="Input 14" xfId="765" xr:uid="{00000000-0005-0000-0000-0000D2020000}"/>
    <cellStyle name="Input 15" xfId="766" xr:uid="{00000000-0005-0000-0000-0000D3020000}"/>
    <cellStyle name="Input 16" xfId="767" xr:uid="{00000000-0005-0000-0000-0000D4020000}"/>
    <cellStyle name="Input 2" xfId="85" xr:uid="{00000000-0005-0000-0000-0000D5020000}"/>
    <cellStyle name="Input 2 2" xfId="768" xr:uid="{00000000-0005-0000-0000-0000D6020000}"/>
    <cellStyle name="Input 2 3" xfId="769" xr:uid="{00000000-0005-0000-0000-0000D7020000}"/>
    <cellStyle name="Input 3" xfId="770" xr:uid="{00000000-0005-0000-0000-0000D8020000}"/>
    <cellStyle name="Input 3 2" xfId="771" xr:uid="{00000000-0005-0000-0000-0000D9020000}"/>
    <cellStyle name="Input 4" xfId="772" xr:uid="{00000000-0005-0000-0000-0000DA020000}"/>
    <cellStyle name="Input 5" xfId="773" xr:uid="{00000000-0005-0000-0000-0000DB020000}"/>
    <cellStyle name="Input 6" xfId="774" xr:uid="{00000000-0005-0000-0000-0000DC020000}"/>
    <cellStyle name="Input 7" xfId="775" xr:uid="{00000000-0005-0000-0000-0000DD020000}"/>
    <cellStyle name="Input 8" xfId="776" xr:uid="{00000000-0005-0000-0000-0000DE020000}"/>
    <cellStyle name="Input 9" xfId="777" xr:uid="{00000000-0005-0000-0000-0000DF020000}"/>
    <cellStyle name="Linked Cell 10" xfId="778" xr:uid="{00000000-0005-0000-0000-0000E0020000}"/>
    <cellStyle name="Linked Cell 11" xfId="779" xr:uid="{00000000-0005-0000-0000-0000E1020000}"/>
    <cellStyle name="Linked Cell 12" xfId="780" xr:uid="{00000000-0005-0000-0000-0000E2020000}"/>
    <cellStyle name="Linked Cell 13" xfId="781" xr:uid="{00000000-0005-0000-0000-0000E3020000}"/>
    <cellStyle name="Linked Cell 14" xfId="782" xr:uid="{00000000-0005-0000-0000-0000E4020000}"/>
    <cellStyle name="Linked Cell 15" xfId="783" xr:uid="{00000000-0005-0000-0000-0000E5020000}"/>
    <cellStyle name="Linked Cell 16" xfId="784" xr:uid="{00000000-0005-0000-0000-0000E6020000}"/>
    <cellStyle name="Linked Cell 2" xfId="86" xr:uid="{00000000-0005-0000-0000-0000E7020000}"/>
    <cellStyle name="Linked Cell 2 2" xfId="785" xr:uid="{00000000-0005-0000-0000-0000E8020000}"/>
    <cellStyle name="Linked Cell 2 3" xfId="786" xr:uid="{00000000-0005-0000-0000-0000E9020000}"/>
    <cellStyle name="Linked Cell 3" xfId="787" xr:uid="{00000000-0005-0000-0000-0000EA020000}"/>
    <cellStyle name="Linked Cell 3 2" xfId="788" xr:uid="{00000000-0005-0000-0000-0000EB020000}"/>
    <cellStyle name="Linked Cell 4" xfId="789" xr:uid="{00000000-0005-0000-0000-0000EC020000}"/>
    <cellStyle name="Linked Cell 5" xfId="790" xr:uid="{00000000-0005-0000-0000-0000ED020000}"/>
    <cellStyle name="Linked Cell 6" xfId="791" xr:uid="{00000000-0005-0000-0000-0000EE020000}"/>
    <cellStyle name="Linked Cell 7" xfId="792" xr:uid="{00000000-0005-0000-0000-0000EF020000}"/>
    <cellStyle name="Linked Cell 8" xfId="793" xr:uid="{00000000-0005-0000-0000-0000F0020000}"/>
    <cellStyle name="Linked Cell 9" xfId="794" xr:uid="{00000000-0005-0000-0000-0000F1020000}"/>
    <cellStyle name="M head" xfId="87" xr:uid="{00000000-0005-0000-0000-0000F2020000}"/>
    <cellStyle name="M head 2" xfId="795" xr:uid="{00000000-0005-0000-0000-0000F3020000}"/>
    <cellStyle name="M head 3" xfId="796" xr:uid="{00000000-0005-0000-0000-0000F4020000}"/>
    <cellStyle name="M head_con 2012" xfId="797" xr:uid="{00000000-0005-0000-0000-0000F5020000}"/>
    <cellStyle name="Main Heading" xfId="798" xr:uid="{00000000-0005-0000-0000-0000F6020000}"/>
    <cellStyle name="MANKAD" xfId="88" xr:uid="{00000000-0005-0000-0000-0000F7020000}"/>
    <cellStyle name="MANKAD 2" xfId="89" xr:uid="{00000000-0005-0000-0000-0000F8020000}"/>
    <cellStyle name="MANKAD 3" xfId="90" xr:uid="{00000000-0005-0000-0000-0000F9020000}"/>
    <cellStyle name="MANKAD 4" xfId="799" xr:uid="{00000000-0005-0000-0000-0000FA020000}"/>
    <cellStyle name="MANKAD 5" xfId="800" xr:uid="{00000000-0005-0000-0000-0000FB020000}"/>
    <cellStyle name="MANKAD 6" xfId="801" xr:uid="{00000000-0005-0000-0000-0000FC020000}"/>
    <cellStyle name="MANKAD_3 - ZP  BHAIRAVANAGAR 45.00L." xfId="802" xr:uid="{00000000-0005-0000-0000-0000FD020000}"/>
    <cellStyle name="Minor Head" xfId="91" xr:uid="{00000000-0005-0000-0000-0000FE020000}"/>
    <cellStyle name="Neutral 10" xfId="803" xr:uid="{00000000-0005-0000-0000-0000FF020000}"/>
    <cellStyle name="Neutral 11" xfId="804" xr:uid="{00000000-0005-0000-0000-000000030000}"/>
    <cellStyle name="Neutral 12" xfId="805" xr:uid="{00000000-0005-0000-0000-000001030000}"/>
    <cellStyle name="Neutral 13" xfId="806" xr:uid="{00000000-0005-0000-0000-000002030000}"/>
    <cellStyle name="Neutral 14" xfId="807" xr:uid="{00000000-0005-0000-0000-000003030000}"/>
    <cellStyle name="Neutral 15" xfId="808" xr:uid="{00000000-0005-0000-0000-000004030000}"/>
    <cellStyle name="Neutral 16" xfId="809" xr:uid="{00000000-0005-0000-0000-000005030000}"/>
    <cellStyle name="Neutral 2" xfId="92" xr:uid="{00000000-0005-0000-0000-000006030000}"/>
    <cellStyle name="Neutral 2 2" xfId="810" xr:uid="{00000000-0005-0000-0000-000007030000}"/>
    <cellStyle name="Neutral 2 3" xfId="811" xr:uid="{00000000-0005-0000-0000-000008030000}"/>
    <cellStyle name="Neutral 3" xfId="812" xr:uid="{00000000-0005-0000-0000-000009030000}"/>
    <cellStyle name="Neutral 3 2" xfId="813" xr:uid="{00000000-0005-0000-0000-00000A030000}"/>
    <cellStyle name="Neutral 4" xfId="814" xr:uid="{00000000-0005-0000-0000-00000B030000}"/>
    <cellStyle name="Neutral 5" xfId="815" xr:uid="{00000000-0005-0000-0000-00000C030000}"/>
    <cellStyle name="Neutral 6" xfId="816" xr:uid="{00000000-0005-0000-0000-00000D030000}"/>
    <cellStyle name="Neutral 7" xfId="817" xr:uid="{00000000-0005-0000-0000-00000E030000}"/>
    <cellStyle name="Neutral 8" xfId="818" xr:uid="{00000000-0005-0000-0000-00000F030000}"/>
    <cellStyle name="Neutral 9" xfId="819" xr:uid="{00000000-0005-0000-0000-000010030000}"/>
    <cellStyle name="no dec" xfId="93" xr:uid="{00000000-0005-0000-0000-000011030000}"/>
    <cellStyle name="no dec 2" xfId="820" xr:uid="{00000000-0005-0000-0000-000012030000}"/>
    <cellStyle name="no dec 3" xfId="821" xr:uid="{00000000-0005-0000-0000-000013030000}"/>
    <cellStyle name="no dec 4" xfId="822" xr:uid="{00000000-0005-0000-0000-000014030000}"/>
    <cellStyle name="no dec 5" xfId="823" xr:uid="{00000000-0005-0000-0000-000015030000}"/>
    <cellStyle name="no dec 6" xfId="824" xr:uid="{00000000-0005-0000-0000-000016030000}"/>
    <cellStyle name="no dec_3 - ZP  BHAIRAVANAGAR 45.00L." xfId="825" xr:uid="{00000000-0005-0000-0000-000017030000}"/>
    <cellStyle name="Normal" xfId="0" builtinId="0"/>
    <cellStyle name="Normal - Style1" xfId="94" xr:uid="{00000000-0005-0000-0000-000019030000}"/>
    <cellStyle name="Normal - Style1 2" xfId="95" xr:uid="{00000000-0005-0000-0000-00001A030000}"/>
    <cellStyle name="Normal - Style1 2 2" xfId="96" xr:uid="{00000000-0005-0000-0000-00001B030000}"/>
    <cellStyle name="Normal - Style1 2 2 2" xfId="826" xr:uid="{00000000-0005-0000-0000-00001C030000}"/>
    <cellStyle name="Normal - Style1 2 2 2 2" xfId="1419" xr:uid="{00000000-0005-0000-0000-00001D030000}"/>
    <cellStyle name="Normal - Style1 2 2 3" xfId="1385" xr:uid="{00000000-0005-0000-0000-00001E030000}"/>
    <cellStyle name="Normal - Style1 2 2 4" xfId="1474" xr:uid="{00000000-0005-0000-0000-00001F030000}"/>
    <cellStyle name="Normal - Style1 2 2 5" xfId="1475" xr:uid="{00000000-0005-0000-0000-000020030000}"/>
    <cellStyle name="Normal - Style1 2 2 6" xfId="1476" xr:uid="{00000000-0005-0000-0000-000021030000}"/>
    <cellStyle name="Normal - Style1 2 2 7" xfId="1477" xr:uid="{00000000-0005-0000-0000-000022030000}"/>
    <cellStyle name="Normal - Style1 2 3" xfId="827" xr:uid="{00000000-0005-0000-0000-000023030000}"/>
    <cellStyle name="Normal - Style1 2 4" xfId="828" xr:uid="{00000000-0005-0000-0000-000024030000}"/>
    <cellStyle name="Normal - Style1 2 5" xfId="1343" xr:uid="{00000000-0005-0000-0000-000025030000}"/>
    <cellStyle name="Normal - Style1 2 6" xfId="1478" xr:uid="{00000000-0005-0000-0000-000026030000}"/>
    <cellStyle name="Normal - Style1 2 7" xfId="1479" xr:uid="{00000000-0005-0000-0000-000027030000}"/>
    <cellStyle name="Normal - Style1 2 8" xfId="1480" xr:uid="{00000000-0005-0000-0000-000028030000}"/>
    <cellStyle name="Normal - Style1 2_1) NREGS  Report Uppudi" xfId="829" xr:uid="{00000000-0005-0000-0000-000029030000}"/>
    <cellStyle name="Normal - Style1 3" xfId="97" xr:uid="{00000000-0005-0000-0000-00002A030000}"/>
    <cellStyle name="Normal - Style1 3 2" xfId="1348" xr:uid="{00000000-0005-0000-0000-00002B030000}"/>
    <cellStyle name="Normal - Style1 3 3" xfId="1349" xr:uid="{00000000-0005-0000-0000-00002C030000}"/>
    <cellStyle name="Normal - Style1 3 4" xfId="1350" xr:uid="{00000000-0005-0000-0000-00002D030000}"/>
    <cellStyle name="Normal - Style1 3 5" xfId="1481" xr:uid="{00000000-0005-0000-0000-00002E030000}"/>
    <cellStyle name="Normal - Style1 3 6" xfId="1482" xr:uid="{00000000-0005-0000-0000-00002F030000}"/>
    <cellStyle name="Normal - Style1 4" xfId="98" xr:uid="{00000000-0005-0000-0000-000030030000}"/>
    <cellStyle name="Normal - Style1 4 2" xfId="1483" xr:uid="{00000000-0005-0000-0000-000031030000}"/>
    <cellStyle name="Normal - Style1 4 3" xfId="1484" xr:uid="{00000000-0005-0000-0000-000032030000}"/>
    <cellStyle name="Normal - Style1 4 4" xfId="1485" xr:uid="{00000000-0005-0000-0000-000033030000}"/>
    <cellStyle name="Normal - Style1 4 5" xfId="1486" xr:uid="{00000000-0005-0000-0000-000034030000}"/>
    <cellStyle name="Normal - Style1 4 6" xfId="1487" xr:uid="{00000000-0005-0000-0000-000035030000}"/>
    <cellStyle name="Normal - Style1 5" xfId="830" xr:uid="{00000000-0005-0000-0000-000036030000}"/>
    <cellStyle name="Normal - Style1 6" xfId="831" xr:uid="{00000000-0005-0000-0000-000037030000}"/>
    <cellStyle name="Normal - Style1 7" xfId="832" xr:uid="{00000000-0005-0000-0000-000038030000}"/>
    <cellStyle name="Normal - Style1 8" xfId="833" xr:uid="{00000000-0005-0000-0000-000039030000}"/>
    <cellStyle name="Normal - Style1 8 2" xfId="1488" xr:uid="{00000000-0005-0000-0000-00003A030000}"/>
    <cellStyle name="Normal - Style1_1_Pattapupalem_road estt-NCRMP" xfId="99" xr:uid="{00000000-0005-0000-0000-00003B030000}"/>
    <cellStyle name="Normal 10" xfId="100" xr:uid="{00000000-0005-0000-0000-00003C030000}"/>
    <cellStyle name="Normal 10 2" xfId="101" xr:uid="{00000000-0005-0000-0000-00003D030000}"/>
    <cellStyle name="Normal 10 2 2" xfId="834" xr:uid="{00000000-0005-0000-0000-00003E030000}"/>
    <cellStyle name="Normal 10 2 3" xfId="1489" xr:uid="{00000000-0005-0000-0000-00003F030000}"/>
    <cellStyle name="Normal 10 2 4" xfId="1490" xr:uid="{00000000-0005-0000-0000-000040030000}"/>
    <cellStyle name="Normal 10 3" xfId="835" xr:uid="{00000000-0005-0000-0000-000041030000}"/>
    <cellStyle name="Normal 10 3 2" xfId="1278" xr:uid="{00000000-0005-0000-0000-000042030000}"/>
    <cellStyle name="Normal 10 4" xfId="1279" xr:uid="{00000000-0005-0000-0000-000043030000}"/>
    <cellStyle name="Normal 10 5" xfId="1491" xr:uid="{00000000-0005-0000-0000-000044030000}"/>
    <cellStyle name="Normal 10 6" xfId="1492" xr:uid="{00000000-0005-0000-0000-000045030000}"/>
    <cellStyle name="Normal 10 7" xfId="1493" xr:uid="{00000000-0005-0000-0000-000046030000}"/>
    <cellStyle name="Normal 10_Girls Hostel attached to Model School at Munipally WDE (Final) Modified (05.09.2014)" xfId="836" xr:uid="{00000000-0005-0000-0000-000047030000}"/>
    <cellStyle name="Normal 11" xfId="102" xr:uid="{00000000-0005-0000-0000-000048030000}"/>
    <cellStyle name="Normal 11 2" xfId="837" xr:uid="{00000000-0005-0000-0000-000049030000}"/>
    <cellStyle name="Normal 11 2 2" xfId="1280" xr:uid="{00000000-0005-0000-0000-00004A030000}"/>
    <cellStyle name="Normal 11 2 2 2" xfId="1281" xr:uid="{00000000-0005-0000-0000-00004B030000}"/>
    <cellStyle name="Normal 11 2 3" xfId="1282" xr:uid="{00000000-0005-0000-0000-00004C030000}"/>
    <cellStyle name="Normal 11 2 3 2" xfId="1283" xr:uid="{00000000-0005-0000-0000-00004D030000}"/>
    <cellStyle name="Normal 11 2 4" xfId="1284" xr:uid="{00000000-0005-0000-0000-00004E030000}"/>
    <cellStyle name="Normal 11 2 5" xfId="1494" xr:uid="{00000000-0005-0000-0000-00004F030000}"/>
    <cellStyle name="Normal 11 2 6" xfId="1495" xr:uid="{00000000-0005-0000-0000-000050030000}"/>
    <cellStyle name="Normal 11 3" xfId="1285" xr:uid="{00000000-0005-0000-0000-000051030000}"/>
    <cellStyle name="Normal 11 3 2" xfId="1286" xr:uid="{00000000-0005-0000-0000-000052030000}"/>
    <cellStyle name="Normal 11 4" xfId="1287" xr:uid="{00000000-0005-0000-0000-000053030000}"/>
    <cellStyle name="Normal 11 4 2" xfId="1288" xr:uid="{00000000-0005-0000-0000-000054030000}"/>
    <cellStyle name="Normal 11 5" xfId="1289" xr:uid="{00000000-0005-0000-0000-000055030000}"/>
    <cellStyle name="Normal 11 6" xfId="1496" xr:uid="{00000000-0005-0000-0000-000056030000}"/>
    <cellStyle name="Normal 11 7" xfId="1497" xr:uid="{00000000-0005-0000-0000-000057030000}"/>
    <cellStyle name="Normal 11_TIRUPATI  ELEC" xfId="838" xr:uid="{00000000-0005-0000-0000-000058030000}"/>
    <cellStyle name="Normal 12" xfId="103" xr:uid="{00000000-0005-0000-0000-000059030000}"/>
    <cellStyle name="Normal 12 2" xfId="839" xr:uid="{00000000-0005-0000-0000-00005A030000}"/>
    <cellStyle name="Normal 12 2 2" xfId="840" xr:uid="{00000000-0005-0000-0000-00005B030000}"/>
    <cellStyle name="Normal 12 2 2 2" xfId="1290" xr:uid="{00000000-0005-0000-0000-00005C030000}"/>
    <cellStyle name="Normal 12 2 2 2 2" xfId="1291" xr:uid="{00000000-0005-0000-0000-00005D030000}"/>
    <cellStyle name="Normal 12 2 2 3" xfId="1292" xr:uid="{00000000-0005-0000-0000-00005E030000}"/>
    <cellStyle name="Normal 12 2 2 3 2" xfId="1293" xr:uid="{00000000-0005-0000-0000-00005F030000}"/>
    <cellStyle name="Normal 12 2 2 4" xfId="1294" xr:uid="{00000000-0005-0000-0000-000060030000}"/>
    <cellStyle name="Normal 12 2 2 5" xfId="1498" xr:uid="{00000000-0005-0000-0000-000061030000}"/>
    <cellStyle name="Normal 12 2 2 6" xfId="1499" xr:uid="{00000000-0005-0000-0000-000062030000}"/>
    <cellStyle name="Normal 12 2 3" xfId="1295" xr:uid="{00000000-0005-0000-0000-000063030000}"/>
    <cellStyle name="Normal 12 2 3 2" xfId="1296" xr:uid="{00000000-0005-0000-0000-000064030000}"/>
    <cellStyle name="Normal 12 2 4" xfId="1297" xr:uid="{00000000-0005-0000-0000-000065030000}"/>
    <cellStyle name="Normal 12 2 4 2" xfId="1298" xr:uid="{00000000-0005-0000-0000-000066030000}"/>
    <cellStyle name="Normal 12 2 5" xfId="1299" xr:uid="{00000000-0005-0000-0000-000067030000}"/>
    <cellStyle name="Normal 12 2 6" xfId="1500" xr:uid="{00000000-0005-0000-0000-000068030000}"/>
    <cellStyle name="Normal 12 2 7" xfId="1501" xr:uid="{00000000-0005-0000-0000-000069030000}"/>
    <cellStyle name="Normal 12 3" xfId="841" xr:uid="{00000000-0005-0000-0000-00006A030000}"/>
    <cellStyle name="Normal 12 3 2" xfId="1300" xr:uid="{00000000-0005-0000-0000-00006B030000}"/>
    <cellStyle name="Normal 12 4" xfId="1276" xr:uid="{00000000-0005-0000-0000-00006C030000}"/>
    <cellStyle name="Normal 12 4 2" xfId="1301" xr:uid="{00000000-0005-0000-0000-00006D030000}"/>
    <cellStyle name="Normal 12 4 3" xfId="1302" xr:uid="{00000000-0005-0000-0000-00006E030000}"/>
    <cellStyle name="Normal 12 4 3 2" xfId="1344" xr:uid="{00000000-0005-0000-0000-00006F030000}"/>
    <cellStyle name="Normal 12 4 4" xfId="1387" xr:uid="{00000000-0005-0000-0000-000070030000}"/>
    <cellStyle name="Normal 12 4 5" xfId="1392" xr:uid="{00000000-0005-0000-0000-000071030000}"/>
    <cellStyle name="Normal 12 5" xfId="1303" xr:uid="{00000000-0005-0000-0000-000072030000}"/>
    <cellStyle name="Normal 12 6" xfId="1502" xr:uid="{00000000-0005-0000-0000-000073030000}"/>
    <cellStyle name="Normal 12 7" xfId="1503" xr:uid="{00000000-0005-0000-0000-000074030000}"/>
    <cellStyle name="Normal 13" xfId="104" xr:uid="{00000000-0005-0000-0000-000075030000}"/>
    <cellStyle name="Normal 13 2" xfId="842" xr:uid="{00000000-0005-0000-0000-000076030000}"/>
    <cellStyle name="Normal 13 2 2" xfId="843" xr:uid="{00000000-0005-0000-0000-000077030000}"/>
    <cellStyle name="Normal 13 3" xfId="1504" xr:uid="{00000000-0005-0000-0000-000078030000}"/>
    <cellStyle name="Normal 13 4" xfId="1505" xr:uid="{00000000-0005-0000-0000-000079030000}"/>
    <cellStyle name="Normal 13_Girls Hostel attached to Model School at Munipally WDE (Final) Modified (05.09.2014)" xfId="844" xr:uid="{00000000-0005-0000-0000-00007A030000}"/>
    <cellStyle name="Normal 14" xfId="105" xr:uid="{00000000-0005-0000-0000-00007B030000}"/>
    <cellStyle name="Normal 14 2" xfId="845" xr:uid="{00000000-0005-0000-0000-00007C030000}"/>
    <cellStyle name="Normal 14 2 2" xfId="846" xr:uid="{00000000-0005-0000-0000-00007D030000}"/>
    <cellStyle name="Normal 15" xfId="106" xr:uid="{00000000-0005-0000-0000-00007E030000}"/>
    <cellStyle name="Normal 15 2" xfId="847" xr:uid="{00000000-0005-0000-0000-00007F030000}"/>
    <cellStyle name="Normal 15 3" xfId="848" xr:uid="{00000000-0005-0000-0000-000080030000}"/>
    <cellStyle name="Normal 16" xfId="107" xr:uid="{00000000-0005-0000-0000-000081030000}"/>
    <cellStyle name="Normal 16 2" xfId="849" xr:uid="{00000000-0005-0000-0000-000082030000}"/>
    <cellStyle name="Normal 16 3" xfId="850" xr:uid="{00000000-0005-0000-0000-000083030000}"/>
    <cellStyle name="Normal 17" xfId="108" xr:uid="{00000000-0005-0000-0000-000084030000}"/>
    <cellStyle name="Normal 17 2" xfId="109" xr:uid="{00000000-0005-0000-0000-000085030000}"/>
    <cellStyle name="Normal 17 2 2" xfId="851" xr:uid="{00000000-0005-0000-0000-000086030000}"/>
    <cellStyle name="Normal 17 3" xfId="852" xr:uid="{00000000-0005-0000-0000-000087030000}"/>
    <cellStyle name="Normal 17 4" xfId="853" xr:uid="{00000000-0005-0000-0000-000088030000}"/>
    <cellStyle name="Normal 17_Abst for J.P.nagar" xfId="854" xr:uid="{00000000-0005-0000-0000-000089030000}"/>
    <cellStyle name="Normal 18" xfId="110" xr:uid="{00000000-0005-0000-0000-00008A030000}"/>
    <cellStyle name="Normal 18 2" xfId="855" xr:uid="{00000000-0005-0000-0000-00008B030000}"/>
    <cellStyle name="Normal 18 3" xfId="856" xr:uid="{00000000-0005-0000-0000-00008C030000}"/>
    <cellStyle name="Normal 19" xfId="857" xr:uid="{00000000-0005-0000-0000-00008D030000}"/>
    <cellStyle name="Normal 19 2" xfId="858" xr:uid="{00000000-0005-0000-0000-00008E030000}"/>
    <cellStyle name="Normal 19 3" xfId="859" xr:uid="{00000000-0005-0000-0000-00008F030000}"/>
    <cellStyle name="Normal 2" xfId="111" xr:uid="{00000000-0005-0000-0000-000090030000}"/>
    <cellStyle name="Normal 2 10" xfId="860" xr:uid="{00000000-0005-0000-0000-000091030000}"/>
    <cellStyle name="Normal 2 10 2" xfId="861" xr:uid="{00000000-0005-0000-0000-000092030000}"/>
    <cellStyle name="Normal 2 11" xfId="862" xr:uid="{00000000-0005-0000-0000-000093030000}"/>
    <cellStyle name="Normal 2 12" xfId="863" xr:uid="{00000000-0005-0000-0000-000094030000}"/>
    <cellStyle name="Normal 2 13" xfId="864" xr:uid="{00000000-0005-0000-0000-000095030000}"/>
    <cellStyle name="Normal 2 14" xfId="865" xr:uid="{00000000-0005-0000-0000-000096030000}"/>
    <cellStyle name="Normal 2 14 2" xfId="866" xr:uid="{00000000-0005-0000-0000-000097030000}"/>
    <cellStyle name="Normal 2 14 3" xfId="867" xr:uid="{00000000-0005-0000-0000-000098030000}"/>
    <cellStyle name="Normal 2 15" xfId="868" xr:uid="{00000000-0005-0000-0000-000099030000}"/>
    <cellStyle name="Normal 2 15 2" xfId="869" xr:uid="{00000000-0005-0000-0000-00009A030000}"/>
    <cellStyle name="Normal 2 15 3" xfId="870" xr:uid="{00000000-0005-0000-0000-00009B030000}"/>
    <cellStyle name="Normal 2 15 4" xfId="871" xr:uid="{00000000-0005-0000-0000-00009C030000}"/>
    <cellStyle name="Normal 2 16" xfId="1396" xr:uid="{00000000-0005-0000-0000-00009D030000}"/>
    <cellStyle name="Normal 2 17" xfId="1397" xr:uid="{00000000-0005-0000-0000-00009E030000}"/>
    <cellStyle name="Normal 2 18" xfId="1398" xr:uid="{00000000-0005-0000-0000-00009F030000}"/>
    <cellStyle name="Normal 2 19" xfId="1399" xr:uid="{00000000-0005-0000-0000-0000A0030000}"/>
    <cellStyle name="Normal 2 2" xfId="112" xr:uid="{00000000-0005-0000-0000-0000A1030000}"/>
    <cellStyle name="Normal 2 2 10" xfId="1418" xr:uid="{00000000-0005-0000-0000-0000A2030000}"/>
    <cellStyle name="Normal 2 2 2" xfId="113" xr:uid="{00000000-0005-0000-0000-0000A3030000}"/>
    <cellStyle name="Normal 2 2 2 2" xfId="114" xr:uid="{00000000-0005-0000-0000-0000A4030000}"/>
    <cellStyle name="Normal 2 2 2 2 2" xfId="1351" xr:uid="{00000000-0005-0000-0000-0000A5030000}"/>
    <cellStyle name="Normal 2 2 2 3" xfId="872" xr:uid="{00000000-0005-0000-0000-0000A6030000}"/>
    <cellStyle name="Normal 2 2 2 4" xfId="873" xr:uid="{00000000-0005-0000-0000-0000A7030000}"/>
    <cellStyle name="Normal 2 2 3" xfId="115" xr:uid="{00000000-0005-0000-0000-0000A8030000}"/>
    <cellStyle name="Normal 2 2 3 2" xfId="874" xr:uid="{00000000-0005-0000-0000-0000A9030000}"/>
    <cellStyle name="Normal 2 2 3 2 2" xfId="1506" xr:uid="{00000000-0005-0000-0000-0000AA030000}"/>
    <cellStyle name="Normal 2 2 3 3" xfId="1424" xr:uid="{00000000-0005-0000-0000-0000AB030000}"/>
    <cellStyle name="Normal 2 2 3 4" xfId="1507" xr:uid="{00000000-0005-0000-0000-0000AC030000}"/>
    <cellStyle name="Normal 2 2 3 5" xfId="1508" xr:uid="{00000000-0005-0000-0000-0000AD030000}"/>
    <cellStyle name="Normal 2 2 3 6" xfId="1509" xr:uid="{00000000-0005-0000-0000-0000AE030000}"/>
    <cellStyle name="Normal 2 2 3 7" xfId="1510" xr:uid="{00000000-0005-0000-0000-0000AF030000}"/>
    <cellStyle name="Normal 2 2 4" xfId="116" xr:uid="{00000000-0005-0000-0000-0000B0030000}"/>
    <cellStyle name="Normal 2 2 4 2" xfId="875" xr:uid="{00000000-0005-0000-0000-0000B1030000}"/>
    <cellStyle name="Normal 2 2 4 3" xfId="1511" xr:uid="{00000000-0005-0000-0000-0000B2030000}"/>
    <cellStyle name="Normal 2 2 4 4" xfId="1512" xr:uid="{00000000-0005-0000-0000-0000B3030000}"/>
    <cellStyle name="Normal 2 2 4 5" xfId="1513" xr:uid="{00000000-0005-0000-0000-0000B4030000}"/>
    <cellStyle name="Normal 2 2 4 6" xfId="1514" xr:uid="{00000000-0005-0000-0000-0000B5030000}"/>
    <cellStyle name="Normal 2 2 5" xfId="876" xr:uid="{00000000-0005-0000-0000-0000B6030000}"/>
    <cellStyle name="Normal 2 2 6" xfId="1515" xr:uid="{00000000-0005-0000-0000-0000B7030000}"/>
    <cellStyle name="Normal 2 2 7" xfId="1516" xr:uid="{00000000-0005-0000-0000-0000B8030000}"/>
    <cellStyle name="Normal 2 2 8" xfId="1517" xr:uid="{00000000-0005-0000-0000-0000B9030000}"/>
    <cellStyle name="Normal 2 2 9" xfId="1518" xr:uid="{00000000-0005-0000-0000-0000BA030000}"/>
    <cellStyle name="Normal 2 2_1" xfId="877" xr:uid="{00000000-0005-0000-0000-0000BB030000}"/>
    <cellStyle name="Normal 2 20" xfId="1400" xr:uid="{00000000-0005-0000-0000-0000BC030000}"/>
    <cellStyle name="Normal 2 3" xfId="117" xr:uid="{00000000-0005-0000-0000-0000BD030000}"/>
    <cellStyle name="Normal 2 3 2" xfId="878" xr:uid="{00000000-0005-0000-0000-0000BE030000}"/>
    <cellStyle name="Normal 2 3 2 2" xfId="177" xr:uid="{00000000-0005-0000-0000-0000BF030000}"/>
    <cellStyle name="Normal 2 3 2 3" xfId="879" xr:uid="{00000000-0005-0000-0000-0000C0030000}"/>
    <cellStyle name="Normal 2 3 2 4" xfId="880" xr:uid="{00000000-0005-0000-0000-0000C1030000}"/>
    <cellStyle name="Normal 2 3 2_Copy of Uploaded Estimate ( Nellore)" xfId="881" xr:uid="{00000000-0005-0000-0000-0000C2030000}"/>
    <cellStyle name="Normal 2 3 3" xfId="882" xr:uid="{00000000-0005-0000-0000-0000C3030000}"/>
    <cellStyle name="Normal 2 3 3 2" xfId="883" xr:uid="{00000000-0005-0000-0000-0000C4030000}"/>
    <cellStyle name="Normal 2 3 3 2 2" xfId="884" xr:uid="{00000000-0005-0000-0000-0000C5030000}"/>
    <cellStyle name="Normal 2 3 3 2 2 2" xfId="1304" xr:uid="{00000000-0005-0000-0000-0000C6030000}"/>
    <cellStyle name="Normal 2 3 3 2 2 3" xfId="1519" xr:uid="{00000000-0005-0000-0000-0000C7030000}"/>
    <cellStyle name="Normal 2 3 3 2 2 4" xfId="1520" xr:uid="{00000000-0005-0000-0000-0000C8030000}"/>
    <cellStyle name="Normal 2 3 3 2 3" xfId="1305" xr:uid="{00000000-0005-0000-0000-0000C9030000}"/>
    <cellStyle name="Normal 2 3 3 2 3 2" xfId="1306" xr:uid="{00000000-0005-0000-0000-0000CA030000}"/>
    <cellStyle name="Normal 2 3 3 2 4" xfId="1307" xr:uid="{00000000-0005-0000-0000-0000CB030000}"/>
    <cellStyle name="Normal 2 3 3 2 5" xfId="1521" xr:uid="{00000000-0005-0000-0000-0000CC030000}"/>
    <cellStyle name="Normal 2 3 3 2 6" xfId="1522" xr:uid="{00000000-0005-0000-0000-0000CD030000}"/>
    <cellStyle name="Normal 2 3 3 2 7" xfId="1523" xr:uid="{00000000-0005-0000-0000-0000CE030000}"/>
    <cellStyle name="Normal 2 3 3 3" xfId="1308" xr:uid="{00000000-0005-0000-0000-0000CF030000}"/>
    <cellStyle name="Normal 2 3 3 3 2" xfId="1309" xr:uid="{00000000-0005-0000-0000-0000D0030000}"/>
    <cellStyle name="Normal 2 3 3 4" xfId="1310" xr:uid="{00000000-0005-0000-0000-0000D1030000}"/>
    <cellStyle name="Normal 2 3 3 4 2" xfId="1311" xr:uid="{00000000-0005-0000-0000-0000D2030000}"/>
    <cellStyle name="Normal 2 3 3 5" xfId="1312" xr:uid="{00000000-0005-0000-0000-0000D3030000}"/>
    <cellStyle name="Normal 2 3 3 6" xfId="1524" xr:uid="{00000000-0005-0000-0000-0000D4030000}"/>
    <cellStyle name="Normal 2 3 3 7" xfId="1525" xr:uid="{00000000-0005-0000-0000-0000D5030000}"/>
    <cellStyle name="Normal 2 3 4" xfId="885" xr:uid="{00000000-0005-0000-0000-0000D6030000}"/>
    <cellStyle name="Normal 2 3 4 2" xfId="886" xr:uid="{00000000-0005-0000-0000-0000D7030000}"/>
    <cellStyle name="Normal 2 3 4 2 2" xfId="887" xr:uid="{00000000-0005-0000-0000-0000D8030000}"/>
    <cellStyle name="Normal 2 3 4 2 2 2" xfId="888" xr:uid="{00000000-0005-0000-0000-0000D9030000}"/>
    <cellStyle name="Normal 2 3 4 2 2 2 2" xfId="1313" xr:uid="{00000000-0005-0000-0000-0000DA030000}"/>
    <cellStyle name="Normal 2 3 4 2 2 3" xfId="1314" xr:uid="{00000000-0005-0000-0000-0000DB030000}"/>
    <cellStyle name="Normal 2 3 4 2 2 3 2" xfId="1315" xr:uid="{00000000-0005-0000-0000-0000DC030000}"/>
    <cellStyle name="Normal 2 3 4 2 2 4" xfId="1316" xr:uid="{00000000-0005-0000-0000-0000DD030000}"/>
    <cellStyle name="Normal 2 3 4 2 2 5" xfId="1526" xr:uid="{00000000-0005-0000-0000-0000DE030000}"/>
    <cellStyle name="Normal 2 3 4 2 2 6" xfId="1527" xr:uid="{00000000-0005-0000-0000-0000DF030000}"/>
    <cellStyle name="Normal 2 3 4 2 2 7" xfId="1528" xr:uid="{00000000-0005-0000-0000-0000E0030000}"/>
    <cellStyle name="Normal 2 3 4 2 3" xfId="1317" xr:uid="{00000000-0005-0000-0000-0000E1030000}"/>
    <cellStyle name="Normal 2 3 4 2 3 2" xfId="1318" xr:uid="{00000000-0005-0000-0000-0000E2030000}"/>
    <cellStyle name="Normal 2 3 4 2 4" xfId="1319" xr:uid="{00000000-0005-0000-0000-0000E3030000}"/>
    <cellStyle name="Normal 2 3 4 2 4 2" xfId="1320" xr:uid="{00000000-0005-0000-0000-0000E4030000}"/>
    <cellStyle name="Normal 2 3 4 2 5" xfId="1321" xr:uid="{00000000-0005-0000-0000-0000E5030000}"/>
    <cellStyle name="Normal 2 3 4 2 6" xfId="1529" xr:uid="{00000000-0005-0000-0000-0000E6030000}"/>
    <cellStyle name="Normal 2 3 4 2 7" xfId="1530" xr:uid="{00000000-0005-0000-0000-0000E7030000}"/>
    <cellStyle name="Normal 2 3 4 3" xfId="1274" xr:uid="{00000000-0005-0000-0000-0000E8030000}"/>
    <cellStyle name="Normal 2 3 4 3 2" xfId="1322" xr:uid="{00000000-0005-0000-0000-0000E9030000}"/>
    <cellStyle name="Normal 2 3 4 3 3" xfId="1531" xr:uid="{00000000-0005-0000-0000-0000EA030000}"/>
    <cellStyle name="Normal 2 3 4 4" xfId="1323" xr:uid="{00000000-0005-0000-0000-0000EB030000}"/>
    <cellStyle name="Normal 2 3 4 4 2" xfId="1324" xr:uid="{00000000-0005-0000-0000-0000EC030000}"/>
    <cellStyle name="Normal 2 3 4 5" xfId="1325" xr:uid="{00000000-0005-0000-0000-0000ED030000}"/>
    <cellStyle name="Normal 2 3 4 6" xfId="1532" xr:uid="{00000000-0005-0000-0000-0000EE030000}"/>
    <cellStyle name="Normal 2 3 4 7" xfId="1533" xr:uid="{00000000-0005-0000-0000-0000EF030000}"/>
    <cellStyle name="Normal 2 3 5" xfId="889" xr:uid="{00000000-0005-0000-0000-0000F0030000}"/>
    <cellStyle name="Normal 2 3 5 2" xfId="1326" xr:uid="{00000000-0005-0000-0000-0000F1030000}"/>
    <cellStyle name="Normal 2 3 6" xfId="890" xr:uid="{00000000-0005-0000-0000-0000F2030000}"/>
    <cellStyle name="Normal 2 3 6 2" xfId="1327" xr:uid="{00000000-0005-0000-0000-0000F3030000}"/>
    <cellStyle name="Normal 2 3 7" xfId="891" xr:uid="{00000000-0005-0000-0000-0000F4030000}"/>
    <cellStyle name="Normal 2 3 8" xfId="892" xr:uid="{00000000-0005-0000-0000-0000F5030000}"/>
    <cellStyle name="Normal 2 3 9" xfId="1534" xr:uid="{00000000-0005-0000-0000-0000F6030000}"/>
    <cellStyle name="Normal 2 3_BANGALORE 13-02-2012" xfId="893" xr:uid="{00000000-0005-0000-0000-0000F7030000}"/>
    <cellStyle name="Normal 2 4" xfId="118" xr:uid="{00000000-0005-0000-0000-0000F8030000}"/>
    <cellStyle name="Normal 2 4 2" xfId="894" xr:uid="{00000000-0005-0000-0000-0000F9030000}"/>
    <cellStyle name="Normal 2 4 2 2" xfId="895" xr:uid="{00000000-0005-0000-0000-0000FA030000}"/>
    <cellStyle name="Normal 2 4 2 3" xfId="1352" xr:uid="{00000000-0005-0000-0000-0000FB030000}"/>
    <cellStyle name="Normal 2 4 2 4" xfId="1353" xr:uid="{00000000-0005-0000-0000-0000FC030000}"/>
    <cellStyle name="Normal 2 4 2 5" xfId="1354" xr:uid="{00000000-0005-0000-0000-0000FD030000}"/>
    <cellStyle name="Normal 2 4 2 6" xfId="1423" xr:uid="{00000000-0005-0000-0000-0000FE030000}"/>
    <cellStyle name="Normal 2 4 3" xfId="896" xr:uid="{00000000-0005-0000-0000-0000FF030000}"/>
    <cellStyle name="Normal 2 4 4" xfId="897" xr:uid="{00000000-0005-0000-0000-000000040000}"/>
    <cellStyle name="Normal 2 4 5" xfId="1328" xr:uid="{00000000-0005-0000-0000-000001040000}"/>
    <cellStyle name="Normal 2 4 6" xfId="1355" xr:uid="{00000000-0005-0000-0000-000002040000}"/>
    <cellStyle name="Normal 2 4 7" xfId="1535" xr:uid="{00000000-0005-0000-0000-000003040000}"/>
    <cellStyle name="Normal 2 5" xfId="119" xr:uid="{00000000-0005-0000-0000-000004040000}"/>
    <cellStyle name="Normal 2 5 2" xfId="898" xr:uid="{00000000-0005-0000-0000-000005040000}"/>
    <cellStyle name="Normal 2 5 3" xfId="1356" xr:uid="{00000000-0005-0000-0000-000006040000}"/>
    <cellStyle name="Normal 2 5 4" xfId="1357" xr:uid="{00000000-0005-0000-0000-000007040000}"/>
    <cellStyle name="Normal 2 5 5" xfId="1389" xr:uid="{00000000-0005-0000-0000-000008040000}"/>
    <cellStyle name="Normal 2 5 6" xfId="1536" xr:uid="{00000000-0005-0000-0000-000009040000}"/>
    <cellStyle name="Normal 2 5 7" xfId="1537" xr:uid="{00000000-0005-0000-0000-00000A040000}"/>
    <cellStyle name="Normal 2 6" xfId="120" xr:uid="{00000000-0005-0000-0000-00000B040000}"/>
    <cellStyle name="Normal 2 6 2" xfId="1358" xr:uid="{00000000-0005-0000-0000-00000C040000}"/>
    <cellStyle name="Normal 2 6 3" xfId="1359" xr:uid="{00000000-0005-0000-0000-00000D040000}"/>
    <cellStyle name="Normal 2 6 4" xfId="1360" xr:uid="{00000000-0005-0000-0000-00000E040000}"/>
    <cellStyle name="Normal 2 6 5" xfId="1538" xr:uid="{00000000-0005-0000-0000-00000F040000}"/>
    <cellStyle name="Normal 2 6 6" xfId="1539" xr:uid="{00000000-0005-0000-0000-000010040000}"/>
    <cellStyle name="Normal 2 7" xfId="899" xr:uid="{00000000-0005-0000-0000-000011040000}"/>
    <cellStyle name="Normal 2 7 2" xfId="1420" xr:uid="{00000000-0005-0000-0000-000012040000}"/>
    <cellStyle name="Normal 2 8" xfId="900" xr:uid="{00000000-0005-0000-0000-000013040000}"/>
    <cellStyle name="Normal 2 9" xfId="901" xr:uid="{00000000-0005-0000-0000-000014040000}"/>
    <cellStyle name="Normal 2_ ZPHS (G) at Enkoor (V&amp;M) 22.08 L" xfId="902" xr:uid="{00000000-0005-0000-0000-000015040000}"/>
    <cellStyle name="Normal 20" xfId="903" xr:uid="{00000000-0005-0000-0000-000016040000}"/>
    <cellStyle name="Normal 20 2" xfId="904" xr:uid="{00000000-0005-0000-0000-000017040000}"/>
    <cellStyle name="Normal 20 3" xfId="1361" xr:uid="{00000000-0005-0000-0000-000018040000}"/>
    <cellStyle name="Normal 21" xfId="905" xr:uid="{00000000-0005-0000-0000-000019040000}"/>
    <cellStyle name="Normal 21 2" xfId="906" xr:uid="{00000000-0005-0000-0000-00001A040000}"/>
    <cellStyle name="Normal 21 3" xfId="907" xr:uid="{00000000-0005-0000-0000-00001B040000}"/>
    <cellStyle name="Normal 21 4" xfId="908" xr:uid="{00000000-0005-0000-0000-00001C040000}"/>
    <cellStyle name="Normal 21 4 2" xfId="909" xr:uid="{00000000-0005-0000-0000-00001D040000}"/>
    <cellStyle name="Normal 21 4 2 2" xfId="910" xr:uid="{00000000-0005-0000-0000-00001E040000}"/>
    <cellStyle name="Normal 21 4 3" xfId="911" xr:uid="{00000000-0005-0000-0000-00001F040000}"/>
    <cellStyle name="Normal 21 5" xfId="912" xr:uid="{00000000-0005-0000-0000-000020040000}"/>
    <cellStyle name="Normal 21 6" xfId="913" xr:uid="{00000000-0005-0000-0000-000021040000}"/>
    <cellStyle name="Normal 21 6 2" xfId="914" xr:uid="{00000000-0005-0000-0000-000022040000}"/>
    <cellStyle name="Normal 22" xfId="915" xr:uid="{00000000-0005-0000-0000-000023040000}"/>
    <cellStyle name="Normal 22 2" xfId="1362" xr:uid="{00000000-0005-0000-0000-000024040000}"/>
    <cellStyle name="Normal 23" xfId="916" xr:uid="{00000000-0005-0000-0000-000025040000}"/>
    <cellStyle name="Normal 23 2" xfId="917" xr:uid="{00000000-0005-0000-0000-000026040000}"/>
    <cellStyle name="Normal 23 3" xfId="1363" xr:uid="{00000000-0005-0000-0000-000027040000}"/>
    <cellStyle name="Normal 24" xfId="918" xr:uid="{00000000-0005-0000-0000-000028040000}"/>
    <cellStyle name="Normal 25" xfId="919" xr:uid="{00000000-0005-0000-0000-000029040000}"/>
    <cellStyle name="Normal 25 2" xfId="920" xr:uid="{00000000-0005-0000-0000-00002A040000}"/>
    <cellStyle name="Normal 25 2 2" xfId="921" xr:uid="{00000000-0005-0000-0000-00002B040000}"/>
    <cellStyle name="Normal 25 2 2 2" xfId="922" xr:uid="{00000000-0005-0000-0000-00002C040000}"/>
    <cellStyle name="Normal 25 2 3" xfId="923" xr:uid="{00000000-0005-0000-0000-00002D040000}"/>
    <cellStyle name="Normal 25 3" xfId="924" xr:uid="{00000000-0005-0000-0000-00002E040000}"/>
    <cellStyle name="Normal 25 3 2" xfId="925" xr:uid="{00000000-0005-0000-0000-00002F040000}"/>
    <cellStyle name="Normal 26" xfId="926" xr:uid="{00000000-0005-0000-0000-000030040000}"/>
    <cellStyle name="Normal 26 2" xfId="927" xr:uid="{00000000-0005-0000-0000-000031040000}"/>
    <cellStyle name="Normal 26 2 2" xfId="928" xr:uid="{00000000-0005-0000-0000-000032040000}"/>
    <cellStyle name="Normal 26 2 2 2" xfId="929" xr:uid="{00000000-0005-0000-0000-000033040000}"/>
    <cellStyle name="Normal 26 2 3" xfId="930" xr:uid="{00000000-0005-0000-0000-000034040000}"/>
    <cellStyle name="Normal 26 3" xfId="931" xr:uid="{00000000-0005-0000-0000-000035040000}"/>
    <cellStyle name="Normal 26 3 2" xfId="932" xr:uid="{00000000-0005-0000-0000-000036040000}"/>
    <cellStyle name="Normal 27" xfId="933" xr:uid="{00000000-0005-0000-0000-000037040000}"/>
    <cellStyle name="Normal 27 2" xfId="934" xr:uid="{00000000-0005-0000-0000-000038040000}"/>
    <cellStyle name="Normal 27 2 2" xfId="935" xr:uid="{00000000-0005-0000-0000-000039040000}"/>
    <cellStyle name="Normal 27 2 2 2" xfId="936" xr:uid="{00000000-0005-0000-0000-00003A040000}"/>
    <cellStyle name="Normal 27 2 3" xfId="937" xr:uid="{00000000-0005-0000-0000-00003B040000}"/>
    <cellStyle name="Normal 27 3" xfId="938" xr:uid="{00000000-0005-0000-0000-00003C040000}"/>
    <cellStyle name="Normal 27 3 2" xfId="939" xr:uid="{00000000-0005-0000-0000-00003D040000}"/>
    <cellStyle name="Normal 28" xfId="940" xr:uid="{00000000-0005-0000-0000-00003E040000}"/>
    <cellStyle name="Normal 28 2" xfId="941" xr:uid="{00000000-0005-0000-0000-00003F040000}"/>
    <cellStyle name="Normal 28 2 2" xfId="942" xr:uid="{00000000-0005-0000-0000-000040040000}"/>
    <cellStyle name="Normal 28 2 2 2" xfId="943" xr:uid="{00000000-0005-0000-0000-000041040000}"/>
    <cellStyle name="Normal 28 2 3" xfId="944" xr:uid="{00000000-0005-0000-0000-000042040000}"/>
    <cellStyle name="Normal 28 3" xfId="945" xr:uid="{00000000-0005-0000-0000-000043040000}"/>
    <cellStyle name="Normal 28 3 2" xfId="946" xr:uid="{00000000-0005-0000-0000-000044040000}"/>
    <cellStyle name="Normal 29" xfId="947" xr:uid="{00000000-0005-0000-0000-000045040000}"/>
    <cellStyle name="Normal 29 2" xfId="948" xr:uid="{00000000-0005-0000-0000-000046040000}"/>
    <cellStyle name="Normal 29 2 2" xfId="949" xr:uid="{00000000-0005-0000-0000-000047040000}"/>
    <cellStyle name="Normal 29 2 2 2" xfId="950" xr:uid="{00000000-0005-0000-0000-000048040000}"/>
    <cellStyle name="Normal 29 2 3" xfId="951" xr:uid="{00000000-0005-0000-0000-000049040000}"/>
    <cellStyle name="Normal 29 3" xfId="952" xr:uid="{00000000-0005-0000-0000-00004A040000}"/>
    <cellStyle name="Normal 29 3 2" xfId="953" xr:uid="{00000000-0005-0000-0000-00004B040000}"/>
    <cellStyle name="Normal 29 4" xfId="954" xr:uid="{00000000-0005-0000-0000-00004C040000}"/>
    <cellStyle name="Normal 29 5" xfId="955" xr:uid="{00000000-0005-0000-0000-00004D040000}"/>
    <cellStyle name="Normal 29 6" xfId="956" xr:uid="{00000000-0005-0000-0000-00004E040000}"/>
    <cellStyle name="Normal 3" xfId="121" xr:uid="{00000000-0005-0000-0000-00004F040000}"/>
    <cellStyle name="Normal 3 10" xfId="957" xr:uid="{00000000-0005-0000-0000-000050040000}"/>
    <cellStyle name="Normal 3 10 2" xfId="958" xr:uid="{00000000-0005-0000-0000-000051040000}"/>
    <cellStyle name="Normal 3 10 3" xfId="959" xr:uid="{00000000-0005-0000-0000-000052040000}"/>
    <cellStyle name="Normal 3 11" xfId="960" xr:uid="{00000000-0005-0000-0000-000053040000}"/>
    <cellStyle name="Normal 3 12" xfId="961" xr:uid="{00000000-0005-0000-0000-000054040000}"/>
    <cellStyle name="Normal 3 13" xfId="962" xr:uid="{00000000-0005-0000-0000-000055040000}"/>
    <cellStyle name="Normal 3 14" xfId="963" xr:uid="{00000000-0005-0000-0000-000056040000}"/>
    <cellStyle name="Normal 3 15" xfId="964" xr:uid="{00000000-0005-0000-0000-000057040000}"/>
    <cellStyle name="Normal 3 16" xfId="965" xr:uid="{00000000-0005-0000-0000-000058040000}"/>
    <cellStyle name="Normal 3 2" xfId="122" xr:uid="{00000000-0005-0000-0000-000059040000}"/>
    <cellStyle name="Normal 3 2 2" xfId="966" xr:uid="{00000000-0005-0000-0000-00005A040000}"/>
    <cellStyle name="Normal 3 2 2 2" xfId="967" xr:uid="{00000000-0005-0000-0000-00005B040000}"/>
    <cellStyle name="Normal 3 2 2 2 2" xfId="968" xr:uid="{00000000-0005-0000-0000-00005C040000}"/>
    <cellStyle name="Normal 3 2 2 3" xfId="969" xr:uid="{00000000-0005-0000-0000-00005D040000}"/>
    <cellStyle name="Normal 3 2 2 4" xfId="1422" xr:uid="{00000000-0005-0000-0000-00005E040000}"/>
    <cellStyle name="Normal 3 2 2 5" xfId="1540" xr:uid="{00000000-0005-0000-0000-00005F040000}"/>
    <cellStyle name="Normal 3 2 2 6" xfId="1541" xr:uid="{00000000-0005-0000-0000-000060040000}"/>
    <cellStyle name="Normal 3 2 2 7" xfId="1542" xr:uid="{00000000-0005-0000-0000-000061040000}"/>
    <cellStyle name="Normal 3 2 3" xfId="970" xr:uid="{00000000-0005-0000-0000-000062040000}"/>
    <cellStyle name="Normal 3 2 3 2" xfId="971" xr:uid="{00000000-0005-0000-0000-000063040000}"/>
    <cellStyle name="Normal 3 2 3 2 2" xfId="1421" xr:uid="{00000000-0005-0000-0000-000064040000}"/>
    <cellStyle name="Normal 3 2 3 3" xfId="1390" xr:uid="{00000000-0005-0000-0000-000065040000}"/>
    <cellStyle name="Normal 3 2 3 4" xfId="1543" xr:uid="{00000000-0005-0000-0000-000066040000}"/>
    <cellStyle name="Normal 3 2 3 5" xfId="1544" xr:uid="{00000000-0005-0000-0000-000067040000}"/>
    <cellStyle name="Normal 3 2 3 6" xfId="1545" xr:uid="{00000000-0005-0000-0000-000068040000}"/>
    <cellStyle name="Normal 3 2 3 7" xfId="1546" xr:uid="{00000000-0005-0000-0000-000069040000}"/>
    <cellStyle name="Normal 3 2 4" xfId="972" xr:uid="{00000000-0005-0000-0000-00006A040000}"/>
    <cellStyle name="Normal 3 2 5" xfId="1547" xr:uid="{00000000-0005-0000-0000-00006B040000}"/>
    <cellStyle name="Normal 3 2 6" xfId="1548" xr:uid="{00000000-0005-0000-0000-00006C040000}"/>
    <cellStyle name="Normal 3 2 7" xfId="1549" xr:uid="{00000000-0005-0000-0000-00006D040000}"/>
    <cellStyle name="Normal 3 2 8" xfId="1550" xr:uid="{00000000-0005-0000-0000-00006E040000}"/>
    <cellStyle name="Normal 3 2 9" xfId="1551" xr:uid="{00000000-0005-0000-0000-00006F040000}"/>
    <cellStyle name="Normal 3 2_(GF) Reading Room Over Existing Building at Govt Jr. College  05.11.2013" xfId="973" xr:uid="{00000000-0005-0000-0000-000070040000}"/>
    <cellStyle name="Normal 3 3" xfId="123" xr:uid="{00000000-0005-0000-0000-000071040000}"/>
    <cellStyle name="Normal 3 3 2" xfId="974" xr:uid="{00000000-0005-0000-0000-000072040000}"/>
    <cellStyle name="Normal 3 3 2 2" xfId="975" xr:uid="{00000000-0005-0000-0000-000073040000}"/>
    <cellStyle name="Normal 3 3 2 3" xfId="1364" xr:uid="{00000000-0005-0000-0000-000074040000}"/>
    <cellStyle name="Normal 3 3 2 4" xfId="1365" xr:uid="{00000000-0005-0000-0000-000075040000}"/>
    <cellStyle name="Normal 3 3 2_KGVB-Mulugu-Wgl" xfId="976" xr:uid="{00000000-0005-0000-0000-000076040000}"/>
    <cellStyle name="Normal 3 3 3" xfId="1366" xr:uid="{00000000-0005-0000-0000-000077040000}"/>
    <cellStyle name="Normal 3 3 4" xfId="1367" xr:uid="{00000000-0005-0000-0000-000078040000}"/>
    <cellStyle name="Normal 3 3 5" xfId="1368" xr:uid="{00000000-0005-0000-0000-000079040000}"/>
    <cellStyle name="Normal 3 3 6" xfId="1552" xr:uid="{00000000-0005-0000-0000-00007A040000}"/>
    <cellStyle name="Normal 3 3 7" xfId="1553" xr:uid="{00000000-0005-0000-0000-00007B040000}"/>
    <cellStyle name="Normal 3 3_3 ACRs in GF - G+1 floor-2010-11" xfId="977" xr:uid="{00000000-0005-0000-0000-00007C040000}"/>
    <cellStyle name="Normal 3 33" xfId="978" xr:uid="{00000000-0005-0000-0000-00007D040000}"/>
    <cellStyle name="Normal 3 4" xfId="124" xr:uid="{00000000-0005-0000-0000-00007E040000}"/>
    <cellStyle name="Normal 3 4 2" xfId="979" xr:uid="{00000000-0005-0000-0000-00007F040000}"/>
    <cellStyle name="Normal 3 4 3" xfId="1369" xr:uid="{00000000-0005-0000-0000-000080040000}"/>
    <cellStyle name="Normal 3 4 4" xfId="1370" xr:uid="{00000000-0005-0000-0000-000081040000}"/>
    <cellStyle name="Normal 3 5" xfId="980" xr:uid="{00000000-0005-0000-0000-000082040000}"/>
    <cellStyle name="Normal 3 5 2" xfId="981" xr:uid="{00000000-0005-0000-0000-000083040000}"/>
    <cellStyle name="Normal 3 5 3" xfId="982" xr:uid="{00000000-0005-0000-0000-000084040000}"/>
    <cellStyle name="Normal 3 5 4" xfId="983" xr:uid="{00000000-0005-0000-0000-000085040000}"/>
    <cellStyle name="Normal 3 6" xfId="984" xr:uid="{00000000-0005-0000-0000-000086040000}"/>
    <cellStyle name="Normal 3 6 2" xfId="985" xr:uid="{00000000-0005-0000-0000-000087040000}"/>
    <cellStyle name="Normal 3 6 3" xfId="1371" xr:uid="{00000000-0005-0000-0000-000088040000}"/>
    <cellStyle name="Normal 3 6 4" xfId="1372" xr:uid="{00000000-0005-0000-0000-000089040000}"/>
    <cellStyle name="Normal 3 7" xfId="986" xr:uid="{00000000-0005-0000-0000-00008A040000}"/>
    <cellStyle name="Normal 3 7 2" xfId="987" xr:uid="{00000000-0005-0000-0000-00008B040000}"/>
    <cellStyle name="Normal 3 7 3" xfId="988" xr:uid="{00000000-0005-0000-0000-00008C040000}"/>
    <cellStyle name="Normal 3 7_Girls Hostel attached to Model School at Munipally WDE (Final) Modified (05.09.2014)" xfId="989" xr:uid="{00000000-0005-0000-0000-00008D040000}"/>
    <cellStyle name="Normal 3 8" xfId="990" xr:uid="{00000000-0005-0000-0000-00008E040000}"/>
    <cellStyle name="Normal 3 8 2" xfId="991" xr:uid="{00000000-0005-0000-0000-00008F040000}"/>
    <cellStyle name="Normal 3 9" xfId="992" xr:uid="{00000000-0005-0000-0000-000090040000}"/>
    <cellStyle name="Normal 3 9 2" xfId="993" xr:uid="{00000000-0005-0000-0000-000091040000}"/>
    <cellStyle name="Normal 3 9 3" xfId="994" xr:uid="{00000000-0005-0000-0000-000092040000}"/>
    <cellStyle name="Normal 3 9 4" xfId="995" xr:uid="{00000000-0005-0000-0000-000093040000}"/>
    <cellStyle name="Normal 3_1_Pattapupalem_road estt-NCRMP" xfId="125" xr:uid="{00000000-0005-0000-0000-000094040000}"/>
    <cellStyle name="Normal 30" xfId="996" xr:uid="{00000000-0005-0000-0000-000095040000}"/>
    <cellStyle name="Normal 30 2" xfId="997" xr:uid="{00000000-0005-0000-0000-000096040000}"/>
    <cellStyle name="Normal 30 2 2" xfId="998" xr:uid="{00000000-0005-0000-0000-000097040000}"/>
    <cellStyle name="Normal 30 2 2 2" xfId="999" xr:uid="{00000000-0005-0000-0000-000098040000}"/>
    <cellStyle name="Normal 30 2 3" xfId="1000" xr:uid="{00000000-0005-0000-0000-000099040000}"/>
    <cellStyle name="Normal 30 3" xfId="1001" xr:uid="{00000000-0005-0000-0000-00009A040000}"/>
    <cellStyle name="Normal 30 3 2" xfId="1002" xr:uid="{00000000-0005-0000-0000-00009B040000}"/>
    <cellStyle name="Normal 31" xfId="1003" xr:uid="{00000000-0005-0000-0000-00009C040000}"/>
    <cellStyle name="Normal 31 2" xfId="1004" xr:uid="{00000000-0005-0000-0000-00009D040000}"/>
    <cellStyle name="Normal 31 2 2" xfId="1005" xr:uid="{00000000-0005-0000-0000-00009E040000}"/>
    <cellStyle name="Normal 31 2 2 2" xfId="1006" xr:uid="{00000000-0005-0000-0000-00009F040000}"/>
    <cellStyle name="Normal 31 2 3" xfId="1007" xr:uid="{00000000-0005-0000-0000-0000A0040000}"/>
    <cellStyle name="Normal 31 3" xfId="1008" xr:uid="{00000000-0005-0000-0000-0000A1040000}"/>
    <cellStyle name="Normal 31 3 2" xfId="1009" xr:uid="{00000000-0005-0000-0000-0000A2040000}"/>
    <cellStyle name="Normal 32" xfId="1010" xr:uid="{00000000-0005-0000-0000-0000A3040000}"/>
    <cellStyle name="Normal 32 2" xfId="1011" xr:uid="{00000000-0005-0000-0000-0000A4040000}"/>
    <cellStyle name="Normal 32 2 2" xfId="1012" xr:uid="{00000000-0005-0000-0000-0000A5040000}"/>
    <cellStyle name="Normal 32 2 2 2" xfId="1013" xr:uid="{00000000-0005-0000-0000-0000A6040000}"/>
    <cellStyle name="Normal 32 2 3" xfId="1014" xr:uid="{00000000-0005-0000-0000-0000A7040000}"/>
    <cellStyle name="Normal 32 3" xfId="1015" xr:uid="{00000000-0005-0000-0000-0000A8040000}"/>
    <cellStyle name="Normal 32 3 2" xfId="1016" xr:uid="{00000000-0005-0000-0000-0000A9040000}"/>
    <cellStyle name="Normal 33" xfId="1017" xr:uid="{00000000-0005-0000-0000-0000AA040000}"/>
    <cellStyle name="Normal 33 2" xfId="1018" xr:uid="{00000000-0005-0000-0000-0000AB040000}"/>
    <cellStyle name="Normal 33 2 2" xfId="1019" xr:uid="{00000000-0005-0000-0000-0000AC040000}"/>
    <cellStyle name="Normal 33 2 2 2" xfId="1020" xr:uid="{00000000-0005-0000-0000-0000AD040000}"/>
    <cellStyle name="Normal 33 2 3" xfId="1021" xr:uid="{00000000-0005-0000-0000-0000AE040000}"/>
    <cellStyle name="Normal 33 3" xfId="1022" xr:uid="{00000000-0005-0000-0000-0000AF040000}"/>
    <cellStyle name="Normal 33 3 2" xfId="1023" xr:uid="{00000000-0005-0000-0000-0000B0040000}"/>
    <cellStyle name="Normal 34" xfId="1024" xr:uid="{00000000-0005-0000-0000-0000B1040000}"/>
    <cellStyle name="Normal 34 2" xfId="1025" xr:uid="{00000000-0005-0000-0000-0000B2040000}"/>
    <cellStyle name="Normal 34 3" xfId="1026" xr:uid="{00000000-0005-0000-0000-0000B3040000}"/>
    <cellStyle name="Normal 35" xfId="1027" xr:uid="{00000000-0005-0000-0000-0000B4040000}"/>
    <cellStyle name="Normal 36" xfId="1028" xr:uid="{00000000-0005-0000-0000-0000B5040000}"/>
    <cellStyle name="Normal 37" xfId="1029" xr:uid="{00000000-0005-0000-0000-0000B6040000}"/>
    <cellStyle name="Normal 38" xfId="1030" xr:uid="{00000000-0005-0000-0000-0000B7040000}"/>
    <cellStyle name="Normal 39" xfId="1031" xr:uid="{00000000-0005-0000-0000-0000B8040000}"/>
    <cellStyle name="Normal 4" xfId="126" xr:uid="{00000000-0005-0000-0000-0000B9040000}"/>
    <cellStyle name="Normal 4 10" xfId="1032" xr:uid="{00000000-0005-0000-0000-0000BA040000}"/>
    <cellStyle name="Normal 4 11" xfId="1033" xr:uid="{00000000-0005-0000-0000-0000BB040000}"/>
    <cellStyle name="Normal 4 12" xfId="1554" xr:uid="{00000000-0005-0000-0000-0000BC040000}"/>
    <cellStyle name="Normal 4 2" xfId="127" xr:uid="{00000000-0005-0000-0000-0000BD040000}"/>
    <cellStyle name="Normal 4 2 2" xfId="128" xr:uid="{00000000-0005-0000-0000-0000BE040000}"/>
    <cellStyle name="Normal 4 2 2 2" xfId="1034" xr:uid="{00000000-0005-0000-0000-0000BF040000}"/>
    <cellStyle name="Normal 4 2 3" xfId="1035" xr:uid="{00000000-0005-0000-0000-0000C0040000}"/>
    <cellStyle name="Normal 4 2 4" xfId="1036" xr:uid="{00000000-0005-0000-0000-0000C1040000}"/>
    <cellStyle name="Normal 4 2 5" xfId="1373" xr:uid="{00000000-0005-0000-0000-0000C2040000}"/>
    <cellStyle name="Normal 4 2 6" xfId="1374" xr:uid="{00000000-0005-0000-0000-0000C3040000}"/>
    <cellStyle name="Normal 4 2 7" xfId="1388" xr:uid="{00000000-0005-0000-0000-0000C4040000}"/>
    <cellStyle name="Normal 4 2_Estimate" xfId="1375" xr:uid="{00000000-0005-0000-0000-0000C5040000}"/>
    <cellStyle name="Normal 4 3" xfId="129" xr:uid="{00000000-0005-0000-0000-0000C6040000}"/>
    <cellStyle name="Normal 4 3 2" xfId="130" xr:uid="{00000000-0005-0000-0000-0000C7040000}"/>
    <cellStyle name="Normal 4 3 3" xfId="1555" xr:uid="{00000000-0005-0000-0000-0000C8040000}"/>
    <cellStyle name="Normal 4 3 4" xfId="1556" xr:uid="{00000000-0005-0000-0000-0000C9040000}"/>
    <cellStyle name="Normal 4 4" xfId="131" xr:uid="{00000000-0005-0000-0000-0000CA040000}"/>
    <cellStyle name="Normal 4 4 2" xfId="1037" xr:uid="{00000000-0005-0000-0000-0000CB040000}"/>
    <cellStyle name="Normal 4 5" xfId="132" xr:uid="{00000000-0005-0000-0000-0000CC040000}"/>
    <cellStyle name="Normal 4 5 2" xfId="133" xr:uid="{00000000-0005-0000-0000-0000CD040000}"/>
    <cellStyle name="Normal 4 6" xfId="1038" xr:uid="{00000000-0005-0000-0000-0000CE040000}"/>
    <cellStyle name="Normal 4 7" xfId="1039" xr:uid="{00000000-0005-0000-0000-0000CF040000}"/>
    <cellStyle name="Normal 4 8" xfId="1040" xr:uid="{00000000-0005-0000-0000-0000D0040000}"/>
    <cellStyle name="Normal 4 9" xfId="1041" xr:uid="{00000000-0005-0000-0000-0000D1040000}"/>
    <cellStyle name="Normal 4_1. Infilteration Well " xfId="1042" xr:uid="{00000000-0005-0000-0000-0000D2040000}"/>
    <cellStyle name="Normal 40" xfId="1043" xr:uid="{00000000-0005-0000-0000-0000D3040000}"/>
    <cellStyle name="Normal 41" xfId="1044" xr:uid="{00000000-0005-0000-0000-0000D4040000}"/>
    <cellStyle name="Normal 42" xfId="1045" xr:uid="{00000000-0005-0000-0000-0000D5040000}"/>
    <cellStyle name="Normal 42 2" xfId="1046" xr:uid="{00000000-0005-0000-0000-0000D6040000}"/>
    <cellStyle name="Normal 43" xfId="1047" xr:uid="{00000000-0005-0000-0000-0000D7040000}"/>
    <cellStyle name="Normal 44" xfId="1048" xr:uid="{00000000-0005-0000-0000-0000D8040000}"/>
    <cellStyle name="Normal 45" xfId="1049" xr:uid="{00000000-0005-0000-0000-0000D9040000}"/>
    <cellStyle name="Normal 46" xfId="1050" xr:uid="{00000000-0005-0000-0000-0000DA040000}"/>
    <cellStyle name="Normal 47" xfId="1051" xr:uid="{00000000-0005-0000-0000-0000DB040000}"/>
    <cellStyle name="Normal 48" xfId="1052" xr:uid="{00000000-0005-0000-0000-0000DC040000}"/>
    <cellStyle name="Normal 49" xfId="1053" xr:uid="{00000000-0005-0000-0000-0000DD040000}"/>
    <cellStyle name="Normal 5" xfId="134" xr:uid="{00000000-0005-0000-0000-0000DE040000}"/>
    <cellStyle name="Normal 5 10" xfId="1557" xr:uid="{00000000-0005-0000-0000-0000DF040000}"/>
    <cellStyle name="Normal 5 11" xfId="1558" xr:uid="{00000000-0005-0000-0000-0000E0040000}"/>
    <cellStyle name="Normal 5 2" xfId="135" xr:uid="{00000000-0005-0000-0000-0000E1040000}"/>
    <cellStyle name="Normal 5 2 2" xfId="1054" xr:uid="{00000000-0005-0000-0000-0000E2040000}"/>
    <cellStyle name="Normal 5 2 2 2" xfId="1329" xr:uid="{00000000-0005-0000-0000-0000E3040000}"/>
    <cellStyle name="Normal 5 2 2 3" xfId="1559" xr:uid="{00000000-0005-0000-0000-0000E4040000}"/>
    <cellStyle name="Normal 5 2 2 4" xfId="1560" xr:uid="{00000000-0005-0000-0000-0000E5040000}"/>
    <cellStyle name="Normal 5 2 3" xfId="1330" xr:uid="{00000000-0005-0000-0000-0000E6040000}"/>
    <cellStyle name="Normal 5 2 3 2" xfId="1331" xr:uid="{00000000-0005-0000-0000-0000E7040000}"/>
    <cellStyle name="Normal 5 2 4" xfId="1332" xr:uid="{00000000-0005-0000-0000-0000E8040000}"/>
    <cellStyle name="Normal 5 2 5" xfId="1561" xr:uid="{00000000-0005-0000-0000-0000E9040000}"/>
    <cellStyle name="Normal 5 2 6" xfId="1562" xr:uid="{00000000-0005-0000-0000-0000EA040000}"/>
    <cellStyle name="Normal 5 2 7" xfId="1563" xr:uid="{00000000-0005-0000-0000-0000EB040000}"/>
    <cellStyle name="Normal 5 3" xfId="136" xr:uid="{00000000-0005-0000-0000-0000EC040000}"/>
    <cellStyle name="Normal 5 3 2" xfId="1055" xr:uid="{00000000-0005-0000-0000-0000ED040000}"/>
    <cellStyle name="Normal 5 3 3" xfId="1056" xr:uid="{00000000-0005-0000-0000-0000EE040000}"/>
    <cellStyle name="Normal 5 3 3 2" xfId="1057" xr:uid="{00000000-0005-0000-0000-0000EF040000}"/>
    <cellStyle name="Normal 5 3 4" xfId="1058" xr:uid="{00000000-0005-0000-0000-0000F0040000}"/>
    <cellStyle name="Normal 5 3 5" xfId="1564" xr:uid="{00000000-0005-0000-0000-0000F1040000}"/>
    <cellStyle name="Normal 5 3 6" xfId="1565" xr:uid="{00000000-0005-0000-0000-0000F2040000}"/>
    <cellStyle name="Normal 5 3 7" xfId="1566" xr:uid="{00000000-0005-0000-0000-0000F3040000}"/>
    <cellStyle name="Normal 5 3_Girls Hostel at Ibrahimnagar SSR 2014-15 _Full(1)" xfId="1059" xr:uid="{00000000-0005-0000-0000-0000F4040000}"/>
    <cellStyle name="Normal 5 4" xfId="137" xr:uid="{00000000-0005-0000-0000-0000F5040000}"/>
    <cellStyle name="Normal 5 4 2" xfId="1060" xr:uid="{00000000-0005-0000-0000-0000F6040000}"/>
    <cellStyle name="Normal 5 4 2 2" xfId="1061" xr:uid="{00000000-0005-0000-0000-0000F7040000}"/>
    <cellStyle name="Normal 5 4 2 3" xfId="1567" xr:uid="{00000000-0005-0000-0000-0000F8040000}"/>
    <cellStyle name="Normal 5 4 2 4" xfId="1568" xr:uid="{00000000-0005-0000-0000-0000F9040000}"/>
    <cellStyle name="Normal 5 4 2 5" xfId="1569" xr:uid="{00000000-0005-0000-0000-0000FA040000}"/>
    <cellStyle name="Normal 5 4 2 6" xfId="1570" xr:uid="{00000000-0005-0000-0000-0000FB040000}"/>
    <cellStyle name="Normal 5 4 2 7" xfId="1571" xr:uid="{00000000-0005-0000-0000-0000FC040000}"/>
    <cellStyle name="Normal 5 4 3" xfId="1062" xr:uid="{00000000-0005-0000-0000-0000FD040000}"/>
    <cellStyle name="Normal 5 4 4" xfId="1333" xr:uid="{00000000-0005-0000-0000-0000FE040000}"/>
    <cellStyle name="Normal 5 4 5" xfId="1334" xr:uid="{00000000-0005-0000-0000-0000FF040000}"/>
    <cellStyle name="Normal 5 4 6" xfId="1572" xr:uid="{00000000-0005-0000-0000-000000050000}"/>
    <cellStyle name="Normal 5 4 7" xfId="1573" xr:uid="{00000000-0005-0000-0000-000001050000}"/>
    <cellStyle name="Normal 5 4 8" xfId="1574" xr:uid="{00000000-0005-0000-0000-000002050000}"/>
    <cellStyle name="Normal 5 5" xfId="1063" xr:uid="{00000000-0005-0000-0000-000003050000}"/>
    <cellStyle name="Normal 5 5 2" xfId="1064" xr:uid="{00000000-0005-0000-0000-000004050000}"/>
    <cellStyle name="Normal 5 5 3" xfId="1335" xr:uid="{00000000-0005-0000-0000-000005050000}"/>
    <cellStyle name="Normal 5 5 4" xfId="1336" xr:uid="{00000000-0005-0000-0000-000006050000}"/>
    <cellStyle name="Normal 5 5 5" xfId="1575" xr:uid="{00000000-0005-0000-0000-000007050000}"/>
    <cellStyle name="Normal 5 5 6" xfId="1576" xr:uid="{00000000-0005-0000-0000-000008050000}"/>
    <cellStyle name="Normal 5 5 7" xfId="1577" xr:uid="{00000000-0005-0000-0000-000009050000}"/>
    <cellStyle name="Normal 5 6" xfId="1065" xr:uid="{00000000-0005-0000-0000-00000A050000}"/>
    <cellStyle name="Normal 5 6 2" xfId="1337" xr:uid="{00000000-0005-0000-0000-00000B050000}"/>
    <cellStyle name="Normal 5 7" xfId="1066" xr:uid="{00000000-0005-0000-0000-00000C050000}"/>
    <cellStyle name="Normal 5 7 2" xfId="1338" xr:uid="{00000000-0005-0000-0000-00000D050000}"/>
    <cellStyle name="Normal 5 8" xfId="1339" xr:uid="{00000000-0005-0000-0000-00000E050000}"/>
    <cellStyle name="Normal 5 9" xfId="1578" xr:uid="{00000000-0005-0000-0000-00000F050000}"/>
    <cellStyle name="Normal 5_2_AP02X016 - KP Kunta" xfId="1067" xr:uid="{00000000-0005-0000-0000-000010050000}"/>
    <cellStyle name="Normal 50" xfId="1068" xr:uid="{00000000-0005-0000-0000-000011050000}"/>
    <cellStyle name="Normal 50 2" xfId="1069" xr:uid="{00000000-0005-0000-0000-000012050000}"/>
    <cellStyle name="Normal 51" xfId="1070" xr:uid="{00000000-0005-0000-0000-000013050000}"/>
    <cellStyle name="Normal 51 2" xfId="1071" xr:uid="{00000000-0005-0000-0000-000014050000}"/>
    <cellStyle name="Normal 52" xfId="1376" xr:uid="{00000000-0005-0000-0000-000015050000}"/>
    <cellStyle name="Normal 53" xfId="1395" xr:uid="{00000000-0005-0000-0000-000016050000}"/>
    <cellStyle name="Normal 54" xfId="1416" xr:uid="{00000000-0005-0000-0000-000017050000}"/>
    <cellStyle name="Normal 6" xfId="176" xr:uid="{00000000-0005-0000-0000-000018050000}"/>
    <cellStyle name="Normal 6 10" xfId="1072" xr:uid="{00000000-0005-0000-0000-000019050000}"/>
    <cellStyle name="Normal 6 11" xfId="1073" xr:uid="{00000000-0005-0000-0000-00001A050000}"/>
    <cellStyle name="Normal 6 12" xfId="1074" xr:uid="{00000000-0005-0000-0000-00001B050000}"/>
    <cellStyle name="Normal 6 13" xfId="1394" xr:uid="{00000000-0005-0000-0000-00001C050000}"/>
    <cellStyle name="Normal 6 2" xfId="138" xr:uid="{00000000-0005-0000-0000-00001D050000}"/>
    <cellStyle name="Normal 6 2 2" xfId="1075" xr:uid="{00000000-0005-0000-0000-00001E050000}"/>
    <cellStyle name="Normal 6 2 2 2" xfId="1076" xr:uid="{00000000-0005-0000-0000-00001F050000}"/>
    <cellStyle name="Normal 6 2 2 3" xfId="1579" xr:uid="{00000000-0005-0000-0000-000020050000}"/>
    <cellStyle name="Normal 6 2 2 4" xfId="1580" xr:uid="{00000000-0005-0000-0000-000021050000}"/>
    <cellStyle name="Normal 6 2 2 5" xfId="1581" xr:uid="{00000000-0005-0000-0000-000022050000}"/>
    <cellStyle name="Normal 6 2 2 6" xfId="1582" xr:uid="{00000000-0005-0000-0000-000023050000}"/>
    <cellStyle name="Normal 6 2 2 7" xfId="1583" xr:uid="{00000000-0005-0000-0000-000024050000}"/>
    <cellStyle name="Normal 6 2 3" xfId="1077" xr:uid="{00000000-0005-0000-0000-000025050000}"/>
    <cellStyle name="Normal 6 2 3 2" xfId="1078" xr:uid="{00000000-0005-0000-0000-000026050000}"/>
    <cellStyle name="Normal 6 2 3 3" xfId="1391" xr:uid="{00000000-0005-0000-0000-000027050000}"/>
    <cellStyle name="Normal 6 2 3 4" xfId="1584" xr:uid="{00000000-0005-0000-0000-000028050000}"/>
    <cellStyle name="Normal 6 2 3 5" xfId="1585" xr:uid="{00000000-0005-0000-0000-000029050000}"/>
    <cellStyle name="Normal 6 2 3 6" xfId="1586" xr:uid="{00000000-0005-0000-0000-00002A050000}"/>
    <cellStyle name="Normal 6 2 3 7" xfId="1587" xr:uid="{00000000-0005-0000-0000-00002B050000}"/>
    <cellStyle name="Normal 6 2 4" xfId="1079" xr:uid="{00000000-0005-0000-0000-00002C050000}"/>
    <cellStyle name="Normal 6 2 5" xfId="1588" xr:uid="{00000000-0005-0000-0000-00002D050000}"/>
    <cellStyle name="Normal 6 2 6" xfId="1589" xr:uid="{00000000-0005-0000-0000-00002E050000}"/>
    <cellStyle name="Normal 6 2 7" xfId="1590" xr:uid="{00000000-0005-0000-0000-00002F050000}"/>
    <cellStyle name="Normal 6 2 8" xfId="1591" xr:uid="{00000000-0005-0000-0000-000030050000}"/>
    <cellStyle name="Normal 6 2 9" xfId="1592" xr:uid="{00000000-0005-0000-0000-000031050000}"/>
    <cellStyle name="Normal 6 3" xfId="1080" xr:uid="{00000000-0005-0000-0000-000032050000}"/>
    <cellStyle name="Normal 6 3 2" xfId="1081" xr:uid="{00000000-0005-0000-0000-000033050000}"/>
    <cellStyle name="Normal 6 3 3" xfId="1593" xr:uid="{00000000-0005-0000-0000-000034050000}"/>
    <cellStyle name="Normal 6 3 4" xfId="1594" xr:uid="{00000000-0005-0000-0000-000035050000}"/>
    <cellStyle name="Normal 6 3 5" xfId="1595" xr:uid="{00000000-0005-0000-0000-000036050000}"/>
    <cellStyle name="Normal 6 3 6" xfId="1596" xr:uid="{00000000-0005-0000-0000-000037050000}"/>
    <cellStyle name="Normal 6 3 7" xfId="1597" xr:uid="{00000000-0005-0000-0000-000038050000}"/>
    <cellStyle name="Normal 6 3_Bhamanagar 5.2 - Copy" xfId="1082" xr:uid="{00000000-0005-0000-0000-000039050000}"/>
    <cellStyle name="Normal 6 4" xfId="1083" xr:uid="{00000000-0005-0000-0000-00003A050000}"/>
    <cellStyle name="Normal 6 4 2" xfId="1084" xr:uid="{00000000-0005-0000-0000-00003B050000}"/>
    <cellStyle name="Normal 6 4 2 2" xfId="1598" xr:uid="{00000000-0005-0000-0000-00003C050000}"/>
    <cellStyle name="Normal 6 4 2 3" xfId="1599" xr:uid="{00000000-0005-0000-0000-00003D050000}"/>
    <cellStyle name="Normal 6 4 2 4" xfId="1600" xr:uid="{00000000-0005-0000-0000-00003E050000}"/>
    <cellStyle name="Normal 6 4 2 5" xfId="1601" xr:uid="{00000000-0005-0000-0000-00003F050000}"/>
    <cellStyle name="Normal 6 4 2 6" xfId="1602" xr:uid="{00000000-0005-0000-0000-000040050000}"/>
    <cellStyle name="Normal 6 4 3" xfId="1340" xr:uid="{00000000-0005-0000-0000-000041050000}"/>
    <cellStyle name="Normal 6 4 4" xfId="1341" xr:uid="{00000000-0005-0000-0000-000042050000}"/>
    <cellStyle name="Normal 6 4 5" xfId="1342" xr:uid="{00000000-0005-0000-0000-000043050000}"/>
    <cellStyle name="Normal 6 4 6" xfId="1603" xr:uid="{00000000-0005-0000-0000-000044050000}"/>
    <cellStyle name="Normal 6 4 7" xfId="1604" xr:uid="{00000000-0005-0000-0000-000045050000}"/>
    <cellStyle name="Normal 6 5" xfId="1085" xr:uid="{00000000-0005-0000-0000-000046050000}"/>
    <cellStyle name="Normal 6 5 2" xfId="1086" xr:uid="{00000000-0005-0000-0000-000047050000}"/>
    <cellStyle name="Normal 6 6" xfId="1087" xr:uid="{00000000-0005-0000-0000-000048050000}"/>
    <cellStyle name="Normal 6 7" xfId="1088" xr:uid="{00000000-0005-0000-0000-000049050000}"/>
    <cellStyle name="Normal 6 8" xfId="1089" xr:uid="{00000000-0005-0000-0000-00004A050000}"/>
    <cellStyle name="Normal 6 9" xfId="1090" xr:uid="{00000000-0005-0000-0000-00004B050000}"/>
    <cellStyle name="Normal 6_Bhamanagar 5.2" xfId="1091" xr:uid="{00000000-0005-0000-0000-00004C050000}"/>
    <cellStyle name="Normal 7" xfId="1092" xr:uid="{00000000-0005-0000-0000-00004D050000}"/>
    <cellStyle name="Normal 7 10" xfId="1093" xr:uid="{00000000-0005-0000-0000-00004E050000}"/>
    <cellStyle name="Normal 7 11" xfId="1094" xr:uid="{00000000-0005-0000-0000-00004F050000}"/>
    <cellStyle name="Normal 7 12" xfId="1095" xr:uid="{00000000-0005-0000-0000-000050050000}"/>
    <cellStyle name="Normal 7 12 2" xfId="1096" xr:uid="{00000000-0005-0000-0000-000051050000}"/>
    <cellStyle name="Normal 7 2" xfId="139" xr:uid="{00000000-0005-0000-0000-000052050000}"/>
    <cellStyle name="Normal 7 2 2" xfId="1097" xr:uid="{00000000-0005-0000-0000-000053050000}"/>
    <cellStyle name="Normal 7 2 3" xfId="1098" xr:uid="{00000000-0005-0000-0000-000054050000}"/>
    <cellStyle name="Normal 7 2 4" xfId="1377" xr:uid="{00000000-0005-0000-0000-000055050000}"/>
    <cellStyle name="Normal 7 3" xfId="1099" xr:uid="{00000000-0005-0000-0000-000056050000}"/>
    <cellStyle name="Normal 7 3 2" xfId="1100" xr:uid="{00000000-0005-0000-0000-000057050000}"/>
    <cellStyle name="Normal 7 4" xfId="1101" xr:uid="{00000000-0005-0000-0000-000058050000}"/>
    <cellStyle name="Normal 7 5" xfId="1102" xr:uid="{00000000-0005-0000-0000-000059050000}"/>
    <cellStyle name="Normal 7 6" xfId="1103" xr:uid="{00000000-0005-0000-0000-00005A050000}"/>
    <cellStyle name="Normal 7 7" xfId="1104" xr:uid="{00000000-0005-0000-0000-00005B050000}"/>
    <cellStyle name="Normal 7 8" xfId="1105" xr:uid="{00000000-0005-0000-0000-00005C050000}"/>
    <cellStyle name="Normal 7 9" xfId="1106" xr:uid="{00000000-0005-0000-0000-00005D050000}"/>
    <cellStyle name="Normal 7_2_AP02X016 - KP Kunta" xfId="1107" xr:uid="{00000000-0005-0000-0000-00005E050000}"/>
    <cellStyle name="Normal 8" xfId="140" xr:uid="{00000000-0005-0000-0000-00005F050000}"/>
    <cellStyle name="Normal 8 2" xfId="1108" xr:uid="{00000000-0005-0000-0000-000060050000}"/>
    <cellStyle name="Normal 8 2 2" xfId="1109" xr:uid="{00000000-0005-0000-0000-000061050000}"/>
    <cellStyle name="Normal 8 3" xfId="1110" xr:uid="{00000000-0005-0000-0000-000062050000}"/>
    <cellStyle name="Normal 8 4" xfId="1111" xr:uid="{00000000-0005-0000-0000-000063050000}"/>
    <cellStyle name="Normal 8 5" xfId="1605" xr:uid="{00000000-0005-0000-0000-000064050000}"/>
    <cellStyle name="Normal 8 6" xfId="1606" xr:uid="{00000000-0005-0000-0000-000065050000}"/>
    <cellStyle name="Normal 8_13th Fin Ponnugupadu 22.00 Lakhs" xfId="1112" xr:uid="{00000000-0005-0000-0000-000066050000}"/>
    <cellStyle name="Normal 9" xfId="141" xr:uid="{00000000-0005-0000-0000-000067050000}"/>
    <cellStyle name="Normal 9 2" xfId="1113" xr:uid="{00000000-0005-0000-0000-000068050000}"/>
    <cellStyle name="Normal 9 2 2" xfId="1114" xr:uid="{00000000-0005-0000-0000-000069050000}"/>
    <cellStyle name="Normal 9 2 3" xfId="1607" xr:uid="{00000000-0005-0000-0000-00006A050000}"/>
    <cellStyle name="Normal 9 2 4" xfId="1608" xr:uid="{00000000-0005-0000-0000-00006B050000}"/>
    <cellStyle name="Normal 9 2 5" xfId="1609" xr:uid="{00000000-0005-0000-0000-00006C050000}"/>
    <cellStyle name="Normal 9 2 6" xfId="1610" xr:uid="{00000000-0005-0000-0000-00006D050000}"/>
    <cellStyle name="Normal 9 2 7" xfId="1611" xr:uid="{00000000-0005-0000-0000-00006E050000}"/>
    <cellStyle name="Normal 9 3" xfId="1115" xr:uid="{00000000-0005-0000-0000-00006F050000}"/>
    <cellStyle name="Normal 9 4" xfId="1612" xr:uid="{00000000-0005-0000-0000-000070050000}"/>
    <cellStyle name="Normal 9 5" xfId="1613" xr:uid="{00000000-0005-0000-0000-000071050000}"/>
    <cellStyle name="Normal 9 6" xfId="1614" xr:uid="{00000000-0005-0000-0000-000072050000}"/>
    <cellStyle name="Normal 9 7" xfId="1615" xr:uid="{00000000-0005-0000-0000-000073050000}"/>
    <cellStyle name="Normal 9 8" xfId="1616" xr:uid="{00000000-0005-0000-0000-000074050000}"/>
    <cellStyle name="Normal_Data comparision (Old &amp; New)-12.5 2" xfId="1671" xr:uid="{00000000-0005-0000-0000-000075050000}"/>
    <cellStyle name="Normal_Lead chart 2" xfId="1417" xr:uid="{00000000-0005-0000-0000-000076050000}"/>
    <cellStyle name="Normal_LEAD STATEMENT OF JAMMALAMADUGU" xfId="178" xr:uid="{00000000-0005-0000-0000-000077050000}"/>
    <cellStyle name="Normal_LEAD STATEMENT OF JAMMALAMADUGU 2" xfId="1386" xr:uid="{00000000-0005-0000-0000-000078050000}"/>
    <cellStyle name="Normal_MODEL_ESTIMATE_PMGSY_27_08_CUMBUM" xfId="1672" xr:uid="{00000000-0005-0000-0000-000079050000}"/>
    <cellStyle name="Normal_Telka-Est-old" xfId="1275" xr:uid="{00000000-0005-0000-0000-00007A050000}"/>
    <cellStyle name="Note 10" xfId="1116" xr:uid="{00000000-0005-0000-0000-00007B050000}"/>
    <cellStyle name="Note 11" xfId="1117" xr:uid="{00000000-0005-0000-0000-00007C050000}"/>
    <cellStyle name="Note 12" xfId="1118" xr:uid="{00000000-0005-0000-0000-00007D050000}"/>
    <cellStyle name="Note 13" xfId="1119" xr:uid="{00000000-0005-0000-0000-00007E050000}"/>
    <cellStyle name="Note 14" xfId="1120" xr:uid="{00000000-0005-0000-0000-00007F050000}"/>
    <cellStyle name="Note 15" xfId="1121" xr:uid="{00000000-0005-0000-0000-000080050000}"/>
    <cellStyle name="Note 16" xfId="1122" xr:uid="{00000000-0005-0000-0000-000081050000}"/>
    <cellStyle name="Note 2" xfId="142" xr:uid="{00000000-0005-0000-0000-000082050000}"/>
    <cellStyle name="Note 2 2" xfId="1123" xr:uid="{00000000-0005-0000-0000-000083050000}"/>
    <cellStyle name="Note 2 3" xfId="1124" xr:uid="{00000000-0005-0000-0000-000084050000}"/>
    <cellStyle name="Note 3" xfId="1125" xr:uid="{00000000-0005-0000-0000-000085050000}"/>
    <cellStyle name="Note 3 2" xfId="1126" xr:uid="{00000000-0005-0000-0000-000086050000}"/>
    <cellStyle name="Note 4" xfId="1127" xr:uid="{00000000-0005-0000-0000-000087050000}"/>
    <cellStyle name="Note 5" xfId="1128" xr:uid="{00000000-0005-0000-0000-000088050000}"/>
    <cellStyle name="Note 6" xfId="1129" xr:uid="{00000000-0005-0000-0000-000089050000}"/>
    <cellStyle name="Note 7" xfId="1130" xr:uid="{00000000-0005-0000-0000-00008A050000}"/>
    <cellStyle name="Note 8" xfId="1131" xr:uid="{00000000-0005-0000-0000-00008B050000}"/>
    <cellStyle name="Note 9" xfId="1132" xr:uid="{00000000-0005-0000-0000-00008C050000}"/>
    <cellStyle name="Output 10" xfId="1133" xr:uid="{00000000-0005-0000-0000-00008D050000}"/>
    <cellStyle name="Output 11" xfId="1134" xr:uid="{00000000-0005-0000-0000-00008E050000}"/>
    <cellStyle name="Output 12" xfId="1135" xr:uid="{00000000-0005-0000-0000-00008F050000}"/>
    <cellStyle name="Output 13" xfId="1136" xr:uid="{00000000-0005-0000-0000-000090050000}"/>
    <cellStyle name="Output 14" xfId="1137" xr:uid="{00000000-0005-0000-0000-000091050000}"/>
    <cellStyle name="Output 15" xfId="1138" xr:uid="{00000000-0005-0000-0000-000092050000}"/>
    <cellStyle name="Output 16" xfId="1139" xr:uid="{00000000-0005-0000-0000-000093050000}"/>
    <cellStyle name="Output 2" xfId="143" xr:uid="{00000000-0005-0000-0000-000094050000}"/>
    <cellStyle name="Output 2 2" xfId="1140" xr:uid="{00000000-0005-0000-0000-000095050000}"/>
    <cellStyle name="Output 2 3" xfId="1141" xr:uid="{00000000-0005-0000-0000-000096050000}"/>
    <cellStyle name="Output 3" xfId="1142" xr:uid="{00000000-0005-0000-0000-000097050000}"/>
    <cellStyle name="Output 3 2" xfId="1143" xr:uid="{00000000-0005-0000-0000-000098050000}"/>
    <cellStyle name="Output 4" xfId="1144" xr:uid="{00000000-0005-0000-0000-000099050000}"/>
    <cellStyle name="Output 5" xfId="1145" xr:uid="{00000000-0005-0000-0000-00009A050000}"/>
    <cellStyle name="Output 6" xfId="1146" xr:uid="{00000000-0005-0000-0000-00009B050000}"/>
    <cellStyle name="Output 7" xfId="1147" xr:uid="{00000000-0005-0000-0000-00009C050000}"/>
    <cellStyle name="Output 8" xfId="1148" xr:uid="{00000000-0005-0000-0000-00009D050000}"/>
    <cellStyle name="Output 9" xfId="1149" xr:uid="{00000000-0005-0000-0000-00009E050000}"/>
    <cellStyle name="Percent" xfId="1393" builtinId="5"/>
    <cellStyle name="Percent [2]" xfId="144" xr:uid="{00000000-0005-0000-0000-0000A0050000}"/>
    <cellStyle name="Percent [2] 2" xfId="145" xr:uid="{00000000-0005-0000-0000-0000A1050000}"/>
    <cellStyle name="Percent [2] 2 2" xfId="1617" xr:uid="{00000000-0005-0000-0000-0000A2050000}"/>
    <cellStyle name="Percent [2] 2 3" xfId="1618" xr:uid="{00000000-0005-0000-0000-0000A3050000}"/>
    <cellStyle name="Percent [2] 2 4" xfId="1619" xr:uid="{00000000-0005-0000-0000-0000A4050000}"/>
    <cellStyle name="Percent [2] 2 5" xfId="1620" xr:uid="{00000000-0005-0000-0000-0000A5050000}"/>
    <cellStyle name="Percent [2] 2 6" xfId="1621" xr:uid="{00000000-0005-0000-0000-0000A6050000}"/>
    <cellStyle name="Percent [2] 3" xfId="146" xr:uid="{00000000-0005-0000-0000-0000A7050000}"/>
    <cellStyle name="Percent [2] 3 2" xfId="1622" xr:uid="{00000000-0005-0000-0000-0000A8050000}"/>
    <cellStyle name="Percent [2] 3 3" xfId="1623" xr:uid="{00000000-0005-0000-0000-0000A9050000}"/>
    <cellStyle name="Percent [2] 3 4" xfId="1624" xr:uid="{00000000-0005-0000-0000-0000AA050000}"/>
    <cellStyle name="Percent [2] 3 5" xfId="1625" xr:uid="{00000000-0005-0000-0000-0000AB050000}"/>
    <cellStyle name="Percent [2] 3 6" xfId="1626" xr:uid="{00000000-0005-0000-0000-0000AC050000}"/>
    <cellStyle name="Percent [2] 4" xfId="147" xr:uid="{00000000-0005-0000-0000-0000AD050000}"/>
    <cellStyle name="Percent [2] 4 2" xfId="1627" xr:uid="{00000000-0005-0000-0000-0000AE050000}"/>
    <cellStyle name="Percent [2] 4 3" xfId="1628" xr:uid="{00000000-0005-0000-0000-0000AF050000}"/>
    <cellStyle name="Percent [2] 4 4" xfId="1629" xr:uid="{00000000-0005-0000-0000-0000B0050000}"/>
    <cellStyle name="Percent [2] 4 5" xfId="1630" xr:uid="{00000000-0005-0000-0000-0000B1050000}"/>
    <cellStyle name="Percent [2] 4 6" xfId="1631" xr:uid="{00000000-0005-0000-0000-0000B2050000}"/>
    <cellStyle name="Percent [2] 5" xfId="1150" xr:uid="{00000000-0005-0000-0000-0000B3050000}"/>
    <cellStyle name="Percent [2] 6" xfId="1151" xr:uid="{00000000-0005-0000-0000-0000B4050000}"/>
    <cellStyle name="Percent 15" xfId="1152" xr:uid="{00000000-0005-0000-0000-0000B5050000}"/>
    <cellStyle name="Percent 15 2" xfId="1378" xr:uid="{00000000-0005-0000-0000-0000B6050000}"/>
    <cellStyle name="Percent 2" xfId="148" xr:uid="{00000000-0005-0000-0000-0000B7050000}"/>
    <cellStyle name="Percent 2 10" xfId="1153" xr:uid="{00000000-0005-0000-0000-0000B8050000}"/>
    <cellStyle name="Percent 2 11" xfId="1154" xr:uid="{00000000-0005-0000-0000-0000B9050000}"/>
    <cellStyle name="Percent 2 12" xfId="1155" xr:uid="{00000000-0005-0000-0000-0000BA050000}"/>
    <cellStyle name="Percent 2 13" xfId="1156" xr:uid="{00000000-0005-0000-0000-0000BB050000}"/>
    <cellStyle name="Percent 2 14" xfId="1157" xr:uid="{00000000-0005-0000-0000-0000BC050000}"/>
    <cellStyle name="Percent 2 15" xfId="1401" xr:uid="{00000000-0005-0000-0000-0000BD050000}"/>
    <cellStyle name="Percent 2 16" xfId="1402" xr:uid="{00000000-0005-0000-0000-0000BE050000}"/>
    <cellStyle name="Percent 2 17" xfId="1403" xr:uid="{00000000-0005-0000-0000-0000BF050000}"/>
    <cellStyle name="Percent 2 18" xfId="1404" xr:uid="{00000000-0005-0000-0000-0000C0050000}"/>
    <cellStyle name="Percent 2 19" xfId="1405" xr:uid="{00000000-0005-0000-0000-0000C1050000}"/>
    <cellStyle name="Percent 2 2" xfId="149" xr:uid="{00000000-0005-0000-0000-0000C2050000}"/>
    <cellStyle name="Percent 2 2 10" xfId="1406" xr:uid="{00000000-0005-0000-0000-0000C3050000}"/>
    <cellStyle name="Percent 2 2 11" xfId="1407" xr:uid="{00000000-0005-0000-0000-0000C4050000}"/>
    <cellStyle name="Percent 2 2 12" xfId="1408" xr:uid="{00000000-0005-0000-0000-0000C5050000}"/>
    <cellStyle name="Percent 2 2 13" xfId="1409" xr:uid="{00000000-0005-0000-0000-0000C6050000}"/>
    <cellStyle name="Percent 2 2 14" xfId="1410" xr:uid="{00000000-0005-0000-0000-0000C7050000}"/>
    <cellStyle name="Percent 2 2 2" xfId="1158" xr:uid="{00000000-0005-0000-0000-0000C8050000}"/>
    <cellStyle name="Percent 2 2 2 2" xfId="1159" xr:uid="{00000000-0005-0000-0000-0000C9050000}"/>
    <cellStyle name="Percent 2 2 2 3" xfId="1160" xr:uid="{00000000-0005-0000-0000-0000CA050000}"/>
    <cellStyle name="Percent 2 2 2 4" xfId="1161" xr:uid="{00000000-0005-0000-0000-0000CB050000}"/>
    <cellStyle name="Percent 2 2 2 5" xfId="1411" xr:uid="{00000000-0005-0000-0000-0000CC050000}"/>
    <cellStyle name="Percent 2 2 2 6" xfId="1412" xr:uid="{00000000-0005-0000-0000-0000CD050000}"/>
    <cellStyle name="Percent 2 2 2 7" xfId="1413" xr:uid="{00000000-0005-0000-0000-0000CE050000}"/>
    <cellStyle name="Percent 2 2 2 8" xfId="1414" xr:uid="{00000000-0005-0000-0000-0000CF050000}"/>
    <cellStyle name="Percent 2 2 2 9" xfId="1415" xr:uid="{00000000-0005-0000-0000-0000D0050000}"/>
    <cellStyle name="Percent 2 2 3" xfId="1162" xr:uid="{00000000-0005-0000-0000-0000D1050000}"/>
    <cellStyle name="Percent 2 2 3 2" xfId="1163" xr:uid="{00000000-0005-0000-0000-0000D2050000}"/>
    <cellStyle name="Percent 2 2 3 3" xfId="1164" xr:uid="{00000000-0005-0000-0000-0000D3050000}"/>
    <cellStyle name="Percent 2 2 4" xfId="1165" xr:uid="{00000000-0005-0000-0000-0000D4050000}"/>
    <cellStyle name="Percent 2 2 4 2" xfId="1166" xr:uid="{00000000-0005-0000-0000-0000D5050000}"/>
    <cellStyle name="Percent 2 2 5" xfId="1167" xr:uid="{00000000-0005-0000-0000-0000D6050000}"/>
    <cellStyle name="Percent 2 2 6" xfId="1168" xr:uid="{00000000-0005-0000-0000-0000D7050000}"/>
    <cellStyle name="Percent 2 2 7" xfId="1169" xr:uid="{00000000-0005-0000-0000-0000D8050000}"/>
    <cellStyle name="Percent 2 2 8" xfId="1170" xr:uid="{00000000-0005-0000-0000-0000D9050000}"/>
    <cellStyle name="Percent 2 2 9" xfId="1171" xr:uid="{00000000-0005-0000-0000-0000DA050000}"/>
    <cellStyle name="Percent 2 3" xfId="150" xr:uid="{00000000-0005-0000-0000-0000DB050000}"/>
    <cellStyle name="Percent 2 3 2" xfId="1172" xr:uid="{00000000-0005-0000-0000-0000DC050000}"/>
    <cellStyle name="Percent 2 4" xfId="1173" xr:uid="{00000000-0005-0000-0000-0000DD050000}"/>
    <cellStyle name="Percent 2 5" xfId="1174" xr:uid="{00000000-0005-0000-0000-0000DE050000}"/>
    <cellStyle name="Percent 2 6" xfId="1175" xr:uid="{00000000-0005-0000-0000-0000DF050000}"/>
    <cellStyle name="Percent 2 7" xfId="1176" xr:uid="{00000000-0005-0000-0000-0000E0050000}"/>
    <cellStyle name="Percent 2 8" xfId="1177" xr:uid="{00000000-0005-0000-0000-0000E1050000}"/>
    <cellStyle name="Percent 2 9" xfId="1178" xr:uid="{00000000-0005-0000-0000-0000E2050000}"/>
    <cellStyle name="Percent 2_WE" xfId="1379" xr:uid="{00000000-0005-0000-0000-0000E3050000}"/>
    <cellStyle name="Percent 3" xfId="151" xr:uid="{00000000-0005-0000-0000-0000E4050000}"/>
    <cellStyle name="Percent 3 10" xfId="1179" xr:uid="{00000000-0005-0000-0000-0000E5050000}"/>
    <cellStyle name="Percent 3 11" xfId="1180" xr:uid="{00000000-0005-0000-0000-0000E6050000}"/>
    <cellStyle name="Percent 3 2" xfId="1181" xr:uid="{00000000-0005-0000-0000-0000E7050000}"/>
    <cellStyle name="Percent 3 2 2" xfId="1182" xr:uid="{00000000-0005-0000-0000-0000E8050000}"/>
    <cellStyle name="Percent 3 2 3" xfId="1632" xr:uid="{00000000-0005-0000-0000-0000E9050000}"/>
    <cellStyle name="Percent 3 2 4" xfId="1633" xr:uid="{00000000-0005-0000-0000-0000EA050000}"/>
    <cellStyle name="Percent 3 2 5" xfId="1634" xr:uid="{00000000-0005-0000-0000-0000EB050000}"/>
    <cellStyle name="Percent 3 2 6" xfId="1635" xr:uid="{00000000-0005-0000-0000-0000EC050000}"/>
    <cellStyle name="Percent 3 2 7" xfId="1636" xr:uid="{00000000-0005-0000-0000-0000ED050000}"/>
    <cellStyle name="Percent 3 3" xfId="1183" xr:uid="{00000000-0005-0000-0000-0000EE050000}"/>
    <cellStyle name="Percent 3 4" xfId="1184" xr:uid="{00000000-0005-0000-0000-0000EF050000}"/>
    <cellStyle name="Percent 3 5" xfId="1185" xr:uid="{00000000-0005-0000-0000-0000F0050000}"/>
    <cellStyle name="Percent 3 6" xfId="1186" xr:uid="{00000000-0005-0000-0000-0000F1050000}"/>
    <cellStyle name="Percent 3 7" xfId="1187" xr:uid="{00000000-0005-0000-0000-0000F2050000}"/>
    <cellStyle name="Percent 3 8" xfId="1188" xr:uid="{00000000-0005-0000-0000-0000F3050000}"/>
    <cellStyle name="Percent 3 9" xfId="1189" xr:uid="{00000000-0005-0000-0000-0000F4050000}"/>
    <cellStyle name="Percent 4" xfId="152" xr:uid="{00000000-0005-0000-0000-0000F5050000}"/>
    <cellStyle name="Percent 4 2" xfId="1190" xr:uid="{00000000-0005-0000-0000-0000F6050000}"/>
    <cellStyle name="Percent 5" xfId="153" xr:uid="{00000000-0005-0000-0000-0000F7050000}"/>
    <cellStyle name="Percent 5 2" xfId="1191" xr:uid="{00000000-0005-0000-0000-0000F8050000}"/>
    <cellStyle name="Percent 6" xfId="1192" xr:uid="{00000000-0005-0000-0000-0000F9050000}"/>
    <cellStyle name="Percent 7" xfId="1193" xr:uid="{00000000-0005-0000-0000-0000FA050000}"/>
    <cellStyle name="Percent 8" xfId="1194" xr:uid="{00000000-0005-0000-0000-0000FB050000}"/>
    <cellStyle name="prabhakar" xfId="1195" xr:uid="{00000000-0005-0000-0000-0000FC050000}"/>
    <cellStyle name="RevList" xfId="154" xr:uid="{00000000-0005-0000-0000-0000FD050000}"/>
    <cellStyle name="RevList 2" xfId="1196" xr:uid="{00000000-0005-0000-0000-0000FE050000}"/>
    <cellStyle name="Sheet Title" xfId="155" xr:uid="{00000000-0005-0000-0000-0000FF050000}"/>
    <cellStyle name="style" xfId="156" xr:uid="{00000000-0005-0000-0000-000000060000}"/>
    <cellStyle name="Style 1" xfId="157" xr:uid="{00000000-0005-0000-0000-000001060000}"/>
    <cellStyle name="Style 1 2" xfId="1197" xr:uid="{00000000-0005-0000-0000-000002060000}"/>
    <cellStyle name="Style 1 2 2" xfId="1198" xr:uid="{00000000-0005-0000-0000-000003060000}"/>
    <cellStyle name="Style 1 3" xfId="1199" xr:uid="{00000000-0005-0000-0000-000004060000}"/>
    <cellStyle name="Style 1 4" xfId="1637" xr:uid="{00000000-0005-0000-0000-000005060000}"/>
    <cellStyle name="Style 1 5" xfId="1638" xr:uid="{00000000-0005-0000-0000-000006060000}"/>
    <cellStyle name="Style 1 6" xfId="1639" xr:uid="{00000000-0005-0000-0000-000007060000}"/>
    <cellStyle name="Style 1 7" xfId="1640" xr:uid="{00000000-0005-0000-0000-000008060000}"/>
    <cellStyle name="Style 1_ALGUNOOR,THIMMAPURTWO CLASS ROOMS 12-13(2+0)" xfId="1200" xr:uid="{00000000-0005-0000-0000-000009060000}"/>
    <cellStyle name="Style 2" xfId="1201" xr:uid="{00000000-0005-0000-0000-00000A060000}"/>
    <cellStyle name="style 3" xfId="1202" xr:uid="{00000000-0005-0000-0000-00000B060000}"/>
    <cellStyle name="style 4" xfId="1203" xr:uid="{00000000-0005-0000-0000-00000C060000}"/>
    <cellStyle name="style 5" xfId="1204" xr:uid="{00000000-0005-0000-0000-00000D060000}"/>
    <cellStyle name="style 6" xfId="1205" xr:uid="{00000000-0005-0000-0000-00000E060000}"/>
    <cellStyle name="style_1_Pattapupalem_road estt-NCRMP" xfId="158" xr:uid="{00000000-0005-0000-0000-00000F060000}"/>
    <cellStyle name="style1" xfId="159" xr:uid="{00000000-0005-0000-0000-000010060000}"/>
    <cellStyle name="style1 2" xfId="1206" xr:uid="{00000000-0005-0000-0000-000011060000}"/>
    <cellStyle name="style1 3" xfId="1207" xr:uid="{00000000-0005-0000-0000-000012060000}"/>
    <cellStyle name="style1 4" xfId="1208" xr:uid="{00000000-0005-0000-0000-000013060000}"/>
    <cellStyle name="style1 5" xfId="1209" xr:uid="{00000000-0005-0000-0000-000014060000}"/>
    <cellStyle name="style1 6" xfId="1210" xr:uid="{00000000-0005-0000-0000-000015060000}"/>
    <cellStyle name="style1_3 - ZP  BHAIRAVANAGAR 45.00L." xfId="1211" xr:uid="{00000000-0005-0000-0000-000016060000}"/>
    <cellStyle name="style2" xfId="160" xr:uid="{00000000-0005-0000-0000-000017060000}"/>
    <cellStyle name="style2 2" xfId="1212" xr:uid="{00000000-0005-0000-0000-000018060000}"/>
    <cellStyle name="style2 3" xfId="1213" xr:uid="{00000000-0005-0000-0000-000019060000}"/>
    <cellStyle name="style2 4" xfId="1214" xr:uid="{00000000-0005-0000-0000-00001A060000}"/>
    <cellStyle name="style2 5" xfId="1215" xr:uid="{00000000-0005-0000-0000-00001B060000}"/>
    <cellStyle name="style2 6" xfId="1216" xr:uid="{00000000-0005-0000-0000-00001C060000}"/>
    <cellStyle name="style2_3 - ZP  BHAIRAVANAGAR 45.00L." xfId="1217" xr:uid="{00000000-0005-0000-0000-00001D060000}"/>
    <cellStyle name="Sub Head" xfId="161" xr:uid="{00000000-0005-0000-0000-00001E060000}"/>
    <cellStyle name="Subtotal" xfId="162" xr:uid="{00000000-0005-0000-0000-00001F060000}"/>
    <cellStyle name="text" xfId="1218" xr:uid="{00000000-0005-0000-0000-000020060000}"/>
    <cellStyle name="þ_x001d_ð &amp;ý&amp;†ýG_x0008_ X_x000a__x0007__x0001__x0001_" xfId="1277" xr:uid="{00000000-0005-0000-0000-000021060000}"/>
    <cellStyle name="þ_x001d_ð &amp;ý&amp;†ýG_x0008_ X_x000a__x0007__x0001__x0001_ 2" xfId="163" xr:uid="{00000000-0005-0000-0000-000022060000}"/>
    <cellStyle name="þ_x001d_ð &amp;ý&amp;†ýG_x0008_ X_x000a__x0007__x0001__x0001_ 2 2" xfId="1641" xr:uid="{00000000-0005-0000-0000-000023060000}"/>
    <cellStyle name="þ_x001d_ð &amp;ý&amp;†ýG_x0008_ X_x000a__x0007__x0001__x0001_ 2 3" xfId="1642" xr:uid="{00000000-0005-0000-0000-000024060000}"/>
    <cellStyle name="þ_x001d_ð &amp;ý&amp;†ýG_x0008_ X_x000a__x0007__x0001__x0001_ 2 4" xfId="1643" xr:uid="{00000000-0005-0000-0000-000025060000}"/>
    <cellStyle name="þ_x001d_ð &amp;ý&amp;†ýG_x0008_ X_x000a__x0007__x0001__x0001_ 2 5" xfId="1644" xr:uid="{00000000-0005-0000-0000-000026060000}"/>
    <cellStyle name="þ_x001d_ð &amp;ý&amp;†ýG_x0008_ X_x000a__x0007__x0001__x0001_ 2 6" xfId="1645" xr:uid="{00000000-0005-0000-0000-000027060000}"/>
    <cellStyle name="þ_x001d_ð &amp;ý&amp;†ýG_x0008_ X_x000a__x0007__x0001__x0001_ 3" xfId="164" xr:uid="{00000000-0005-0000-0000-000028060000}"/>
    <cellStyle name="þ_x001d_ð &amp;ý&amp;†ýG_x0008_ X_x000a__x0007__x0001__x0001_ 3 2" xfId="1646" xr:uid="{00000000-0005-0000-0000-000029060000}"/>
    <cellStyle name="þ_x001d_ð &amp;ý&amp;†ýG_x0008_ X_x000a__x0007__x0001__x0001_ 3 3" xfId="1647" xr:uid="{00000000-0005-0000-0000-00002A060000}"/>
    <cellStyle name="þ_x001d_ð &amp;ý&amp;†ýG_x0008_ X_x000a__x0007__x0001__x0001_ 3 4" xfId="1648" xr:uid="{00000000-0005-0000-0000-00002B060000}"/>
    <cellStyle name="þ_x001d_ð &amp;ý&amp;†ýG_x0008_ X_x000a__x0007__x0001__x0001_ 3 5" xfId="1649" xr:uid="{00000000-0005-0000-0000-00002C060000}"/>
    <cellStyle name="þ_x001d_ð &amp;ý&amp;†ýG_x0008_ X_x000a__x0007__x0001__x0001_ 3 6" xfId="1650" xr:uid="{00000000-0005-0000-0000-00002D060000}"/>
    <cellStyle name="þ_x001d_ð &amp;ý&amp;†ýG_x0008_ X_x000a__x0007__x0001__x0001_ 4" xfId="165" xr:uid="{00000000-0005-0000-0000-00002E060000}"/>
    <cellStyle name="þ_x001d_ð &amp;ý&amp;†ýG_x0008_ X_x000a__x0007__x0001__x0001_ 4 2" xfId="1651" xr:uid="{00000000-0005-0000-0000-00002F060000}"/>
    <cellStyle name="þ_x001d_ð &amp;ý&amp;†ýG_x0008_ X_x000a__x0007__x0001__x0001_ 4 3" xfId="1652" xr:uid="{00000000-0005-0000-0000-000030060000}"/>
    <cellStyle name="þ_x001d_ð &amp;ý&amp;†ýG_x0008_ X_x000a__x0007__x0001__x0001_ 4 4" xfId="1653" xr:uid="{00000000-0005-0000-0000-000031060000}"/>
    <cellStyle name="þ_x001d_ð &amp;ý&amp;†ýG_x0008_ X_x000a__x0007__x0001__x0001_ 4 5" xfId="1654" xr:uid="{00000000-0005-0000-0000-000032060000}"/>
    <cellStyle name="þ_x001d_ð &amp;ý&amp;†ýG_x0008_ X_x000a__x0007__x0001__x0001_ 4 6" xfId="1655" xr:uid="{00000000-0005-0000-0000-000033060000}"/>
    <cellStyle name="þ_x001d_ð &amp;ý&amp;†ýG_x0008_ X_x000a__x0007__x0001__x0001_ 5" xfId="1219" xr:uid="{00000000-0005-0000-0000-000034060000}"/>
    <cellStyle name="þ_x001d_ð &amp;ý&amp;†ýG_x0008_ X_x000a__x0007__x0001__x0001_ 6" xfId="1220" xr:uid="{00000000-0005-0000-0000-000035060000}"/>
    <cellStyle name="þ_x001d_ð&quot;_x000c_Býò_x000c_5ýU_x0001_e_x0005_¹,_x0007__x0001__x0001_" xfId="166" xr:uid="{00000000-0005-0000-0000-000036060000}"/>
    <cellStyle name="þ_x001d_ð&quot;_x000c_Býò_x000c_5ýU_x0001_e_x0005_¹,_x0007__x0001__x0001_ 2" xfId="167" xr:uid="{00000000-0005-0000-0000-000037060000}"/>
    <cellStyle name="þ_x001d_ð&quot;_x000c_Býò_x000c_5ýU_x0001_e_x0005_¹,_x0007__x0001__x0001_ 2 2" xfId="1656" xr:uid="{00000000-0005-0000-0000-000038060000}"/>
    <cellStyle name="þ_x001d_ð&quot;_x000c_Býò_x000c_5ýU_x0001_e_x0005_¹,_x0007__x0001__x0001_ 2 3" xfId="1657" xr:uid="{00000000-0005-0000-0000-000039060000}"/>
    <cellStyle name="þ_x001d_ð&quot;_x000c_Býò_x000c_5ýU_x0001_e_x0005_¹,_x0007__x0001__x0001_ 2 4" xfId="1658" xr:uid="{00000000-0005-0000-0000-00003A060000}"/>
    <cellStyle name="þ_x001d_ð&quot;_x000c_Býò_x000c_5ýU_x0001_e_x0005_¹,_x0007__x0001__x0001_ 2 5" xfId="1659" xr:uid="{00000000-0005-0000-0000-00003B060000}"/>
    <cellStyle name="þ_x001d_ð&quot;_x000c_Býò_x000c_5ýU_x0001_e_x0005_¹,_x0007__x0001__x0001_ 2 6" xfId="1660" xr:uid="{00000000-0005-0000-0000-00003C060000}"/>
    <cellStyle name="þ_x001d_ð&quot;_x000c_Býò_x000c_5ýU_x0001_e_x0005_¹,_x0007__x0001__x0001_ 3" xfId="168" xr:uid="{00000000-0005-0000-0000-00003D060000}"/>
    <cellStyle name="þ_x001d_ð&quot;_x000c_Býò_x000c_5ýU_x0001_e_x0005_¹,_x0007__x0001__x0001_ 3 2" xfId="1661" xr:uid="{00000000-0005-0000-0000-00003E060000}"/>
    <cellStyle name="þ_x001d_ð&quot;_x000c_Býò_x000c_5ýU_x0001_e_x0005_¹,_x0007__x0001__x0001_ 3 3" xfId="1662" xr:uid="{00000000-0005-0000-0000-00003F060000}"/>
    <cellStyle name="þ_x001d_ð&quot;_x000c_Býò_x000c_5ýU_x0001_e_x0005_¹,_x0007__x0001__x0001_ 3 4" xfId="1663" xr:uid="{00000000-0005-0000-0000-000040060000}"/>
    <cellStyle name="þ_x001d_ð&quot;_x000c_Býò_x000c_5ýU_x0001_e_x0005_¹,_x0007__x0001__x0001_ 3 5" xfId="1664" xr:uid="{00000000-0005-0000-0000-000041060000}"/>
    <cellStyle name="þ_x001d_ð&quot;_x000c_Býò_x000c_5ýU_x0001_e_x0005_¹,_x0007__x0001__x0001_ 3 6" xfId="1665" xr:uid="{00000000-0005-0000-0000-000042060000}"/>
    <cellStyle name="þ_x001d_ð&quot;_x000c_Býò_x000c_5ýU_x0001_e_x0005_¹,_x0007__x0001__x0001_ 4" xfId="169" xr:uid="{00000000-0005-0000-0000-000043060000}"/>
    <cellStyle name="þ_x001d_ð&quot;_x000c_Býò_x000c_5ýU_x0001_e_x0005_¹,_x0007__x0001__x0001_ 4 2" xfId="1666" xr:uid="{00000000-0005-0000-0000-000044060000}"/>
    <cellStyle name="þ_x001d_ð&quot;_x000c_Býò_x000c_5ýU_x0001_e_x0005_¹,_x0007__x0001__x0001_ 4 3" xfId="1667" xr:uid="{00000000-0005-0000-0000-000045060000}"/>
    <cellStyle name="þ_x001d_ð&quot;_x000c_Býò_x000c_5ýU_x0001_e_x0005_¹,_x0007__x0001__x0001_ 4 4" xfId="1668" xr:uid="{00000000-0005-0000-0000-000046060000}"/>
    <cellStyle name="þ_x001d_ð&quot;_x000c_Býò_x000c_5ýU_x0001_e_x0005_¹,_x0007__x0001__x0001_ 4 5" xfId="1669" xr:uid="{00000000-0005-0000-0000-000047060000}"/>
    <cellStyle name="þ_x001d_ð&quot;_x000c_Býò_x000c_5ýU_x0001_e_x0005_¹,_x0007__x0001__x0001_ 4 6" xfId="1670" xr:uid="{00000000-0005-0000-0000-000048060000}"/>
    <cellStyle name="þ_x001d_ð&quot;_x000c_Býò_x000c_5ýU_x0001_e_x0005_¹,_x0007__x0001__x0001_ 5" xfId="1221" xr:uid="{00000000-0005-0000-0000-000049060000}"/>
    <cellStyle name="þ_x001d_ð&quot;_x000c_Býò_x000c_5ýU_x0001_e_x0005_¹,_x0007__x0001__x0001_ 6" xfId="1222" xr:uid="{00000000-0005-0000-0000-00004A060000}"/>
    <cellStyle name="þ_x001d_ð&quot;_x000c_Býò_x000c_5ýU_x0001_e_x0005_¹,_x0007__x0001__x0001__Estimate" xfId="1380" xr:uid="{00000000-0005-0000-0000-00004B060000}"/>
    <cellStyle name="Times New Roman" xfId="170" xr:uid="{00000000-0005-0000-0000-00004C060000}"/>
    <cellStyle name="Title 10" xfId="1223" xr:uid="{00000000-0005-0000-0000-00004D060000}"/>
    <cellStyle name="Title 11" xfId="1224" xr:uid="{00000000-0005-0000-0000-00004E060000}"/>
    <cellStyle name="Title 2" xfId="171" xr:uid="{00000000-0005-0000-0000-00004F060000}"/>
    <cellStyle name="Title 3" xfId="1225" xr:uid="{00000000-0005-0000-0000-000050060000}"/>
    <cellStyle name="Title 4" xfId="1226" xr:uid="{00000000-0005-0000-0000-000051060000}"/>
    <cellStyle name="Title 5" xfId="1227" xr:uid="{00000000-0005-0000-0000-000052060000}"/>
    <cellStyle name="Title 6" xfId="1228" xr:uid="{00000000-0005-0000-0000-000053060000}"/>
    <cellStyle name="Title 7" xfId="1229" xr:uid="{00000000-0005-0000-0000-000054060000}"/>
    <cellStyle name="Title 8" xfId="1230" xr:uid="{00000000-0005-0000-0000-000055060000}"/>
    <cellStyle name="Title 9" xfId="1231" xr:uid="{00000000-0005-0000-0000-000056060000}"/>
    <cellStyle name="Total 10" xfId="1232" xr:uid="{00000000-0005-0000-0000-000057060000}"/>
    <cellStyle name="Total 11" xfId="1233" xr:uid="{00000000-0005-0000-0000-000058060000}"/>
    <cellStyle name="Total 12" xfId="1234" xr:uid="{00000000-0005-0000-0000-000059060000}"/>
    <cellStyle name="Total 13" xfId="1235" xr:uid="{00000000-0005-0000-0000-00005A060000}"/>
    <cellStyle name="Total 14" xfId="1236" xr:uid="{00000000-0005-0000-0000-00005B060000}"/>
    <cellStyle name="Total 15" xfId="1237" xr:uid="{00000000-0005-0000-0000-00005C060000}"/>
    <cellStyle name="Total 16" xfId="1238" xr:uid="{00000000-0005-0000-0000-00005D060000}"/>
    <cellStyle name="Total 2" xfId="172" xr:uid="{00000000-0005-0000-0000-00005E060000}"/>
    <cellStyle name="Total 2 2" xfId="1239" xr:uid="{00000000-0005-0000-0000-00005F060000}"/>
    <cellStyle name="Total 2 3" xfId="1240" xr:uid="{00000000-0005-0000-0000-000060060000}"/>
    <cellStyle name="Total 3" xfId="1241" xr:uid="{00000000-0005-0000-0000-000061060000}"/>
    <cellStyle name="Total 3 2" xfId="1242" xr:uid="{00000000-0005-0000-0000-000062060000}"/>
    <cellStyle name="Total 4" xfId="1243" xr:uid="{00000000-0005-0000-0000-000063060000}"/>
    <cellStyle name="Total 5" xfId="1244" xr:uid="{00000000-0005-0000-0000-000064060000}"/>
    <cellStyle name="Total 6" xfId="1245" xr:uid="{00000000-0005-0000-0000-000065060000}"/>
    <cellStyle name="Total 7" xfId="1246" xr:uid="{00000000-0005-0000-0000-000066060000}"/>
    <cellStyle name="Total 8" xfId="1247" xr:uid="{00000000-0005-0000-0000-000067060000}"/>
    <cellStyle name="Total 9" xfId="1248" xr:uid="{00000000-0005-0000-0000-000068060000}"/>
    <cellStyle name="v" xfId="1249" xr:uid="{00000000-0005-0000-0000-000069060000}"/>
    <cellStyle name="v_25-8-2010  ABS &amp; Det" xfId="1250" xr:uid="{00000000-0005-0000-0000-00006A060000}"/>
    <cellStyle name="v_25-8-2010  ABS &amp; Det_Est.-DFSD&amp;GTC-Atp 01.09.14" xfId="1251" xr:uid="{00000000-0005-0000-0000-00006B060000}"/>
    <cellStyle name="v_25-8-2010  ABS &amp; Det_revised  Estimation-1" xfId="1252" xr:uid="{00000000-0005-0000-0000-00006C060000}"/>
    <cellStyle name="v_25-8-2010  ABS &amp; Det_TIRUPATI  ELEC" xfId="1253" xr:uid="{00000000-0005-0000-0000-00006D060000}"/>
    <cellStyle name="v_Est.-DFSD&amp;GTC-Atp 01.09.14" xfId="1254" xr:uid="{00000000-0005-0000-0000-00006E060000}"/>
    <cellStyle name="v_revised  Estimation-1" xfId="1255" xr:uid="{00000000-0005-0000-0000-00006F060000}"/>
    <cellStyle name="v_TIRUPATI  ELEC" xfId="1256" xr:uid="{00000000-0005-0000-0000-000070060000}"/>
    <cellStyle name="Value" xfId="173" xr:uid="{00000000-0005-0000-0000-000071060000}"/>
    <cellStyle name="Value 2" xfId="1257" xr:uid="{00000000-0005-0000-0000-000072060000}"/>
    <cellStyle name="Value 3" xfId="1258" xr:uid="{00000000-0005-0000-0000-000073060000}"/>
    <cellStyle name="Value 4" xfId="1381" xr:uid="{00000000-0005-0000-0000-000074060000}"/>
    <cellStyle name="Value 5" xfId="1382" xr:uid="{00000000-0005-0000-0000-000075060000}"/>
    <cellStyle name="Value 6" xfId="1383" xr:uid="{00000000-0005-0000-0000-000076060000}"/>
    <cellStyle name="Value_Estimate" xfId="1384" xr:uid="{00000000-0005-0000-0000-000077060000}"/>
    <cellStyle name="Warning Text 10" xfId="1259" xr:uid="{00000000-0005-0000-0000-000078060000}"/>
    <cellStyle name="Warning Text 11" xfId="1260" xr:uid="{00000000-0005-0000-0000-000079060000}"/>
    <cellStyle name="Warning Text 12" xfId="1261" xr:uid="{00000000-0005-0000-0000-00007A060000}"/>
    <cellStyle name="Warning Text 13" xfId="1262" xr:uid="{00000000-0005-0000-0000-00007B060000}"/>
    <cellStyle name="Warning Text 14" xfId="1263" xr:uid="{00000000-0005-0000-0000-00007C060000}"/>
    <cellStyle name="Warning Text 15" xfId="1264" xr:uid="{00000000-0005-0000-0000-00007D060000}"/>
    <cellStyle name="Warning Text 16" xfId="1265" xr:uid="{00000000-0005-0000-0000-00007E060000}"/>
    <cellStyle name="Warning Text 2" xfId="174" xr:uid="{00000000-0005-0000-0000-00007F060000}"/>
    <cellStyle name="Warning Text 2 2" xfId="1266" xr:uid="{00000000-0005-0000-0000-000080060000}"/>
    <cellStyle name="Warning Text 3" xfId="1267" xr:uid="{00000000-0005-0000-0000-000081060000}"/>
    <cellStyle name="Warning Text 4" xfId="1268" xr:uid="{00000000-0005-0000-0000-000082060000}"/>
    <cellStyle name="Warning Text 5" xfId="1269" xr:uid="{00000000-0005-0000-0000-000083060000}"/>
    <cellStyle name="Warning Text 6" xfId="1270" xr:uid="{00000000-0005-0000-0000-000084060000}"/>
    <cellStyle name="Warning Text 7" xfId="1271" xr:uid="{00000000-0005-0000-0000-000085060000}"/>
    <cellStyle name="Warning Text 8" xfId="1272" xr:uid="{00000000-0005-0000-0000-000086060000}"/>
    <cellStyle name="Warning Text 9" xfId="1273" xr:uid="{00000000-0005-0000-0000-000087060000}"/>
    <cellStyle name="సాధారణ_Copy of Model estimate-Basnapally--07-05-06-Final" xfId="175" xr:uid="{00000000-0005-0000-0000-000088060000}"/>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FFFF0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9" Type="http://schemas.openxmlformats.org/officeDocument/2006/relationships/externalLink" Target="externalLinks/externalLink1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1.xml"/><Relationship Id="rId42" Type="http://schemas.openxmlformats.org/officeDocument/2006/relationships/externalLink" Target="externalLinks/externalLink19.xml"/><Relationship Id="rId47" Type="http://schemas.openxmlformats.org/officeDocument/2006/relationships/externalLink" Target="externalLinks/externalLink24.xml"/><Relationship Id="rId50" Type="http://schemas.openxmlformats.org/officeDocument/2006/relationships/externalLink" Target="externalLinks/externalLink2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externalLink" Target="externalLinks/externalLink10.xml"/><Relationship Id="rId38" Type="http://schemas.openxmlformats.org/officeDocument/2006/relationships/externalLink" Target="externalLinks/externalLink15.xml"/><Relationship Id="rId46" Type="http://schemas.openxmlformats.org/officeDocument/2006/relationships/externalLink" Target="externalLinks/externalLink2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6.xml"/><Relationship Id="rId41" Type="http://schemas.openxmlformats.org/officeDocument/2006/relationships/externalLink" Target="externalLinks/externalLink18.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externalLink" Target="externalLinks/externalLink9.xml"/><Relationship Id="rId37" Type="http://schemas.openxmlformats.org/officeDocument/2006/relationships/externalLink" Target="externalLinks/externalLink14.xml"/><Relationship Id="rId40" Type="http://schemas.openxmlformats.org/officeDocument/2006/relationships/externalLink" Target="externalLinks/externalLink17.xml"/><Relationship Id="rId45" Type="http://schemas.openxmlformats.org/officeDocument/2006/relationships/externalLink" Target="externalLinks/externalLink22.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36" Type="http://schemas.openxmlformats.org/officeDocument/2006/relationships/externalLink" Target="externalLinks/externalLink13.xml"/><Relationship Id="rId49" Type="http://schemas.openxmlformats.org/officeDocument/2006/relationships/externalLink" Target="externalLinks/externalLink2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8.xml"/><Relationship Id="rId44" Type="http://schemas.openxmlformats.org/officeDocument/2006/relationships/externalLink" Target="externalLinks/externalLink21.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externalLink" Target="externalLinks/externalLink7.xml"/><Relationship Id="rId35" Type="http://schemas.openxmlformats.org/officeDocument/2006/relationships/externalLink" Target="externalLinks/externalLink12.xml"/><Relationship Id="rId43" Type="http://schemas.openxmlformats.org/officeDocument/2006/relationships/externalLink" Target="externalLinks/externalLink20.xml"/><Relationship Id="rId48" Type="http://schemas.openxmlformats.org/officeDocument/2006/relationships/externalLink" Target="externalLinks/externalLink25.xml"/><Relationship Id="rId8" Type="http://schemas.openxmlformats.org/officeDocument/2006/relationships/worksheet" Target="worksheets/sheet8.xml"/><Relationship Id="rId5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2</xdr:col>
      <xdr:colOff>219075</xdr:colOff>
      <xdr:row>2</xdr:row>
      <xdr:rowOff>133350</xdr:rowOff>
    </xdr:from>
    <xdr:to>
      <xdr:col>9</xdr:col>
      <xdr:colOff>247650</xdr:colOff>
      <xdr:row>23</xdr:row>
      <xdr:rowOff>0</xdr:rowOff>
    </xdr:to>
    <xdr:sp macro="" textlink="">
      <xdr:nvSpPr>
        <xdr:cNvPr id="2" name="WordArt 1">
          <a:extLst>
            <a:ext uri="{FF2B5EF4-FFF2-40B4-BE49-F238E27FC236}">
              <a16:creationId xmlns:a16="http://schemas.microsoft.com/office/drawing/2014/main" id="{00000000-0008-0000-0100-000002000000}"/>
            </a:ext>
          </a:extLst>
        </xdr:cNvPr>
        <xdr:cNvSpPr>
          <a:spLocks noChangeArrowheads="1" noChangeShapeType="1" noTextEdit="1"/>
        </xdr:cNvSpPr>
      </xdr:nvSpPr>
      <xdr:spPr bwMode="auto">
        <a:xfrm>
          <a:off x="752475" y="466725"/>
          <a:ext cx="5038725" cy="4857750"/>
        </a:xfrm>
        <a:prstGeom prst="rect">
          <a:avLst/>
        </a:prstGeom>
      </xdr:spPr>
      <xdr:txBody>
        <a:bodyPr wrap="none" fromWordArt="1">
          <a:prstTxWarp prst="textArchUp">
            <a:avLst>
              <a:gd name="adj" fmla="val 11167051"/>
            </a:avLst>
          </a:prstTxWarp>
        </a:bodyPr>
        <a:lstStyle/>
        <a:p>
          <a:pPr algn="ctr" rtl="0"/>
          <a:r>
            <a:rPr lang="en-US" sz="4400" kern="10" spc="0">
              <a:ln w="9525">
                <a:solidFill>
                  <a:srgbClr val="000000"/>
                </a:solidFill>
                <a:round/>
                <a:headEnd/>
                <a:tailEnd/>
              </a:ln>
              <a:solidFill>
                <a:srgbClr val="000000"/>
              </a:solidFill>
              <a:effectLst/>
              <a:latin typeface="Batang"/>
            </a:rPr>
            <a:t>GOVERNMENT OF ANDHRA PRADESH</a:t>
          </a:r>
        </a:p>
      </xdr:txBody>
    </xdr:sp>
    <xdr:clientData/>
  </xdr:twoCellAnchor>
  <xdr:twoCellAnchor editAs="oneCell">
    <xdr:from>
      <xdr:col>4</xdr:col>
      <xdr:colOff>895350</xdr:colOff>
      <xdr:row>5</xdr:row>
      <xdr:rowOff>123825</xdr:rowOff>
    </xdr:from>
    <xdr:to>
      <xdr:col>6</xdr:col>
      <xdr:colOff>676275</xdr:colOff>
      <xdr:row>14</xdr:row>
      <xdr:rowOff>114300</xdr:rowOff>
    </xdr:to>
    <xdr:pic>
      <xdr:nvPicPr>
        <xdr:cNvPr id="3" name="Picture 2" descr="4_825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twoCellAnchor editAs="oneCell">
    <xdr:from>
      <xdr:col>4</xdr:col>
      <xdr:colOff>895350</xdr:colOff>
      <xdr:row>5</xdr:row>
      <xdr:rowOff>123825</xdr:rowOff>
    </xdr:from>
    <xdr:to>
      <xdr:col>6</xdr:col>
      <xdr:colOff>676275</xdr:colOff>
      <xdr:row>14</xdr:row>
      <xdr:rowOff>114300</xdr:rowOff>
    </xdr:to>
    <xdr:pic>
      <xdr:nvPicPr>
        <xdr:cNvPr id="4" name="Picture 14" descr="4_8252">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5153BA0B-C352-44BF-8C56-B71D1B5EB6AC}"/>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3FD96DD7-E147-44E7-8847-BD25A7ED70A7}"/>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562E4CA9-884A-4A5D-807C-BA7C97D47DE3}"/>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B4F2F362-F6F8-4D2E-902E-EC38F7D9F3A4}"/>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F07A53A5-D174-4C93-87E5-61C2413549D6}"/>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614D080F-9A07-4B83-AD13-E250098227E7}"/>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372B1DD2-682E-4D28-978D-02840A9B980E}"/>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2A2755E5-F0E4-4FD6-B80D-D6F8C0D82F4A}"/>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755CA1EA-9B8B-4627-A238-66F6A8DD5296}"/>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A14A9C9-2BF0-4589-B3CB-B03D4519D003}"/>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1250674</xdr:colOff>
      <xdr:row>23</xdr:row>
      <xdr:rowOff>157370</xdr:rowOff>
    </xdr:from>
    <xdr:to>
      <xdr:col>6</xdr:col>
      <xdr:colOff>303558</xdr:colOff>
      <xdr:row>27</xdr:row>
      <xdr:rowOff>66261</xdr:rowOff>
    </xdr:to>
    <xdr:sp macro="" textlink="">
      <xdr:nvSpPr>
        <xdr:cNvPr id="2" name="Text Box 42">
          <a:extLst>
            <a:ext uri="{FF2B5EF4-FFF2-40B4-BE49-F238E27FC236}">
              <a16:creationId xmlns:a16="http://schemas.microsoft.com/office/drawing/2014/main" id="{00000000-0008-0000-0E00-000002000000}"/>
            </a:ext>
          </a:extLst>
        </xdr:cNvPr>
        <xdr:cNvSpPr txBox="1">
          <a:spLocks noChangeArrowheads="1"/>
        </xdr:cNvSpPr>
      </xdr:nvSpPr>
      <xdr:spPr bwMode="auto">
        <a:xfrm>
          <a:off x="4241524" y="8701295"/>
          <a:ext cx="1434134" cy="556591"/>
        </a:xfrm>
        <a:prstGeom prst="rect">
          <a:avLst/>
        </a:prstGeom>
        <a:solidFill>
          <a:srgbClr val="FFFFFF"/>
        </a:solidFill>
        <a:ln w="9525">
          <a:noFill/>
          <a:miter lim="800000"/>
          <a:headEnd/>
          <a:tailEnd/>
        </a:ln>
      </xdr:spPr>
      <xdr:txBody>
        <a:bodyPr vertOverflow="clip" wrap="square" lIns="27432" tIns="22860" rIns="27432" bIns="0" anchor="t" upright="1"/>
        <a:lstStyle/>
        <a:p>
          <a:pPr algn="ctr" rtl="1">
            <a:defRPr sz="1000"/>
          </a:pPr>
          <a:r>
            <a:rPr lang="en-US" sz="1000" b="0" i="0" strike="noStrike">
              <a:solidFill>
                <a:srgbClr val="000000"/>
              </a:solidFill>
              <a:latin typeface="+mn-lt"/>
              <a:cs typeface="Times New Roman"/>
            </a:rPr>
            <a:t>Dy. Executive  Engineer</a:t>
          </a:r>
        </a:p>
        <a:p>
          <a:pPr algn="ctr" rtl="1">
            <a:defRPr sz="1000"/>
          </a:pPr>
          <a:r>
            <a:rPr lang="en-US" sz="1000" b="0" i="0" strike="noStrike">
              <a:solidFill>
                <a:srgbClr val="000000"/>
              </a:solidFill>
              <a:latin typeface="+mn-lt"/>
              <a:cs typeface="Times New Roman"/>
            </a:rPr>
            <a:t>PRI Sub Division</a:t>
          </a:r>
        </a:p>
        <a:p>
          <a:pPr algn="ctr" rtl="1">
            <a:defRPr sz="1000"/>
          </a:pPr>
          <a:r>
            <a:rPr lang="en-US" sz="1000" b="0" i="0" strike="noStrike">
              <a:solidFill>
                <a:srgbClr val="000000"/>
              </a:solidFill>
              <a:latin typeface="+mn-lt"/>
              <a:cs typeface="Times New Roman"/>
            </a:rPr>
            <a:t>Kanigiri</a:t>
          </a:r>
        </a:p>
        <a:p>
          <a:pPr algn="ctr" rtl="1">
            <a:defRPr sz="1000"/>
          </a:pPr>
          <a:endParaRPr lang="en-US" sz="1000" b="1" i="0" strike="noStrike">
            <a:solidFill>
              <a:srgbClr val="000000"/>
            </a:solidFill>
            <a:latin typeface="+mn-lt"/>
            <a:cs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874060</xdr:colOff>
      <xdr:row>38</xdr:row>
      <xdr:rowOff>120196</xdr:rowOff>
    </xdr:from>
    <xdr:to>
      <xdr:col>6</xdr:col>
      <xdr:colOff>56031</xdr:colOff>
      <xdr:row>41</xdr:row>
      <xdr:rowOff>5140</xdr:rowOff>
    </xdr:to>
    <xdr:sp macro="" textlink="">
      <xdr:nvSpPr>
        <xdr:cNvPr id="2" name="Rectangle 1">
          <a:extLst>
            <a:ext uri="{FF2B5EF4-FFF2-40B4-BE49-F238E27FC236}">
              <a16:creationId xmlns:a16="http://schemas.microsoft.com/office/drawing/2014/main" id="{00000000-0008-0000-0F00-000002000000}"/>
            </a:ext>
          </a:extLst>
        </xdr:cNvPr>
        <xdr:cNvSpPr>
          <a:spLocks noChangeArrowheads="1"/>
        </xdr:cNvSpPr>
      </xdr:nvSpPr>
      <xdr:spPr bwMode="auto">
        <a:xfrm>
          <a:off x="3864910" y="10607221"/>
          <a:ext cx="1563221" cy="370719"/>
        </a:xfrm>
        <a:prstGeom prst="rect">
          <a:avLst/>
        </a:prstGeom>
        <a:solidFill>
          <a:srgbClr val="FFFFFF"/>
        </a:solidFill>
        <a:ln w="9525">
          <a:noFill/>
          <a:miter lim="800000"/>
          <a:headEnd/>
          <a:tailEnd/>
        </a:ln>
      </xdr:spPr>
      <xdr:txBody>
        <a:bodyPr vertOverflow="clip" wrap="square" lIns="27432" tIns="22860" rIns="27432" bIns="0" anchor="t" upright="1"/>
        <a:lstStyle/>
        <a:p>
          <a:pPr algn="ctr" rtl="0">
            <a:defRPr sz="1000"/>
          </a:pPr>
          <a:r>
            <a:rPr lang="en-US" sz="1000" b="1" i="0" strike="noStrike">
              <a:solidFill>
                <a:srgbClr val="000000"/>
              </a:solidFill>
              <a:latin typeface="times new roman"/>
              <a:cs typeface="times new roman"/>
            </a:rPr>
            <a:t>Deputy Executive Engineer</a:t>
          </a:r>
        </a:p>
        <a:p>
          <a:pPr algn="ctr" rtl="0">
            <a:defRPr sz="1000"/>
          </a:pPr>
          <a:r>
            <a:rPr lang="en-US" sz="1000" b="1" i="0" strike="noStrike">
              <a:solidFill>
                <a:srgbClr val="000000"/>
              </a:solidFill>
              <a:latin typeface="times new roman"/>
              <a:cs typeface="times new roman"/>
            </a:rPr>
            <a:t>PRI Sub-Division, Kanigiri</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11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11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11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11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11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11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11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11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11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11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Estimates/pmgsy/Deverakonda/87.Gazinaga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Estimates/pmgsy/Package1304/07.1.package130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Estimates/Buildings/Mpp_newplan/Miryalaguda/MPP_Rajape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Estimates/Buildings/MPP_Buildings/mpp%20estimate%20NADIGUDE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Estimates/pmgsy-phase4/Thungathurthy/Thirumalagiri-Thatipamula-sri%20ram%20tanda/CD%20work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Documents/Buildings/Data/data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ee1\C\WINDOWS\Desktop\singh\db1\BIJNEPALLY\VATTEM_PALEM_BT_ROAD_15KM'S.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Roads-pmgsy\c\Documents%20and%20Settings\hcl\Desktop\ARRR-ver-110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Documents%20and%20Settings/Administrator.PR/My%20Documents/ARRR-ver-110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imates/Nabard/Deverakonda/Koppole_bollaram/Est_KB.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RAMU/Desktop/ARRR-ver-1105-vsr.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Levels/Kodad/Adloor/Dondapadu-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Estimates/Buildings/Mpp_newplan/Nalgonda/MPP_Vemulapally.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Estimates/Buildings/Mpp_newplan/Miryalaguda/MPP_Gundlapally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desktop/estimates/ALL%20MANDAL%20ESTIAMTES/KANIGIRI/improvement%20meeting%20hall%20of%20mpdo%20%20office%20building%20in%20kanigiri%202.00%20lakh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Data.F8.BTR"/>
      <sheetName val="rdamdata"/>
      <sheetName val="leads"/>
      <sheetName val="Lead statement ss5"/>
      <sheetName val="Lead_statement_ss5"/>
      <sheetName val="Material"/>
      <sheetName val="Plant &amp;  Machinery"/>
      <sheetName val="Data_F8_BTR"/>
      <sheetName val="Plant_&amp;__Machinery"/>
      <sheetName val="ssr-rates"/>
      <sheetName val="Labour"/>
      <sheetName val="DATA"/>
      <sheetName val="HDPE"/>
      <sheetName val="DI"/>
      <sheetName val="pvc"/>
      <sheetName val="Sheet1"/>
      <sheetName val="Lead"/>
      <sheetName val="data existing_do not delete"/>
      <sheetName val="DATA_PRG"/>
      <sheetName val="clvrt_data"/>
      <sheetName val="t_prsr"/>
      <sheetName val="wh"/>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0000000000000"/>
      <sheetName val="leads"/>
      <sheetName val="ssr-rates"/>
      <sheetName val="rdamdata"/>
      <sheetName val="Lead statement"/>
      <sheetName val="HDPE"/>
      <sheetName val="DI"/>
      <sheetName val="pvc"/>
      <sheetName val="DATA"/>
      <sheetName val="census9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lead-st"/>
      <sheetName val="rdamdata"/>
      <sheetName val="r"/>
      <sheetName val="Cover-MEstt_"/>
      <sheetName val="ABST(PART_B)_"/>
      <sheetName val="F6-Gnrl_Abstrt"/>
      <sheetName val="sub-data_"/>
      <sheetName val="sub_estt"/>
      <sheetName val="Work_sheet"/>
      <sheetName val="Common "/>
      <sheetName val="Lead statement ss5"/>
      <sheetName val="Cover-MEstt_1"/>
      <sheetName val="ABST(PART_B)_1"/>
      <sheetName val="F6-Gnrl_Abstrt1"/>
      <sheetName val="sub-data_1"/>
      <sheetName val="Data_F8_BTR1"/>
      <sheetName val="sub_estt1"/>
      <sheetName val="Common_"/>
      <sheetName val="MRATES"/>
      <sheetName val="DATA_PRG"/>
      <sheetName val="Material"/>
      <sheetName val="Plant &amp;  Machinery"/>
      <sheetName val="leads"/>
      <sheetName val="CI"/>
      <sheetName val="DI"/>
      <sheetName val="G.R.P"/>
      <sheetName val="HDPE"/>
      <sheetName val="PSC REVISED"/>
      <sheetName val="pvc"/>
      <sheetName val="v"/>
      <sheetName val="maya"/>
      <sheetName val="segments-details"/>
      <sheetName val="int-Dia-hdpe"/>
      <sheetName val="habs-list"/>
      <sheetName val="int-Dia-pvc"/>
      <sheetName val="Data"/>
      <sheetName val="m"/>
      <sheetName val="Levels"/>
      <sheetName val="Class IV Qtr. Ele"/>
      <sheetName val="Road data"/>
      <sheetName val="mlead"/>
      <sheetName val="abs road"/>
      <sheetName val="R_Det"/>
      <sheetName val="Works"/>
      <sheetName val="RMR"/>
      <sheetName val="General"/>
      <sheetName val="t_prsr"/>
      <sheetName val="id"/>
      <sheetName val="wh_data"/>
      <sheetName val="wh_data_R"/>
      <sheetName val="CPHEEO"/>
      <sheetName val="input"/>
      <sheetName val="coverpage"/>
      <sheetName val="Lead statement"/>
      <sheetName val="PUMP_DATA"/>
      <sheetName val="F6-Est4"/>
      <sheetName val="SUMP1420KL@HW"/>
      <sheetName val="Sheet2"/>
      <sheetName val="Cover"/>
      <sheetName val="GROUND FLOOR"/>
      <sheetName val="nodes"/>
      <sheetName val="int-Dia"/>
      <sheetName val="JAWAHAR-hyd-original"/>
      <sheetName val="Bitumen trunk"/>
      <sheetName val="Feeder"/>
      <sheetName val="R99 etc"/>
      <sheetName val="Trunk unpaved"/>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m"/>
      <sheetName val="Labour"/>
      <sheetName val="Material"/>
      <sheetName val="Plant &amp;  Machinery"/>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Sheet3"/>
      <sheetName val="Class IV Qtr. Ele"/>
      <sheetName val="data"/>
      <sheetName val="leads"/>
      <sheetName val="r"/>
      <sheetName val="rdamdata"/>
      <sheetName val="maya"/>
      <sheetName val="AV-HDPE"/>
      <sheetName val="Di_gate-HDPE"/>
      <sheetName val="BWSCPlt"/>
      <sheetName val="CI"/>
      <sheetName val="DI"/>
      <sheetName val="G.R.P"/>
      <sheetName val="HDPE"/>
      <sheetName val="PSC REVISED"/>
      <sheetName val="pvc"/>
      <sheetName val="DATA_PRG"/>
      <sheetName val="Lead"/>
      <sheetName val="RAFT"/>
      <sheetName val="scour depth"/>
      <sheetName val="SUMP1420KL@HW"/>
      <sheetName val="Sheet2"/>
      <sheetName val="Bridge Data 2005-06"/>
      <sheetName val="GF SB Ok "/>
      <sheetName val="lead-st"/>
      <sheetName val="sup dat"/>
      <sheetName val="MRATES"/>
      <sheetName val="pvc_basic"/>
      <sheetName val="Lead statement ss5"/>
      <sheetName val="Sheet1"/>
      <sheetName val="segments-details"/>
      <sheetName val="int-Dia-hdpe"/>
      <sheetName val="habs-list"/>
      <sheetName val="v"/>
      <sheetName val="Bitumen trunk"/>
      <sheetName val="Feeder"/>
      <sheetName val="R99 etc"/>
      <sheetName val="Trunk unpaved"/>
      <sheetName val="Work_sheet"/>
      <sheetName val="Usage"/>
      <sheetName val="General"/>
      <sheetName val="box-12"/>
      <sheetName val="DATAS"/>
      <sheetName val="SR"/>
      <sheetName val="Plant_&amp;__Machi.ery"/>
      <sheetName val="PUMP_DATA"/>
      <sheetName val="DISCOUNT"/>
      <sheetName val="int-Dia-pvc"/>
      <sheetName val="Cover"/>
    </sheetNames>
    <sheetDataSet>
      <sheetData sheetId="0"/>
      <sheetData sheetId="1"/>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sheetData sheetId="44"/>
      <sheetData sheetId="45"/>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abs_(2)akoli1"/>
      <sheetName val="Cd_nam1"/>
      <sheetName val="cd_namnoor_11"/>
      <sheetName val="ewcal_(2)-akoli1"/>
      <sheetName val="abs_(2)ko1"/>
      <sheetName val="ewcal-korta_(2)1"/>
      <sheetName val="Data_F8_BTR"/>
      <sheetName val="r"/>
      <sheetName val="HDPE"/>
      <sheetName val="DI"/>
      <sheetName val="pvc"/>
      <sheetName val="pvc_basic"/>
      <sheetName val="hdpe_basic"/>
      <sheetName val="data existing_do not delete"/>
      <sheetName val="maya"/>
      <sheetName val="Sheet1"/>
      <sheetName val="coverpage"/>
      <sheetName val="Road data"/>
      <sheetName val="leads"/>
      <sheetName val="Common "/>
      <sheetName val="Sheet1 (2)"/>
      <sheetName val="Levels"/>
      <sheetName val="rdamdata"/>
      <sheetName val="Work_sheet"/>
      <sheetName val="t_prsr"/>
      <sheetName val="id"/>
      <sheetName val="GN_ST_10"/>
      <sheetName val="GN-ST-10"/>
      <sheetName val="Usage"/>
      <sheetName val="General"/>
      <sheetName val="Cover"/>
      <sheetName val="MRATES"/>
      <sheetName val="DATA-BASE"/>
      <sheetName val="DATA-ABSTRACT"/>
      <sheetName val="Lead statement ss5"/>
      <sheetName val="segments-details"/>
      <sheetName val="int-Dia-hdpe"/>
      <sheetName val="habs-list"/>
      <sheetName val="int-Dia-pvc"/>
      <sheetName val="GF SB Ok "/>
      <sheetName val="Specification report"/>
      <sheetName val="Bitumen trunk"/>
      <sheetName val="Feeder"/>
      <sheetName val="R99 etc"/>
      <sheetName val="Trunk unpaved"/>
      <sheetName val="Material"/>
      <sheetName val="Works"/>
      <sheetName val="RMR"/>
      <sheetName val="Lead statement"/>
      <sheetName val="lead-st"/>
      <sheetName val="Class IV Qtr. Ele"/>
      <sheetName val="SUMP1420KL@HW"/>
      <sheetName val="Sheet2"/>
      <sheetName val="Compound wall  Ok"/>
      <sheetName val="R_Det"/>
      <sheetName val="Data_Base"/>
      <sheetName val="Factory_rates"/>
      <sheetName val="Specification"/>
      <sheetName val="quarry"/>
      <sheetName val="Plant &amp;  Machinery"/>
      <sheetName val="Labou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tr"/>
      <sheetName val="ew-cal"/>
      <sheetName val="ann-b"/>
      <sheetName val="Abstrct "/>
      <sheetName val="est"/>
      <sheetName val="Lead"/>
      <sheetName val="Data"/>
      <sheetName val="she"/>
      <sheetName val="Part A"/>
      <sheetName val="Material"/>
      <sheetName val="Plant &amp;  Machinery"/>
      <sheetName val="DATA-BASE"/>
      <sheetName val="DATA-ABSTRACT"/>
      <sheetName val="Lead statement ss5"/>
      <sheetName val="v"/>
      <sheetName val="r"/>
      <sheetName val="Abstrct_"/>
      <sheetName val="Part_A"/>
      <sheetName val="Abstr#t "/>
      <sheetName val="Sheet1"/>
      <sheetName val="LEADS"/>
      <sheetName val="ewst"/>
      <sheetName val="Labour"/>
      <sheetName val="m"/>
      <sheetName val="maya"/>
      <sheetName val="detls"/>
      <sheetName val="Bitumen trunk"/>
      <sheetName val="Feeder"/>
      <sheetName val="R99 etc"/>
      <sheetName val="Trunk unpaved"/>
      <sheetName val="MRATES"/>
      <sheetName val="Lead statement"/>
      <sheetName val="DATA_PRG"/>
      <sheetName val="segments-details"/>
      <sheetName val="int-Dia-hdpe"/>
      <sheetName val="habs-list"/>
      <sheetName val="int-Dia-pvc"/>
      <sheetName val="abs road"/>
      <sheetName val="coverpage"/>
      <sheetName val="Road data"/>
      <sheetName val="TS memo"/>
      <sheetName val="pvc-pipe-rates"/>
      <sheetName val="RAFT"/>
      <sheetName val="scour depth"/>
      <sheetName val="RMR"/>
      <sheetName val="Bridge Data 2005-06"/>
      <sheetName val="GROUND FLOOR"/>
      <sheetName val="Levels"/>
      <sheetName val="CD_Data"/>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r"/>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Leads"/>
      <sheetName val="Material"/>
      <sheetName val="Plant &amp;  Machinery"/>
      <sheetName val="DATA-CD "/>
      <sheetName val="coverpage"/>
      <sheetName val="Road data"/>
      <sheetName val="maya"/>
      <sheetName val="v"/>
      <sheetName val="SUMP1420KL@HW"/>
      <sheetName val="Sheet2"/>
      <sheetName val="Mp-team 1"/>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sheetData sheetId="57" refreshError="1"/>
      <sheetData sheetId="58" refreshError="1"/>
      <sheetData sheetId="59"/>
      <sheetData sheetId="60"/>
      <sheetData sheetId="61"/>
      <sheetData sheetId="62"/>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hapt%r-2"/>
      <sheetName val="Plant _  Machinery"/>
      <sheetName val="Lead"/>
      <sheetName val="ewst"/>
      <sheetName val="m"/>
      <sheetName val="Plant_&amp;__Machinery"/>
      <sheetName val="Lead_statement"/>
      <sheetName val="Summary_of_Rates"/>
      <sheetName val="Basic_Approach"/>
      <sheetName val="Plant_&amp;__Machinery1"/>
      <sheetName val="Lead_statement1"/>
      <sheetName val="Summary_of_Rates1"/>
      <sheetName val="Basic_Approach1"/>
      <sheetName val="leads"/>
      <sheetName val="v"/>
      <sheetName val="Plant_&amp;__Machinery2"/>
      <sheetName val="Lead_statement2"/>
      <sheetName val="Summary_of_Rates2"/>
      <sheetName val="Basic_Approach2"/>
      <sheetName val="Plant____Machinery"/>
      <sheetName val="Sheet1 (2)"/>
      <sheetName val="MRATES"/>
      <sheetName val="Common "/>
      <sheetName val="t_prsr"/>
      <sheetName val="wh"/>
      <sheetName val="Iocount"/>
      <sheetName val="detls"/>
      <sheetName val="r"/>
      <sheetName val="HDPE-pipe-rates"/>
      <sheetName val="pvc-pipe-rates"/>
      <sheetName val="hdpe weights"/>
      <sheetName val="PVC weights"/>
      <sheetName val="data"/>
      <sheetName val="Sheet5"/>
      <sheetName val="maya"/>
      <sheetName val="habs-list"/>
      <sheetName val="nodes"/>
      <sheetName val="index"/>
      <sheetName val="Sheet3"/>
      <sheetName val="data existing_do not delete"/>
      <sheetName val="DATA_PRG"/>
      <sheetName val="RMR"/>
      <sheetName val="hdpe-rates"/>
      <sheetName val="pvc-rates"/>
      <sheetName val="int-Dia-hdpe"/>
      <sheetName val="int-Dia-pvc"/>
      <sheetName val="ssr-rates"/>
      <sheetName val="SSR 2014-15 Rates"/>
      <sheetName val="Specification report"/>
      <sheetName val="Road data"/>
      <sheetName val="mlead"/>
      <sheetName val="DATA-BASE"/>
      <sheetName val="DATA-ABSTRACT"/>
      <sheetName val="Publicbuilding"/>
      <sheetName val="0000000000000"/>
      <sheetName val="cert"/>
    </sheetNames>
    <sheetDataSet>
      <sheetData sheetId="0"/>
      <sheetData sheetId="1">
        <row r="4">
          <cell r="D4">
            <v>137</v>
          </cell>
        </row>
      </sheetData>
      <sheetData sheetId="2" refreshError="1">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efreshError="1">
        <row r="4">
          <cell r="D4">
            <v>137</v>
          </cell>
        </row>
        <row r="8">
          <cell r="D8">
            <v>137</v>
          </cell>
        </row>
      </sheetData>
      <sheetData sheetId="4"/>
      <sheetData sheetId="5">
        <row r="6">
          <cell r="G6">
            <v>4082</v>
          </cell>
        </row>
      </sheetData>
      <sheetData sheetId="6" refreshError="1">
        <row r="42">
          <cell r="D42">
            <v>13875.8</v>
          </cell>
        </row>
        <row r="43">
          <cell r="D43" t="str">
            <v>Input Rate</v>
          </cell>
        </row>
        <row r="54">
          <cell r="D54" t="str">
            <v>Input Rate</v>
          </cell>
        </row>
        <row r="68">
          <cell r="D68" t="str">
            <v>Input Rate</v>
          </cell>
        </row>
        <row r="96">
          <cell r="D96" t="str">
            <v>Input Rate</v>
          </cell>
        </row>
        <row r="132">
          <cell r="D132" t="str">
            <v>Input Rate</v>
          </cell>
        </row>
        <row r="144">
          <cell r="D144" t="str">
            <v>Input Rate</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s>
    <sheetDataSet>
      <sheetData sheetId="0"/>
      <sheetData sheetId="1"/>
      <sheetData sheetId="2"/>
      <sheetData sheetId="3">
        <row r="6">
          <cell r="D6">
            <v>156</v>
          </cell>
        </row>
        <row r="11">
          <cell r="D11">
            <v>156</v>
          </cell>
        </row>
      </sheetData>
      <sheetData sheetId="4">
        <row r="3">
          <cell r="D3" t="str">
            <v>Input Rate</v>
          </cell>
        </row>
        <row r="38">
          <cell r="D38"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29">
          <cell r="D129"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Data"/>
      <sheetName val="drain rm data"/>
      <sheetName val="LOWEST RATES"/>
      <sheetName val="leads"/>
      <sheetName val="Labour"/>
      <sheetName val="Material"/>
      <sheetName val="Plant &amp;  Machinery"/>
      <sheetName val="drain_rm_data"/>
      <sheetName val="LOWEST_RATES"/>
      <sheetName val="drain_rm_data1"/>
      <sheetName val="LOWEST_RATES1"/>
      <sheetName val="drain_rm_data2"/>
      <sheetName val="LOWEST_RATES2"/>
      <sheetName val="Plant_&amp;__Machinery"/>
      <sheetName val="Lookup"/>
      <sheetName val="maya"/>
      <sheetName val="0000000000000"/>
      <sheetName val="ESTIMATE"/>
      <sheetName val="v"/>
      <sheetName val="Sheet1"/>
      <sheetName val="abs road"/>
      <sheetName val="Road data"/>
      <sheetName val="Data_Bit_I"/>
      <sheetName val="sectorwise"/>
      <sheetName val="Quarry"/>
      <sheetName val="R_Det"/>
      <sheetName val="Sheet1 (2)"/>
      <sheetName val="Nspt-smp-final-ORIGINAL"/>
      <sheetName val="Design_abf"/>
      <sheetName val="r"/>
      <sheetName val="data existing_do not delete"/>
      <sheetName val="MRATES"/>
    </sheetNames>
    <sheetDataSet>
      <sheetData sheetId="0" refreshError="1">
        <row r="7">
          <cell r="N7">
            <v>2424</v>
          </cell>
        </row>
        <row r="9">
          <cell r="N9">
            <v>431.64499999999998</v>
          </cell>
        </row>
        <row r="26">
          <cell r="N26">
            <v>295.47500000000002</v>
          </cell>
        </row>
        <row r="28">
          <cell r="N28">
            <v>340.47500000000002</v>
          </cell>
        </row>
      </sheetData>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row r="4">
          <cell r="G4">
            <v>196</v>
          </cell>
        </row>
        <row r="5">
          <cell r="G5">
            <v>6328</v>
          </cell>
        </row>
        <row r="8">
          <cell r="G8">
            <v>120</v>
          </cell>
        </row>
        <row r="10">
          <cell r="G10">
            <v>692</v>
          </cell>
        </row>
        <row r="19">
          <cell r="G19">
            <v>230</v>
          </cell>
        </row>
        <row r="21">
          <cell r="G21">
            <v>1700</v>
          </cell>
        </row>
        <row r="24">
          <cell r="G24">
            <v>6328</v>
          </cell>
        </row>
        <row r="51">
          <cell r="G51">
            <v>754</v>
          </cell>
        </row>
      </sheetData>
      <sheetData sheetId="3" refreshError="1"/>
      <sheetData sheetId="4" refreshError="1">
        <row r="4">
          <cell r="D4" t="str">
            <v>Input Rate</v>
          </cell>
        </row>
        <row r="14">
          <cell r="D14" t="str">
            <v>Input Rate</v>
          </cell>
        </row>
        <row r="15">
          <cell r="D15" t="str">
            <v>Input Rate</v>
          </cell>
        </row>
        <row r="16">
          <cell r="D16" t="str">
            <v>Input Rate</v>
          </cell>
        </row>
        <row r="39">
          <cell r="D39" t="str">
            <v>Input Rate</v>
          </cell>
        </row>
        <row r="40">
          <cell r="D40" t="str">
            <v>Input Rate</v>
          </cell>
        </row>
        <row r="41">
          <cell r="D41" t="str">
            <v>Input Rate</v>
          </cell>
        </row>
        <row r="44">
          <cell r="D44" t="str">
            <v>Input Rate</v>
          </cell>
        </row>
        <row r="61">
          <cell r="D61" t="str">
            <v>Input Rate</v>
          </cell>
        </row>
        <row r="64">
          <cell r="D64" t="str">
            <v>Input Rate</v>
          </cell>
        </row>
        <row r="65">
          <cell r="D65" t="str">
            <v>Input Rate</v>
          </cell>
        </row>
        <row r="66">
          <cell r="D66" t="str">
            <v>Input Rate</v>
          </cell>
        </row>
        <row r="67">
          <cell r="D67" t="str">
            <v>Input Rate</v>
          </cell>
        </row>
        <row r="89">
          <cell r="D89" t="str">
            <v>Input Rate</v>
          </cell>
        </row>
        <row r="91">
          <cell r="D91" t="str">
            <v>Input Rate</v>
          </cell>
        </row>
        <row r="92">
          <cell r="D92" t="str">
            <v>Input Rate</v>
          </cell>
        </row>
        <row r="133">
          <cell r="D133" t="str">
            <v>Input Rate</v>
          </cell>
        </row>
        <row r="135">
          <cell r="D135"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Road Detail Est."/>
      <sheetName val="Road data"/>
      <sheetName val="r"/>
      <sheetName val="Levels"/>
      <sheetName val="F7-1v1000-0_(3)"/>
      <sheetName val="ABST(PART_B)_"/>
      <sheetName val="F6-Gnrl_Abstrt"/>
      <sheetName val="Cover-MEstt_"/>
      <sheetName val="detls"/>
      <sheetName val="Specification"/>
      <sheetName val="cert"/>
      <sheetName val="R/ad Detail Est."/>
      <sheetName val="Plant &amp;  Machinery"/>
      <sheetName val="F7-1v1000-0_(3)1"/>
      <sheetName val="ABST(PART_B)_1"/>
      <sheetName val="F6-Gnrl_Abstrt1"/>
      <sheetName val="Cover-MEstt_1"/>
      <sheetName val="Road_Detail_Est_"/>
      <sheetName val="Road_data"/>
      <sheetName val="R_ad Detail Est."/>
      <sheetName val="leads"/>
      <sheetName val="rdamdata"/>
      <sheetName val="pvc-pipe-rates"/>
      <sheetName val="Material"/>
      <sheetName val="Labour"/>
      <sheetName val="_Yamanapalli to Mahamutharam (M"/>
      <sheetName val="maya"/>
      <sheetName val="[Yamanapalli to Mahamutharam (M"/>
      <sheetName val="sch"/>
      <sheetName val="RMR"/>
      <sheetName val="ssr-rates"/>
      <sheetName val="0000000000000"/>
      <sheetName val="R_Det"/>
      <sheetName val="MRATES"/>
      <sheetName val="t_prsr"/>
      <sheetName val="wh"/>
      <sheetName val="LEAD STATEMENT"/>
      <sheetName val="int-Dia-pvc"/>
      <sheetName val="Input"/>
      <sheetName val="m1"/>
      <sheetName val="quarry"/>
      <sheetName val="lead-st"/>
      <sheetName val="Rate"/>
      <sheetName val="ewst"/>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ow r="7">
          <cell r="F7">
            <v>91</v>
          </cell>
        </row>
      </sheetData>
      <sheetData sheetId="9"/>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COVER"/>
      <sheetName val="SPE"/>
      <sheetName val="ESTIMATE"/>
      <sheetName val="Seigneorage"/>
      <sheetName val="lead 23-24"/>
      <sheetName val="DATA 2023-24"/>
      <sheetName val="sani data 2023-24"/>
      <sheetName val="Ele Data 2023-24"/>
      <sheetName val="door and windows data"/>
      <sheetName val="MINI SSR 2023-24"/>
      <sheetName val="convey 23-24"/>
      <sheetName val="CS"/>
      <sheetName val="CR"/>
      <sheetName val="check slip"/>
      <sheetName val="C-1 "/>
      <sheetName val="CC f"/>
      <sheetName val="ccbc "/>
      <sheetName val="CERT"/>
      <sheetName val="Seigneorage (2)"/>
      <sheetName val="RE-DE"/>
    </sheetNames>
    <sheetDataSet>
      <sheetData sheetId="0" refreshError="1"/>
      <sheetData sheetId="1" refreshError="1"/>
      <sheetData sheetId="2" refreshError="1"/>
      <sheetData sheetId="3" refreshError="1"/>
      <sheetData sheetId="4" refreshError="1"/>
      <sheetData sheetId="5">
        <row r="32">
          <cell r="K32" t="str">
            <v>Assistant  Engineer</v>
          </cell>
        </row>
        <row r="33">
          <cell r="K33" t="str">
            <v>Mandal Praja parishad</v>
          </cell>
        </row>
        <row r="34">
          <cell r="K34" t="str">
            <v>Kanigiri</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showRowColHeaders="0" showZeros="0" showOutlineSymbols="0" topLeftCell="B29282" zoomScaleNormal="97" zoomScaleSheetLayoutView="70" workbookViewId="0"/>
  </sheetViews>
  <sheetFormatPr defaultRowHeight="12.75"/>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K41"/>
  <sheetViews>
    <sheetView defaultGridColor="0" topLeftCell="A19" colorId="22" zoomScale="85" zoomScaleNormal="85" workbookViewId="0">
      <selection activeCell="M29" sqref="M29"/>
    </sheetView>
  </sheetViews>
  <sheetFormatPr defaultRowHeight="12.75"/>
  <cols>
    <col min="1" max="1" width="3.28515625" style="238" customWidth="1"/>
    <col min="2" max="2" width="4.7109375" style="238" customWidth="1"/>
    <col min="3" max="3" width="9.5703125" style="238" customWidth="1"/>
    <col min="4" max="4" width="9.85546875" style="238" customWidth="1"/>
    <col min="5" max="5" width="17.7109375" style="238" customWidth="1"/>
    <col min="6" max="6" width="5" style="2" customWidth="1"/>
    <col min="7" max="7" width="15.140625" style="238" customWidth="1"/>
    <col min="8" max="8" width="13" style="238" customWidth="1"/>
    <col min="9" max="9" width="4.85546875" style="238" customWidth="1"/>
    <col min="10" max="10" width="12.42578125" style="238" customWidth="1"/>
    <col min="11" max="11" width="3.5703125" style="238" customWidth="1"/>
    <col min="12" max="12" width="5.42578125" style="238" customWidth="1"/>
    <col min="13" max="16384" width="9.140625" style="238"/>
  </cols>
  <sheetData>
    <row r="1" spans="1:11" s="1" customFormat="1" ht="13.5" customHeight="1">
      <c r="A1" s="892" t="s">
        <v>248</v>
      </c>
      <c r="B1" s="887" t="s">
        <v>249</v>
      </c>
      <c r="C1" s="887"/>
      <c r="D1" s="887"/>
      <c r="E1" s="887"/>
      <c r="F1" s="887"/>
      <c r="G1" s="887"/>
      <c r="H1" s="887"/>
      <c r="I1" s="887"/>
      <c r="J1" s="887"/>
      <c r="K1" s="893" t="s">
        <v>250</v>
      </c>
    </row>
    <row r="2" spans="1:11" ht="12.75" customHeight="1">
      <c r="A2" s="892"/>
      <c r="K2" s="893"/>
    </row>
    <row r="3" spans="1:11">
      <c r="A3" s="892"/>
      <c r="K3" s="893"/>
    </row>
    <row r="4" spans="1:11">
      <c r="A4" s="892"/>
      <c r="K4" s="893"/>
    </row>
    <row r="5" spans="1:11">
      <c r="A5" s="892"/>
      <c r="K5" s="893"/>
    </row>
    <row r="6" spans="1:11">
      <c r="A6" s="892"/>
      <c r="K6" s="893"/>
    </row>
    <row r="7" spans="1:11">
      <c r="A7" s="892"/>
      <c r="K7" s="893"/>
    </row>
    <row r="8" spans="1:11">
      <c r="A8" s="892"/>
      <c r="K8" s="893"/>
    </row>
    <row r="9" spans="1:11">
      <c r="A9" s="892"/>
      <c r="K9" s="893"/>
    </row>
    <row r="10" spans="1:11">
      <c r="A10" s="892"/>
      <c r="K10" s="893"/>
    </row>
    <row r="11" spans="1:11">
      <c r="A11" s="892"/>
      <c r="K11" s="893"/>
    </row>
    <row r="12" spans="1:11">
      <c r="A12" s="892"/>
      <c r="E12" s="2"/>
      <c r="G12" s="2"/>
      <c r="K12" s="893"/>
    </row>
    <row r="13" spans="1:11">
      <c r="A13" s="892"/>
      <c r="K13" s="893"/>
    </row>
    <row r="14" spans="1:11">
      <c r="A14" s="892"/>
      <c r="K14" s="893"/>
    </row>
    <row r="15" spans="1:11">
      <c r="A15" s="892"/>
      <c r="K15" s="893"/>
    </row>
    <row r="16" spans="1:11">
      <c r="A16" s="892"/>
      <c r="K16" s="893"/>
    </row>
    <row r="17" spans="1:11">
      <c r="A17" s="892"/>
      <c r="K17" s="893"/>
    </row>
    <row r="18" spans="1:11" ht="24" customHeight="1">
      <c r="A18" s="892"/>
      <c r="B18" s="894" t="s">
        <v>251</v>
      </c>
      <c r="C18" s="891"/>
      <c r="D18" s="891"/>
      <c r="E18" s="891"/>
      <c r="F18" s="891"/>
      <c r="G18" s="891"/>
      <c r="H18" s="891"/>
      <c r="I18" s="891"/>
      <c r="J18" s="891"/>
      <c r="K18" s="893"/>
    </row>
    <row r="19" spans="1:11" ht="24" customHeight="1">
      <c r="A19" s="892"/>
      <c r="C19" s="3"/>
      <c r="D19" s="3"/>
      <c r="E19" s="3"/>
      <c r="F19" s="3"/>
      <c r="G19" s="3"/>
      <c r="H19" s="3"/>
      <c r="I19" s="3"/>
      <c r="K19" s="893"/>
    </row>
    <row r="20" spans="1:11" ht="20.25">
      <c r="A20" s="892"/>
      <c r="B20" s="895" t="s">
        <v>2365</v>
      </c>
      <c r="C20" s="896"/>
      <c r="D20" s="896"/>
      <c r="E20" s="896"/>
      <c r="F20" s="896"/>
      <c r="G20" s="896"/>
      <c r="H20" s="896"/>
      <c r="I20" s="896"/>
      <c r="J20" s="896"/>
      <c r="K20" s="893"/>
    </row>
    <row r="21" spans="1:11" ht="10.5" customHeight="1">
      <c r="A21" s="892"/>
      <c r="C21" s="4"/>
      <c r="D21" s="4"/>
      <c r="E21" s="4"/>
      <c r="F21" s="5"/>
      <c r="G21" s="4"/>
      <c r="H21" s="4"/>
      <c r="I21" s="4"/>
      <c r="K21" s="893"/>
    </row>
    <row r="22" spans="1:11" ht="11.25" customHeight="1">
      <c r="A22" s="892"/>
      <c r="C22" s="4"/>
      <c r="D22" s="4"/>
      <c r="E22" s="4"/>
      <c r="F22" s="5"/>
      <c r="G22" s="4"/>
      <c r="H22" s="4"/>
      <c r="I22" s="4"/>
      <c r="K22" s="893"/>
    </row>
    <row r="23" spans="1:11" ht="96" customHeight="1">
      <c r="A23" s="892"/>
      <c r="C23" s="897" t="s">
        <v>252</v>
      </c>
      <c r="D23" s="897"/>
      <c r="E23" s="897"/>
      <c r="F23" s="6" t="s">
        <v>253</v>
      </c>
      <c r="G23" s="899" t="str">
        <f>'lead 24-25'!C2</f>
        <v>Completion of incomplete Anganwadi building  in Paletipalli village of P.C.Palli Mandal.</v>
      </c>
      <c r="H23" s="891"/>
      <c r="I23" s="891"/>
      <c r="J23" s="891"/>
      <c r="K23" s="893"/>
    </row>
    <row r="24" spans="1:11" ht="15" customHeight="1">
      <c r="A24" s="892"/>
      <c r="C24" s="286"/>
      <c r="D24" s="286"/>
      <c r="E24" s="286"/>
      <c r="F24" s="6"/>
      <c r="G24" s="237"/>
      <c r="H24" s="237"/>
      <c r="I24" s="237"/>
      <c r="K24" s="893"/>
    </row>
    <row r="25" spans="1:11" ht="33" customHeight="1">
      <c r="A25" s="892"/>
      <c r="C25" s="889" t="s">
        <v>254</v>
      </c>
      <c r="D25" s="889"/>
      <c r="E25" s="889"/>
      <c r="F25" s="7" t="s">
        <v>253</v>
      </c>
      <c r="G25" s="900" t="str">
        <f>'lead 24-25'!K4</f>
        <v>15.00 Lakhs</v>
      </c>
      <c r="H25" s="901"/>
      <c r="I25" s="901"/>
      <c r="K25" s="893"/>
    </row>
    <row r="26" spans="1:11" ht="21.75" customHeight="1">
      <c r="A26" s="892"/>
      <c r="C26" s="236"/>
      <c r="D26" s="236"/>
      <c r="E26" s="236"/>
      <c r="F26" s="7"/>
      <c r="G26" s="8"/>
      <c r="H26" s="237"/>
      <c r="I26" s="237"/>
      <c r="K26" s="893"/>
    </row>
    <row r="27" spans="1:11" ht="17.25" customHeight="1">
      <c r="A27" s="892"/>
      <c r="C27" s="889" t="s">
        <v>255</v>
      </c>
      <c r="D27" s="889"/>
      <c r="E27" s="889"/>
      <c r="F27" s="7" t="s">
        <v>253</v>
      </c>
      <c r="G27" s="888" t="s">
        <v>2364</v>
      </c>
      <c r="H27" s="888"/>
      <c r="I27" s="888"/>
      <c r="J27" s="888"/>
      <c r="K27" s="893"/>
    </row>
    <row r="28" spans="1:11" ht="21.75" customHeight="1">
      <c r="A28" s="892"/>
      <c r="C28" s="236"/>
      <c r="D28" s="236"/>
      <c r="E28" s="236"/>
      <c r="F28" s="7"/>
      <c r="G28" s="237"/>
      <c r="H28" s="237"/>
      <c r="I28" s="237"/>
      <c r="K28" s="893"/>
    </row>
    <row r="29" spans="1:11" ht="18">
      <c r="A29" s="892"/>
      <c r="C29" s="889" t="s">
        <v>256</v>
      </c>
      <c r="D29" s="889"/>
      <c r="E29" s="889"/>
      <c r="F29" s="7" t="s">
        <v>253</v>
      </c>
      <c r="G29" s="890" t="s">
        <v>2368</v>
      </c>
      <c r="H29" s="890"/>
      <c r="I29" s="890"/>
      <c r="K29" s="893"/>
    </row>
    <row r="30" spans="1:11" ht="20.25" customHeight="1">
      <c r="A30" s="892"/>
      <c r="C30" s="236"/>
      <c r="D30" s="236"/>
      <c r="E30" s="236"/>
      <c r="F30" s="7"/>
      <c r="G30" s="284"/>
      <c r="H30" s="284"/>
      <c r="I30" s="284"/>
      <c r="K30" s="893"/>
    </row>
    <row r="31" spans="1:11" ht="32.25" customHeight="1">
      <c r="A31" s="892"/>
      <c r="C31" s="889" t="s">
        <v>257</v>
      </c>
      <c r="D31" s="889"/>
      <c r="E31" s="889"/>
      <c r="F31" s="7" t="s">
        <v>253</v>
      </c>
      <c r="G31" s="890" t="s">
        <v>2297</v>
      </c>
      <c r="H31" s="890"/>
      <c r="I31" s="890"/>
      <c r="J31" s="891"/>
      <c r="K31" s="893"/>
    </row>
    <row r="32" spans="1:11" ht="14.25" customHeight="1">
      <c r="A32" s="892"/>
      <c r="C32" s="236"/>
      <c r="D32" s="236"/>
      <c r="E32" s="236"/>
      <c r="F32" s="7"/>
      <c r="G32" s="284"/>
      <c r="H32" s="284"/>
      <c r="I32" s="284"/>
      <c r="K32" s="893"/>
    </row>
    <row r="33" spans="1:11" ht="20.25">
      <c r="A33" s="892"/>
      <c r="B33" s="285"/>
      <c r="C33" s="889" t="s">
        <v>258</v>
      </c>
      <c r="D33" s="889"/>
      <c r="E33" s="889"/>
      <c r="F33" s="7" t="s">
        <v>253</v>
      </c>
      <c r="G33" s="890" t="s">
        <v>2148</v>
      </c>
      <c r="H33" s="890"/>
      <c r="I33" s="890"/>
      <c r="J33" s="285"/>
      <c r="K33" s="893"/>
    </row>
    <row r="34" spans="1:11" ht="12.75" customHeight="1">
      <c r="A34" s="892"/>
      <c r="B34" s="285"/>
      <c r="C34" s="236"/>
      <c r="D34" s="236"/>
      <c r="E34" s="236"/>
      <c r="F34" s="7"/>
      <c r="G34" s="284"/>
      <c r="H34" s="284"/>
      <c r="I34" s="284"/>
      <c r="J34" s="285"/>
      <c r="K34" s="893"/>
    </row>
    <row r="35" spans="1:11" ht="20.25">
      <c r="A35" s="892"/>
      <c r="B35" s="285"/>
      <c r="C35" s="889" t="s">
        <v>259</v>
      </c>
      <c r="D35" s="889"/>
      <c r="E35" s="889"/>
      <c r="F35" s="7" t="s">
        <v>253</v>
      </c>
      <c r="G35" s="890" t="s">
        <v>260</v>
      </c>
      <c r="H35" s="890"/>
      <c r="I35" s="890"/>
      <c r="J35" s="285"/>
      <c r="K35" s="893"/>
    </row>
    <row r="36" spans="1:11" ht="16.5" customHeight="1">
      <c r="A36" s="892"/>
      <c r="B36" s="285"/>
      <c r="C36" s="236"/>
      <c r="D36" s="236"/>
      <c r="E36" s="236"/>
      <c r="F36" s="7"/>
      <c r="G36" s="284"/>
      <c r="H36" s="284"/>
      <c r="I36" s="284"/>
      <c r="J36" s="285"/>
      <c r="K36" s="893"/>
    </row>
    <row r="37" spans="1:11" ht="17.25" customHeight="1">
      <c r="A37" s="892"/>
      <c r="C37" s="889" t="s">
        <v>2363</v>
      </c>
      <c r="D37" s="889"/>
      <c r="E37" s="889"/>
      <c r="F37" s="7" t="s">
        <v>253</v>
      </c>
      <c r="G37" s="902">
        <v>805181</v>
      </c>
      <c r="H37" s="902"/>
      <c r="I37" s="902"/>
      <c r="J37" s="902"/>
      <c r="K37" s="893"/>
    </row>
    <row r="38" spans="1:11" ht="23.25">
      <c r="A38" s="892"/>
      <c r="C38" s="898"/>
      <c r="D38" s="898"/>
      <c r="E38" s="898"/>
      <c r="F38" s="898"/>
      <c r="G38" s="898"/>
      <c r="H38" s="898"/>
      <c r="I38" s="898"/>
      <c r="K38" s="893"/>
    </row>
    <row r="39" spans="1:11">
      <c r="A39" s="892"/>
      <c r="K39" s="893"/>
    </row>
    <row r="40" spans="1:11" s="1" customFormat="1" ht="14.25">
      <c r="A40" s="887" t="s">
        <v>250</v>
      </c>
      <c r="B40" s="887"/>
      <c r="C40" s="887"/>
      <c r="D40" s="887"/>
      <c r="E40" s="887"/>
      <c r="F40" s="887"/>
      <c r="G40" s="887"/>
      <c r="H40" s="887"/>
      <c r="I40" s="887"/>
      <c r="J40" s="887"/>
      <c r="K40" s="887"/>
    </row>
    <row r="41" spans="1:11" s="1" customFormat="1">
      <c r="A41" s="9"/>
      <c r="B41" s="9"/>
      <c r="C41" s="9"/>
      <c r="D41" s="9"/>
      <c r="E41" s="9"/>
      <c r="F41" s="9"/>
      <c r="G41" s="9"/>
      <c r="H41" s="9"/>
      <c r="I41" s="9"/>
      <c r="J41" s="9"/>
      <c r="K41" s="9"/>
    </row>
  </sheetData>
  <mergeCells count="23">
    <mergeCell ref="C25:E25"/>
    <mergeCell ref="C35:E35"/>
    <mergeCell ref="G35:I35"/>
    <mergeCell ref="C37:E37"/>
    <mergeCell ref="G25:I25"/>
    <mergeCell ref="C27:E27"/>
    <mergeCell ref="G37:J37"/>
    <mergeCell ref="A40:K40"/>
    <mergeCell ref="G27:J27"/>
    <mergeCell ref="C29:E29"/>
    <mergeCell ref="G29:I29"/>
    <mergeCell ref="C31:E31"/>
    <mergeCell ref="G31:J31"/>
    <mergeCell ref="C33:E33"/>
    <mergeCell ref="G33:I33"/>
    <mergeCell ref="A1:A39"/>
    <mergeCell ref="B1:J1"/>
    <mergeCell ref="K1:K39"/>
    <mergeCell ref="B18:J18"/>
    <mergeCell ref="B20:J20"/>
    <mergeCell ref="C23:E23"/>
    <mergeCell ref="C38:I38"/>
    <mergeCell ref="G23:J23"/>
  </mergeCells>
  <pageMargins left="0.39" right="0.17" top="0.56999999999999995" bottom="0.28999999999999998" header="0.35" footer="0.17"/>
  <pageSetup paperSize="9" orientation="portrait" verticalDpi="300" r:id="rId1"/>
  <headerFooter alignWithMargins="0"/>
  <rowBreaks count="1" manualBreakCount="1">
    <brk id="4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K83"/>
  <sheetViews>
    <sheetView tabSelected="1" view="pageBreakPreview" zoomScaleNormal="85" zoomScaleSheetLayoutView="100" workbookViewId="0">
      <selection activeCell="B28" sqref="B28:I28"/>
    </sheetView>
  </sheetViews>
  <sheetFormatPr defaultRowHeight="12.75"/>
  <cols>
    <col min="1" max="1" width="10.85546875" style="115" customWidth="1"/>
    <col min="2" max="4" width="9.140625" style="115"/>
    <col min="5" max="5" width="9" style="115" customWidth="1"/>
    <col min="6" max="7" width="9.140625" style="115"/>
    <col min="8" max="8" width="10" style="115" bestFit="1" customWidth="1"/>
    <col min="9" max="16384" width="9.140625" style="115"/>
  </cols>
  <sheetData>
    <row r="1" spans="1:11" ht="21">
      <c r="A1" s="904" t="s">
        <v>562</v>
      </c>
      <c r="B1" s="904"/>
      <c r="C1" s="904"/>
      <c r="D1" s="904"/>
      <c r="E1" s="904"/>
      <c r="F1" s="904"/>
      <c r="G1" s="904"/>
      <c r="H1" s="904"/>
      <c r="I1" s="904"/>
    </row>
    <row r="2" spans="1:11" ht="12.75" customHeight="1">
      <c r="A2" s="116"/>
    </row>
    <row r="3" spans="1:11" ht="19.5" customHeight="1">
      <c r="A3" s="905" t="s">
        <v>2130</v>
      </c>
      <c r="B3" s="905"/>
      <c r="C3" s="905"/>
      <c r="D3" s="905"/>
      <c r="E3" s="905"/>
      <c r="F3" s="905"/>
      <c r="G3" s="905"/>
      <c r="H3" s="905"/>
      <c r="I3" s="905"/>
    </row>
    <row r="4" spans="1:11" ht="35.25" customHeight="1">
      <c r="A4" s="906" t="str">
        <f>'lead 24-25'!C2</f>
        <v>Completion of incomplete Anganwadi building  in Paletipalli village of P.C.Palli Mandal.</v>
      </c>
      <c r="B4" s="906"/>
      <c r="C4" s="906"/>
      <c r="D4" s="906"/>
      <c r="E4" s="906"/>
      <c r="F4" s="906"/>
      <c r="G4" s="906"/>
      <c r="H4" s="906"/>
      <c r="I4" s="906"/>
    </row>
    <row r="5" spans="1:11" ht="14.25" customHeight="1">
      <c r="A5" s="117"/>
      <c r="B5" s="117"/>
      <c r="C5" s="117"/>
      <c r="D5" s="117"/>
      <c r="E5" s="117"/>
      <c r="F5" s="907" t="s">
        <v>563</v>
      </c>
      <c r="G5" s="907"/>
      <c r="H5" s="118" t="str">
        <f>'lead 24-25'!K4</f>
        <v>15.00 Lakhs</v>
      </c>
      <c r="I5" s="119"/>
    </row>
    <row r="6" spans="1:11" ht="10.5" customHeight="1">
      <c r="A6" s="117"/>
      <c r="B6" s="117"/>
      <c r="C6" s="117"/>
      <c r="D6" s="117"/>
      <c r="E6" s="117"/>
      <c r="F6" s="117"/>
      <c r="G6" s="117"/>
      <c r="H6" s="117"/>
      <c r="I6" s="117"/>
    </row>
    <row r="7" spans="1:11" s="444" customFormat="1" ht="67.5" customHeight="1">
      <c r="A7" s="908" t="s">
        <v>2371</v>
      </c>
      <c r="B7" s="908"/>
      <c r="C7" s="908"/>
      <c r="D7" s="908"/>
      <c r="E7" s="908"/>
      <c r="F7" s="908"/>
      <c r="G7" s="908"/>
      <c r="H7" s="908"/>
      <c r="I7" s="908"/>
    </row>
    <row r="8" spans="1:11" s="436" customFormat="1" ht="18.75" hidden="1" customHeight="1">
      <c r="A8" s="445">
        <v>1</v>
      </c>
      <c r="B8" s="903" t="s">
        <v>2298</v>
      </c>
      <c r="C8" s="903"/>
      <c r="D8" s="903"/>
      <c r="E8" s="903"/>
      <c r="F8" s="903"/>
      <c r="G8" s="903"/>
      <c r="H8" s="903"/>
      <c r="I8" s="903"/>
      <c r="J8" s="434"/>
      <c r="K8" s="435"/>
    </row>
    <row r="9" spans="1:11" s="436" customFormat="1" ht="18.75" hidden="1" customHeight="1">
      <c r="A9" s="445">
        <v>1</v>
      </c>
      <c r="B9" s="903" t="s">
        <v>2311</v>
      </c>
      <c r="C9" s="903"/>
      <c r="D9" s="903"/>
      <c r="E9" s="903"/>
      <c r="F9" s="903"/>
      <c r="G9" s="903"/>
      <c r="H9" s="903"/>
      <c r="I9" s="903"/>
      <c r="J9" s="434"/>
      <c r="K9" s="435"/>
    </row>
    <row r="10" spans="1:11" s="436" customFormat="1" ht="18.75" hidden="1" customHeight="1">
      <c r="A10" s="445">
        <v>2</v>
      </c>
      <c r="B10" s="903" t="s">
        <v>2107</v>
      </c>
      <c r="C10" s="903"/>
      <c r="D10" s="903"/>
      <c r="E10" s="903"/>
      <c r="F10" s="903"/>
      <c r="G10" s="903"/>
      <c r="H10" s="903"/>
      <c r="I10" s="903"/>
      <c r="J10" s="434"/>
      <c r="K10" s="435"/>
    </row>
    <row r="11" spans="1:11" s="436" customFormat="1" ht="18.75" hidden="1" customHeight="1">
      <c r="A11" s="445">
        <v>1</v>
      </c>
      <c r="B11" s="903" t="s">
        <v>2216</v>
      </c>
      <c r="C11" s="903"/>
      <c r="D11" s="903"/>
      <c r="E11" s="903"/>
      <c r="F11" s="903"/>
      <c r="G11" s="903"/>
      <c r="H11" s="903"/>
      <c r="I11" s="903"/>
      <c r="J11" s="434"/>
      <c r="K11" s="435"/>
    </row>
    <row r="12" spans="1:11" s="436" customFormat="1" ht="18.75" hidden="1" customHeight="1">
      <c r="A12" s="445">
        <v>2</v>
      </c>
      <c r="B12" s="903" t="s">
        <v>2175</v>
      </c>
      <c r="C12" s="903"/>
      <c r="D12" s="903"/>
      <c r="E12" s="903"/>
      <c r="F12" s="903"/>
      <c r="G12" s="903"/>
      <c r="H12" s="903"/>
      <c r="I12" s="903"/>
      <c r="J12" s="434"/>
      <c r="K12" s="435"/>
    </row>
    <row r="13" spans="1:11" s="436" customFormat="1" ht="18.75" hidden="1" customHeight="1">
      <c r="A13" s="445">
        <v>3</v>
      </c>
      <c r="B13" s="903" t="s">
        <v>2176</v>
      </c>
      <c r="C13" s="903"/>
      <c r="D13" s="903"/>
      <c r="E13" s="903"/>
      <c r="F13" s="903"/>
      <c r="G13" s="903"/>
      <c r="H13" s="903"/>
      <c r="I13" s="903"/>
      <c r="J13" s="434"/>
      <c r="K13" s="435"/>
    </row>
    <row r="14" spans="1:11" s="436" customFormat="1" ht="18.75" hidden="1" customHeight="1">
      <c r="A14" s="445">
        <v>3</v>
      </c>
      <c r="B14" s="903" t="s">
        <v>2180</v>
      </c>
      <c r="C14" s="903"/>
      <c r="D14" s="903"/>
      <c r="E14" s="903"/>
      <c r="F14" s="903"/>
      <c r="G14" s="903"/>
      <c r="H14" s="903"/>
      <c r="I14" s="903"/>
      <c r="J14" s="434"/>
      <c r="K14" s="435"/>
    </row>
    <row r="15" spans="1:11" s="436" customFormat="1" ht="18.75" customHeight="1">
      <c r="A15" s="445">
        <v>1</v>
      </c>
      <c r="B15" s="903" t="s">
        <v>2181</v>
      </c>
      <c r="C15" s="903"/>
      <c r="D15" s="903"/>
      <c r="E15" s="903"/>
      <c r="F15" s="903"/>
      <c r="G15" s="903"/>
      <c r="H15" s="903"/>
      <c r="I15" s="903"/>
      <c r="J15" s="434"/>
      <c r="K15" s="435"/>
    </row>
    <row r="16" spans="1:11" s="436" customFormat="1" ht="18.75" hidden="1" customHeight="1">
      <c r="A16" s="445">
        <v>3</v>
      </c>
      <c r="B16" s="903" t="s">
        <v>2108</v>
      </c>
      <c r="C16" s="903"/>
      <c r="D16" s="903"/>
      <c r="E16" s="903"/>
      <c r="F16" s="903"/>
      <c r="G16" s="903"/>
      <c r="H16" s="903"/>
      <c r="I16" s="903"/>
      <c r="J16" s="434"/>
      <c r="K16" s="435"/>
    </row>
    <row r="17" spans="1:11" s="436" customFormat="1" ht="18.75" hidden="1" customHeight="1">
      <c r="A17" s="445">
        <v>4</v>
      </c>
      <c r="B17" s="903" t="s">
        <v>2357</v>
      </c>
      <c r="C17" s="903"/>
      <c r="D17" s="903"/>
      <c r="E17" s="903"/>
      <c r="F17" s="903"/>
      <c r="G17" s="903"/>
      <c r="H17" s="903"/>
      <c r="I17" s="903"/>
      <c r="J17" s="434"/>
      <c r="K17" s="435"/>
    </row>
    <row r="18" spans="1:11" s="436" customFormat="1" ht="18.75" hidden="1" customHeight="1">
      <c r="A18" s="445">
        <v>5</v>
      </c>
      <c r="B18" s="903" t="s">
        <v>2358</v>
      </c>
      <c r="C18" s="903"/>
      <c r="D18" s="903"/>
      <c r="E18" s="903"/>
      <c r="F18" s="903"/>
      <c r="G18" s="903"/>
      <c r="H18" s="903"/>
      <c r="I18" s="903"/>
      <c r="J18" s="434"/>
      <c r="K18" s="435"/>
    </row>
    <row r="19" spans="1:11" s="436" customFormat="1" ht="18.75" hidden="1" customHeight="1">
      <c r="A19" s="445">
        <v>6</v>
      </c>
      <c r="B19" s="903" t="s">
        <v>2109</v>
      </c>
      <c r="C19" s="903"/>
      <c r="D19" s="903"/>
      <c r="E19" s="903"/>
      <c r="F19" s="903"/>
      <c r="G19" s="903"/>
      <c r="H19" s="903"/>
      <c r="I19" s="903"/>
      <c r="J19" s="434"/>
      <c r="K19" s="435"/>
    </row>
    <row r="20" spans="1:11" s="436" customFormat="1" ht="18.75" customHeight="1">
      <c r="A20" s="445">
        <v>2</v>
      </c>
      <c r="B20" s="903" t="s">
        <v>2110</v>
      </c>
      <c r="C20" s="903"/>
      <c r="D20" s="903"/>
      <c r="E20" s="903"/>
      <c r="F20" s="903"/>
      <c r="G20" s="903"/>
      <c r="H20" s="903"/>
      <c r="I20" s="903"/>
      <c r="J20" s="434"/>
      <c r="K20" s="435"/>
    </row>
    <row r="21" spans="1:11" s="436" customFormat="1" ht="18.75" customHeight="1">
      <c r="A21" s="445">
        <v>3</v>
      </c>
      <c r="B21" s="903" t="s">
        <v>2111</v>
      </c>
      <c r="C21" s="903"/>
      <c r="D21" s="903"/>
      <c r="E21" s="903"/>
      <c r="F21" s="903"/>
      <c r="G21" s="903"/>
      <c r="H21" s="903"/>
      <c r="I21" s="903"/>
      <c r="J21" s="434"/>
      <c r="K21" s="435"/>
    </row>
    <row r="22" spans="1:11" s="436" customFormat="1" ht="18.75" customHeight="1">
      <c r="A22" s="445">
        <v>4</v>
      </c>
      <c r="B22" s="903" t="s">
        <v>2112</v>
      </c>
      <c r="C22" s="903"/>
      <c r="D22" s="903"/>
      <c r="E22" s="903"/>
      <c r="F22" s="903"/>
      <c r="G22" s="903"/>
      <c r="H22" s="903"/>
      <c r="I22" s="903"/>
      <c r="J22" s="434"/>
      <c r="K22" s="435"/>
    </row>
    <row r="23" spans="1:11" s="436" customFormat="1" ht="18.75" customHeight="1">
      <c r="A23" s="445">
        <v>5</v>
      </c>
      <c r="B23" s="903" t="s">
        <v>2113</v>
      </c>
      <c r="C23" s="903"/>
      <c r="D23" s="903"/>
      <c r="E23" s="903"/>
      <c r="F23" s="903"/>
      <c r="G23" s="903"/>
      <c r="H23" s="903"/>
      <c r="I23" s="903"/>
      <c r="J23" s="434"/>
      <c r="K23" s="435"/>
    </row>
    <row r="24" spans="1:11" s="436" customFormat="1" ht="18.75" hidden="1" customHeight="1">
      <c r="A24" s="445">
        <v>6</v>
      </c>
      <c r="B24" s="903" t="s">
        <v>2114</v>
      </c>
      <c r="C24" s="903"/>
      <c r="D24" s="903"/>
      <c r="E24" s="903"/>
      <c r="F24" s="903"/>
      <c r="G24" s="903"/>
      <c r="H24" s="903"/>
      <c r="I24" s="903"/>
      <c r="J24" s="434"/>
      <c r="K24" s="435"/>
    </row>
    <row r="25" spans="1:11" s="436" customFormat="1" ht="18.75" hidden="1" customHeight="1">
      <c r="A25" s="445">
        <v>6</v>
      </c>
      <c r="B25" s="903" t="s">
        <v>986</v>
      </c>
      <c r="C25" s="903"/>
      <c r="D25" s="903"/>
      <c r="E25" s="903"/>
      <c r="F25" s="903"/>
      <c r="G25" s="903"/>
      <c r="H25" s="903"/>
      <c r="I25" s="903"/>
      <c r="J25" s="434"/>
      <c r="K25" s="435"/>
    </row>
    <row r="26" spans="1:11" s="436" customFormat="1" ht="18.75" customHeight="1">
      <c r="A26" s="445">
        <v>6</v>
      </c>
      <c r="B26" s="903" t="s">
        <v>2115</v>
      </c>
      <c r="C26" s="903"/>
      <c r="D26" s="903"/>
      <c r="E26" s="903"/>
      <c r="F26" s="903"/>
      <c r="G26" s="903"/>
      <c r="H26" s="903"/>
      <c r="I26" s="903"/>
      <c r="J26" s="434"/>
      <c r="K26" s="435"/>
    </row>
    <row r="27" spans="1:11" s="436" customFormat="1" ht="18.75" hidden="1" customHeight="1">
      <c r="A27" s="445">
        <v>12</v>
      </c>
      <c r="B27" s="903" t="s">
        <v>2116</v>
      </c>
      <c r="C27" s="903"/>
      <c r="D27" s="903"/>
      <c r="E27" s="903"/>
      <c r="F27" s="903"/>
      <c r="G27" s="903"/>
      <c r="H27" s="903"/>
      <c r="I27" s="903"/>
      <c r="J27" s="434"/>
      <c r="K27" s="435"/>
    </row>
    <row r="28" spans="1:11" s="436" customFormat="1" ht="18.75" customHeight="1">
      <c r="A28" s="445">
        <v>7</v>
      </c>
      <c r="B28" s="903" t="s">
        <v>2117</v>
      </c>
      <c r="C28" s="903"/>
      <c r="D28" s="903"/>
      <c r="E28" s="903"/>
      <c r="F28" s="903"/>
      <c r="G28" s="903"/>
      <c r="H28" s="903"/>
      <c r="I28" s="903"/>
      <c r="J28" s="434"/>
      <c r="K28" s="435"/>
    </row>
    <row r="29" spans="1:11" s="436" customFormat="1" ht="18.75" customHeight="1">
      <c r="A29" s="445">
        <v>8</v>
      </c>
      <c r="B29" s="903" t="s">
        <v>2263</v>
      </c>
      <c r="C29" s="903"/>
      <c r="D29" s="903"/>
      <c r="E29" s="903"/>
      <c r="F29" s="903"/>
      <c r="G29" s="903"/>
      <c r="H29" s="903"/>
      <c r="I29" s="903"/>
      <c r="J29" s="434"/>
      <c r="K29" s="435"/>
    </row>
    <row r="30" spans="1:11" s="436" customFormat="1" ht="18.75" customHeight="1">
      <c r="A30" s="445">
        <v>9</v>
      </c>
      <c r="B30" s="903" t="s">
        <v>2118</v>
      </c>
      <c r="C30" s="903"/>
      <c r="D30" s="903"/>
      <c r="E30" s="903"/>
      <c r="F30" s="903"/>
      <c r="G30" s="903"/>
      <c r="H30" s="903"/>
      <c r="I30" s="903"/>
      <c r="J30" s="434"/>
      <c r="K30" s="435"/>
    </row>
    <row r="31" spans="1:11" s="436" customFormat="1" ht="18.75" hidden="1" customHeight="1">
      <c r="A31" s="445">
        <v>2</v>
      </c>
      <c r="B31" s="903" t="s">
        <v>2149</v>
      </c>
      <c r="C31" s="903"/>
      <c r="D31" s="903"/>
      <c r="E31" s="903"/>
      <c r="F31" s="903"/>
      <c r="G31" s="903"/>
      <c r="H31" s="903"/>
      <c r="I31" s="903"/>
      <c r="J31" s="434"/>
      <c r="K31" s="435"/>
    </row>
    <row r="32" spans="1:11" s="436" customFormat="1" ht="24" hidden="1" customHeight="1">
      <c r="A32" s="445">
        <v>3</v>
      </c>
      <c r="B32" s="903" t="s">
        <v>2150</v>
      </c>
      <c r="C32" s="903"/>
      <c r="D32" s="903"/>
      <c r="E32" s="903"/>
      <c r="F32" s="903"/>
      <c r="G32" s="903"/>
      <c r="H32" s="903"/>
      <c r="I32" s="903"/>
      <c r="J32" s="434"/>
      <c r="K32" s="435"/>
    </row>
    <row r="33" spans="1:11" s="436" customFormat="1" ht="18.75" customHeight="1">
      <c r="A33" s="445">
        <v>10</v>
      </c>
      <c r="B33" s="903" t="s">
        <v>2119</v>
      </c>
      <c r="C33" s="903"/>
      <c r="D33" s="903"/>
      <c r="E33" s="903"/>
      <c r="F33" s="903"/>
      <c r="G33" s="903"/>
      <c r="H33" s="903"/>
      <c r="I33" s="903"/>
      <c r="J33" s="434"/>
      <c r="K33" s="435"/>
    </row>
    <row r="34" spans="1:11" s="436" customFormat="1" ht="18.75" customHeight="1">
      <c r="A34" s="445">
        <v>11</v>
      </c>
      <c r="B34" s="903" t="s">
        <v>2299</v>
      </c>
      <c r="C34" s="903"/>
      <c r="D34" s="903"/>
      <c r="E34" s="903"/>
      <c r="F34" s="903"/>
      <c r="G34" s="903"/>
      <c r="H34" s="903"/>
      <c r="I34" s="903"/>
      <c r="J34" s="434"/>
      <c r="K34" s="435"/>
    </row>
    <row r="35" spans="1:11" s="436" customFormat="1" ht="18.75" hidden="1" customHeight="1">
      <c r="A35" s="445">
        <v>6</v>
      </c>
      <c r="B35" s="903" t="s">
        <v>2300</v>
      </c>
      <c r="C35" s="903"/>
      <c r="D35" s="903"/>
      <c r="E35" s="903"/>
      <c r="F35" s="903"/>
      <c r="G35" s="903"/>
      <c r="H35" s="903"/>
      <c r="I35" s="903"/>
      <c r="J35" s="434"/>
      <c r="K35" s="435"/>
    </row>
    <row r="36" spans="1:11" s="436" customFormat="1" ht="18.75" hidden="1" customHeight="1">
      <c r="A36" s="445">
        <v>7</v>
      </c>
      <c r="B36" s="903" t="s">
        <v>2214</v>
      </c>
      <c r="C36" s="903"/>
      <c r="D36" s="903"/>
      <c r="E36" s="903"/>
      <c r="F36" s="903"/>
      <c r="G36" s="903"/>
      <c r="H36" s="903"/>
      <c r="I36" s="903"/>
      <c r="J36" s="434"/>
      <c r="K36" s="435"/>
    </row>
    <row r="37" spans="1:11" s="436" customFormat="1" ht="18.75" hidden="1" customHeight="1">
      <c r="A37" s="445">
        <v>8</v>
      </c>
      <c r="B37" s="903" t="s">
        <v>2215</v>
      </c>
      <c r="C37" s="903"/>
      <c r="D37" s="903"/>
      <c r="E37" s="903"/>
      <c r="F37" s="903"/>
      <c r="G37" s="903"/>
      <c r="H37" s="903"/>
      <c r="I37" s="903"/>
      <c r="J37" s="434"/>
      <c r="K37" s="435"/>
    </row>
    <row r="38" spans="1:11" s="436" customFormat="1" ht="18.75" hidden="1" customHeight="1">
      <c r="A38" s="445">
        <v>5</v>
      </c>
      <c r="B38" s="903" t="s">
        <v>497</v>
      </c>
      <c r="C38" s="903"/>
      <c r="D38" s="903"/>
      <c r="E38" s="903"/>
      <c r="F38" s="903"/>
      <c r="G38" s="903"/>
      <c r="H38" s="903"/>
      <c r="I38" s="903"/>
      <c r="J38" s="434"/>
      <c r="K38" s="435"/>
    </row>
    <row r="39" spans="1:11" s="436" customFormat="1" ht="18.75" hidden="1" customHeight="1">
      <c r="A39" s="445">
        <v>6</v>
      </c>
      <c r="B39" s="903" t="s">
        <v>2120</v>
      </c>
      <c r="C39" s="903"/>
      <c r="D39" s="903"/>
      <c r="E39" s="903"/>
      <c r="F39" s="903"/>
      <c r="G39" s="903"/>
      <c r="H39" s="903"/>
      <c r="I39" s="903"/>
      <c r="J39" s="434"/>
      <c r="K39" s="435"/>
    </row>
    <row r="40" spans="1:11" s="436" customFormat="1" ht="18.75" customHeight="1">
      <c r="A40" s="445">
        <v>12</v>
      </c>
      <c r="B40" s="903" t="s">
        <v>2121</v>
      </c>
      <c r="C40" s="903"/>
      <c r="D40" s="903"/>
      <c r="E40" s="903"/>
      <c r="F40" s="903"/>
      <c r="G40" s="903"/>
      <c r="H40" s="903"/>
      <c r="I40" s="903"/>
      <c r="J40" s="434"/>
      <c r="K40" s="435"/>
    </row>
    <row r="41" spans="1:11" s="436" customFormat="1" ht="18.75" hidden="1" customHeight="1">
      <c r="A41" s="445">
        <v>10</v>
      </c>
      <c r="B41" s="903" t="s">
        <v>2182</v>
      </c>
      <c r="C41" s="903"/>
      <c r="D41" s="903"/>
      <c r="E41" s="903"/>
      <c r="F41" s="903"/>
      <c r="G41" s="903"/>
      <c r="H41" s="903"/>
      <c r="I41" s="903"/>
      <c r="J41" s="434"/>
      <c r="K41" s="435"/>
    </row>
    <row r="42" spans="1:11" s="436" customFormat="1" ht="18.75" customHeight="1">
      <c r="A42" s="445">
        <v>13</v>
      </c>
      <c r="B42" s="903" t="s">
        <v>2177</v>
      </c>
      <c r="C42" s="903"/>
      <c r="D42" s="903"/>
      <c r="E42" s="903"/>
      <c r="F42" s="903"/>
      <c r="G42" s="903"/>
      <c r="H42" s="903"/>
      <c r="I42" s="903"/>
      <c r="J42" s="434"/>
      <c r="K42" s="435"/>
    </row>
    <row r="43" spans="1:11" s="436" customFormat="1" ht="18.75" hidden="1" customHeight="1">
      <c r="A43" s="445">
        <v>9</v>
      </c>
      <c r="B43" s="903" t="s">
        <v>2201</v>
      </c>
      <c r="C43" s="903"/>
      <c r="D43" s="903"/>
      <c r="E43" s="903"/>
      <c r="F43" s="903"/>
      <c r="G43" s="903"/>
      <c r="H43" s="903"/>
      <c r="I43" s="903"/>
      <c r="J43" s="434"/>
      <c r="K43" s="435"/>
    </row>
    <row r="44" spans="1:11" s="436" customFormat="1" ht="18.75" hidden="1" customHeight="1">
      <c r="A44" s="445">
        <v>10</v>
      </c>
      <c r="B44" s="903" t="s">
        <v>2230</v>
      </c>
      <c r="C44" s="903"/>
      <c r="D44" s="903"/>
      <c r="E44" s="903"/>
      <c r="F44" s="903"/>
      <c r="G44" s="903"/>
      <c r="H44" s="903"/>
      <c r="I44" s="903"/>
      <c r="J44" s="434"/>
      <c r="K44" s="435"/>
    </row>
    <row r="45" spans="1:11" s="436" customFormat="1" ht="18.75" hidden="1" customHeight="1">
      <c r="A45" s="445">
        <v>11</v>
      </c>
      <c r="B45" s="903" t="s">
        <v>2202</v>
      </c>
      <c r="C45" s="903"/>
      <c r="D45" s="903"/>
      <c r="E45" s="903"/>
      <c r="F45" s="903"/>
      <c r="G45" s="903"/>
      <c r="H45" s="903"/>
      <c r="I45" s="903"/>
      <c r="J45" s="434"/>
      <c r="K45" s="435"/>
    </row>
    <row r="46" spans="1:11" s="436" customFormat="1" ht="18.75" hidden="1" customHeight="1">
      <c r="A46" s="445">
        <v>12</v>
      </c>
      <c r="B46" s="903" t="s">
        <v>2203</v>
      </c>
      <c r="C46" s="903"/>
      <c r="D46" s="903"/>
      <c r="E46" s="903"/>
      <c r="F46" s="903"/>
      <c r="G46" s="903"/>
      <c r="H46" s="903"/>
      <c r="I46" s="903"/>
      <c r="J46" s="434"/>
      <c r="K46" s="435"/>
    </row>
    <row r="47" spans="1:11" s="436" customFormat="1" ht="18.75" hidden="1" customHeight="1">
      <c r="A47" s="445">
        <v>7</v>
      </c>
      <c r="B47" s="903" t="s">
        <v>2314</v>
      </c>
      <c r="C47" s="903"/>
      <c r="D47" s="903"/>
      <c r="E47" s="903"/>
      <c r="F47" s="903"/>
      <c r="G47" s="903"/>
      <c r="H47" s="903"/>
      <c r="I47" s="903"/>
      <c r="J47" s="434"/>
      <c r="K47" s="435"/>
    </row>
    <row r="48" spans="1:11" s="436" customFormat="1" ht="18.75" hidden="1" customHeight="1">
      <c r="A48" s="445">
        <v>8</v>
      </c>
      <c r="B48" s="903" t="s">
        <v>2301</v>
      </c>
      <c r="C48" s="903"/>
      <c r="D48" s="903"/>
      <c r="E48" s="903"/>
      <c r="F48" s="903"/>
      <c r="G48" s="903"/>
      <c r="H48" s="903"/>
      <c r="I48" s="903"/>
      <c r="J48" s="434"/>
      <c r="K48" s="435"/>
    </row>
    <row r="49" spans="1:11" s="436" customFormat="1" ht="18.75" hidden="1" customHeight="1">
      <c r="A49" s="445">
        <v>9</v>
      </c>
      <c r="B49" s="903" t="s">
        <v>2131</v>
      </c>
      <c r="C49" s="903"/>
      <c r="D49" s="903"/>
      <c r="E49" s="903"/>
      <c r="F49" s="903"/>
      <c r="G49" s="903"/>
      <c r="H49" s="903"/>
      <c r="I49" s="903"/>
      <c r="J49" s="434"/>
      <c r="K49" s="435"/>
    </row>
    <row r="50" spans="1:11" s="436" customFormat="1" ht="18.75" customHeight="1">
      <c r="A50" s="445">
        <v>14</v>
      </c>
      <c r="B50" s="903" t="s">
        <v>2312</v>
      </c>
      <c r="C50" s="903"/>
      <c r="D50" s="903"/>
      <c r="E50" s="903"/>
      <c r="F50" s="903"/>
      <c r="G50" s="903"/>
      <c r="H50" s="903"/>
      <c r="I50" s="903"/>
      <c r="J50" s="434"/>
      <c r="K50" s="435"/>
    </row>
    <row r="51" spans="1:11" s="436" customFormat="1" ht="18.75" hidden="1" customHeight="1">
      <c r="A51" s="445">
        <v>4</v>
      </c>
      <c r="B51" s="903" t="s">
        <v>2132</v>
      </c>
      <c r="C51" s="903"/>
      <c r="D51" s="903"/>
      <c r="E51" s="903"/>
      <c r="F51" s="903"/>
      <c r="G51" s="903"/>
      <c r="H51" s="903"/>
      <c r="I51" s="903"/>
      <c r="J51" s="434"/>
      <c r="K51" s="435"/>
    </row>
    <row r="52" spans="1:11" s="436" customFormat="1" ht="18.75" hidden="1" customHeight="1">
      <c r="A52" s="445">
        <v>18</v>
      </c>
      <c r="B52" s="903" t="s">
        <v>2122</v>
      </c>
      <c r="C52" s="903"/>
      <c r="D52" s="903"/>
      <c r="E52" s="903"/>
      <c r="F52" s="903"/>
      <c r="G52" s="903"/>
      <c r="H52" s="903"/>
      <c r="I52" s="903"/>
      <c r="J52" s="434"/>
      <c r="K52" s="435"/>
    </row>
    <row r="53" spans="1:11" s="436" customFormat="1" ht="18.75" hidden="1" customHeight="1">
      <c r="A53" s="445">
        <v>8</v>
      </c>
      <c r="B53" s="903" t="s">
        <v>2123</v>
      </c>
      <c r="C53" s="903"/>
      <c r="D53" s="903"/>
      <c r="E53" s="903"/>
      <c r="F53" s="903"/>
      <c r="G53" s="903"/>
      <c r="H53" s="903"/>
      <c r="I53" s="903"/>
      <c r="J53" s="434"/>
      <c r="K53" s="435"/>
    </row>
    <row r="54" spans="1:11" s="436" customFormat="1" ht="18.75" hidden="1" customHeight="1">
      <c r="A54" s="445">
        <v>9</v>
      </c>
      <c r="B54" s="903" t="s">
        <v>2124</v>
      </c>
      <c r="C54" s="903"/>
      <c r="D54" s="903"/>
      <c r="E54" s="903"/>
      <c r="F54" s="903"/>
      <c r="G54" s="903"/>
      <c r="H54" s="903"/>
      <c r="I54" s="903"/>
      <c r="J54" s="434"/>
      <c r="K54" s="435"/>
    </row>
    <row r="55" spans="1:11" s="436" customFormat="1" ht="18.75" hidden="1" customHeight="1">
      <c r="A55" s="445">
        <v>10</v>
      </c>
      <c r="B55" s="903" t="s">
        <v>2125</v>
      </c>
      <c r="C55" s="903"/>
      <c r="D55" s="903"/>
      <c r="E55" s="903"/>
      <c r="F55" s="903"/>
      <c r="G55" s="903"/>
      <c r="H55" s="903"/>
      <c r="I55" s="903"/>
      <c r="J55" s="434"/>
      <c r="K55" s="435"/>
    </row>
    <row r="56" spans="1:11" s="436" customFormat="1" ht="18.75" hidden="1" customHeight="1">
      <c r="A56" s="445">
        <v>9</v>
      </c>
      <c r="B56" s="903" t="s">
        <v>2151</v>
      </c>
      <c r="C56" s="903"/>
      <c r="D56" s="903"/>
      <c r="E56" s="903"/>
      <c r="F56" s="903"/>
      <c r="G56" s="903"/>
      <c r="H56" s="903"/>
      <c r="I56" s="903"/>
      <c r="J56" s="434"/>
      <c r="K56" s="435"/>
    </row>
    <row r="57" spans="1:11" s="436" customFormat="1" ht="18.75" hidden="1" customHeight="1">
      <c r="A57" s="445">
        <v>10</v>
      </c>
      <c r="B57" s="903" t="s">
        <v>2152</v>
      </c>
      <c r="C57" s="903"/>
      <c r="D57" s="903"/>
      <c r="E57" s="903"/>
      <c r="F57" s="903"/>
      <c r="G57" s="903"/>
      <c r="H57" s="903"/>
      <c r="I57" s="903"/>
      <c r="J57" s="434"/>
      <c r="K57" s="435"/>
    </row>
    <row r="58" spans="1:11" s="436" customFormat="1" ht="18.75" hidden="1" customHeight="1">
      <c r="A58" s="445">
        <v>9</v>
      </c>
      <c r="B58" s="903" t="s">
        <v>2153</v>
      </c>
      <c r="C58" s="903"/>
      <c r="D58" s="903"/>
      <c r="E58" s="903"/>
      <c r="F58" s="903"/>
      <c r="G58" s="903"/>
      <c r="H58" s="903"/>
      <c r="I58" s="903"/>
      <c r="J58" s="434"/>
      <c r="K58" s="435"/>
    </row>
    <row r="59" spans="1:11" s="436" customFormat="1" ht="18.75" customHeight="1">
      <c r="A59" s="445">
        <v>15</v>
      </c>
      <c r="B59" s="903" t="s">
        <v>2126</v>
      </c>
      <c r="C59" s="903"/>
      <c r="D59" s="903"/>
      <c r="E59" s="903"/>
      <c r="F59" s="903"/>
      <c r="G59" s="903"/>
      <c r="H59" s="903"/>
      <c r="I59" s="903"/>
      <c r="J59" s="434"/>
      <c r="K59" s="435"/>
    </row>
    <row r="60" spans="1:11" s="436" customFormat="1" ht="18.75" hidden="1" customHeight="1">
      <c r="A60" s="445">
        <v>11</v>
      </c>
      <c r="B60" s="903" t="s">
        <v>2127</v>
      </c>
      <c r="C60" s="903"/>
      <c r="D60" s="903"/>
      <c r="E60" s="903"/>
      <c r="F60" s="903"/>
      <c r="G60" s="903"/>
      <c r="H60" s="903"/>
      <c r="I60" s="903"/>
      <c r="J60" s="434"/>
      <c r="K60" s="435"/>
    </row>
    <row r="61" spans="1:11" s="436" customFormat="1" ht="18.75" hidden="1" customHeight="1">
      <c r="A61" s="445">
        <v>25</v>
      </c>
      <c r="B61" s="903" t="s">
        <v>2128</v>
      </c>
      <c r="C61" s="903"/>
      <c r="D61" s="903"/>
      <c r="E61" s="903"/>
      <c r="F61" s="903"/>
      <c r="G61" s="903"/>
      <c r="H61" s="903"/>
      <c r="I61" s="903"/>
      <c r="J61" s="434"/>
      <c r="K61" s="435"/>
    </row>
    <row r="62" spans="1:11" s="436" customFormat="1" ht="18.75" hidden="1" customHeight="1">
      <c r="A62" s="445">
        <v>26</v>
      </c>
      <c r="B62" s="903" t="s">
        <v>2129</v>
      </c>
      <c r="C62" s="903"/>
      <c r="D62" s="903"/>
      <c r="E62" s="903"/>
      <c r="F62" s="903"/>
      <c r="G62" s="903"/>
      <c r="H62" s="903"/>
      <c r="I62" s="903"/>
      <c r="J62" s="434"/>
      <c r="K62" s="435"/>
    </row>
    <row r="63" spans="1:11" s="436" customFormat="1" ht="18.75" hidden="1" customHeight="1">
      <c r="A63" s="445">
        <v>11</v>
      </c>
      <c r="B63" s="903" t="s">
        <v>465</v>
      </c>
      <c r="C63" s="903"/>
      <c r="D63" s="903"/>
      <c r="E63" s="903"/>
      <c r="F63" s="903"/>
      <c r="G63" s="903"/>
      <c r="H63" s="903"/>
      <c r="I63" s="903"/>
      <c r="J63" s="434"/>
      <c r="K63" s="435"/>
    </row>
    <row r="64" spans="1:11" s="436" customFormat="1" ht="18.75" hidden="1" customHeight="1">
      <c r="A64" s="445">
        <v>11</v>
      </c>
      <c r="B64" s="903" t="s">
        <v>2313</v>
      </c>
      <c r="C64" s="903"/>
      <c r="D64" s="903"/>
      <c r="E64" s="903"/>
      <c r="F64" s="903"/>
      <c r="G64" s="903"/>
      <c r="H64" s="903"/>
      <c r="I64" s="903"/>
      <c r="J64" s="434"/>
      <c r="K64" s="435"/>
    </row>
    <row r="65" spans="1:9" s="444" customFormat="1" ht="33.75" customHeight="1">
      <c r="A65" s="909" t="s">
        <v>2359</v>
      </c>
      <c r="B65" s="909"/>
      <c r="C65" s="909"/>
      <c r="D65" s="909"/>
      <c r="E65" s="909"/>
      <c r="F65" s="909"/>
      <c r="G65" s="909"/>
      <c r="H65" s="909"/>
      <c r="I65" s="909"/>
    </row>
    <row r="66" spans="1:9" s="444" customFormat="1" ht="51" customHeight="1">
      <c r="A66" s="909" t="s">
        <v>2264</v>
      </c>
      <c r="B66" s="909"/>
      <c r="C66" s="909"/>
      <c r="D66" s="909"/>
      <c r="E66" s="909"/>
      <c r="F66" s="909"/>
      <c r="G66" s="909"/>
      <c r="H66" s="909"/>
      <c r="I66" s="909"/>
    </row>
    <row r="68" spans="1:9" ht="13.5" customHeight="1">
      <c r="D68" s="120"/>
      <c r="E68" s="120"/>
      <c r="F68" s="121"/>
      <c r="G68" s="121"/>
      <c r="H68" s="120"/>
    </row>
    <row r="69" spans="1:9" ht="13.5" customHeight="1">
      <c r="D69" s="120"/>
      <c r="E69" s="135" t="str">
        <f>'lead 24-25'!$H$32</f>
        <v>Deputy Executive Engineer</v>
      </c>
      <c r="F69" s="123"/>
      <c r="G69" s="122"/>
      <c r="H69" s="135" t="str">
        <f>'lead 24-25'!$K$32</f>
        <v>Assistant  Engineer</v>
      </c>
    </row>
    <row r="70" spans="1:9" ht="13.5" customHeight="1">
      <c r="D70" s="120"/>
      <c r="E70" s="135" t="str">
        <f>'lead 24-25'!$H$33</f>
        <v>PRI Sub Division</v>
      </c>
      <c r="F70" s="123"/>
      <c r="G70" s="122"/>
      <c r="H70" s="135" t="str">
        <f>'lead 24-25'!$K$33</f>
        <v>Mandal Praja parishad</v>
      </c>
    </row>
    <row r="71" spans="1:9" ht="15.75">
      <c r="E71" s="135" t="str">
        <f>'lead 24-25'!$H$34</f>
        <v>Kanigiri</v>
      </c>
      <c r="F71" s="116"/>
      <c r="G71" s="116"/>
      <c r="H71" s="135" t="str">
        <f>'lead 24-25'!$K$34</f>
        <v>P.C.Palli</v>
      </c>
    </row>
    <row r="72" spans="1:9">
      <c r="E72" s="20"/>
    </row>
    <row r="76" spans="1:9" ht="15">
      <c r="D76" s="124"/>
    </row>
    <row r="83" ht="13.5" customHeight="1"/>
  </sheetData>
  <mergeCells count="64">
    <mergeCell ref="B17:I17"/>
    <mergeCell ref="B18:I18"/>
    <mergeCell ref="B35:I35"/>
    <mergeCell ref="B48:I48"/>
    <mergeCell ref="B60:I60"/>
    <mergeCell ref="B53:I53"/>
    <mergeCell ref="B54:I54"/>
    <mergeCell ref="B55:I55"/>
    <mergeCell ref="B59:I59"/>
    <mergeCell ref="B56:I56"/>
    <mergeCell ref="B57:I57"/>
    <mergeCell ref="B58:I58"/>
    <mergeCell ref="B36:I36"/>
    <mergeCell ref="B37:I37"/>
    <mergeCell ref="B52:I52"/>
    <mergeCell ref="B46:I46"/>
    <mergeCell ref="B49:I49"/>
    <mergeCell ref="B50:I50"/>
    <mergeCell ref="A65:I65"/>
    <mergeCell ref="A66:I66"/>
    <mergeCell ref="B61:I61"/>
    <mergeCell ref="B62:I62"/>
    <mergeCell ref="B63:I63"/>
    <mergeCell ref="B64:I64"/>
    <mergeCell ref="B51:I51"/>
    <mergeCell ref="B38:I38"/>
    <mergeCell ref="B39:I39"/>
    <mergeCell ref="B40:I40"/>
    <mergeCell ref="B45:I45"/>
    <mergeCell ref="B42:I42"/>
    <mergeCell ref="B41:I41"/>
    <mergeCell ref="B43:I43"/>
    <mergeCell ref="B44:I44"/>
    <mergeCell ref="B47:I47"/>
    <mergeCell ref="A1:I1"/>
    <mergeCell ref="A3:I3"/>
    <mergeCell ref="A4:I4"/>
    <mergeCell ref="F5:G5"/>
    <mergeCell ref="A7:I7"/>
    <mergeCell ref="B8:I8"/>
    <mergeCell ref="B10:I10"/>
    <mergeCell ref="B11:I11"/>
    <mergeCell ref="B15:I15"/>
    <mergeCell ref="B16:I16"/>
    <mergeCell ref="B12:I12"/>
    <mergeCell ref="B13:I13"/>
    <mergeCell ref="B14:I14"/>
    <mergeCell ref="B9:I9"/>
    <mergeCell ref="B19:I19"/>
    <mergeCell ref="B20:I20"/>
    <mergeCell ref="B21:I21"/>
    <mergeCell ref="B22:I22"/>
    <mergeCell ref="B23:I23"/>
    <mergeCell ref="B30:I30"/>
    <mergeCell ref="B33:I33"/>
    <mergeCell ref="B34:I34"/>
    <mergeCell ref="B31:I31"/>
    <mergeCell ref="B24:I24"/>
    <mergeCell ref="B26:I26"/>
    <mergeCell ref="B27:I27"/>
    <mergeCell ref="B28:I28"/>
    <mergeCell ref="B29:I29"/>
    <mergeCell ref="B32:I32"/>
    <mergeCell ref="B25:I25"/>
  </mergeCells>
  <pageMargins left="0.83" right="0.75" top="0.28999999999999998" bottom="0.31" header="0.17" footer="0.16"/>
  <pageSetup paperSize="9" scale="99" orientation="portrait" r:id="rId1"/>
  <headerFooter alignWithMargins="0"/>
  <rowBreaks count="1" manualBreakCount="1">
    <brk id="71"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00B050"/>
  </sheetPr>
  <dimension ref="A1:R1733"/>
  <sheetViews>
    <sheetView showZeros="0" defaultGridColor="0" view="pageBreakPreview" topLeftCell="A42" colorId="22" zoomScaleNormal="115" zoomScaleSheetLayoutView="100" workbookViewId="0">
      <selection activeCell="B34" sqref="B34:H34"/>
    </sheetView>
  </sheetViews>
  <sheetFormatPr defaultRowHeight="12.75"/>
  <cols>
    <col min="1" max="1" width="3.5703125" style="10" customWidth="1"/>
    <col min="2" max="2" width="30.42578125" style="10" customWidth="1"/>
    <col min="3" max="3" width="3.5703125" style="10" customWidth="1"/>
    <col min="4" max="4" width="1.7109375" style="10" customWidth="1"/>
    <col min="5" max="5" width="5.140625" style="878" customWidth="1"/>
    <col min="6" max="6" width="6.7109375" style="879" customWidth="1"/>
    <col min="7" max="7" width="6.140625" style="880" customWidth="1"/>
    <col min="8" max="8" width="7.42578125" style="20" customWidth="1"/>
    <col min="9" max="9" width="8.140625" style="21" customWidth="1"/>
    <col min="10" max="10" width="5.28515625" style="21" customWidth="1"/>
    <col min="11" max="11" width="8.42578125" style="20" customWidth="1"/>
    <col min="12" max="12" width="7.5703125" style="881" customWidth="1"/>
    <col min="13" max="13" width="10.85546875" style="21" customWidth="1"/>
    <col min="14" max="15" width="10.42578125" style="10" bestFit="1" customWidth="1"/>
    <col min="16" max="16384" width="9.140625" style="10"/>
  </cols>
  <sheetData>
    <row r="1" spans="1:15" ht="26.25" customHeight="1">
      <c r="A1" s="924" t="s">
        <v>2365</v>
      </c>
      <c r="B1" s="924"/>
      <c r="C1" s="924"/>
      <c r="D1" s="924"/>
      <c r="E1" s="924"/>
      <c r="F1" s="924"/>
      <c r="G1" s="924"/>
      <c r="H1" s="924"/>
      <c r="I1" s="924"/>
      <c r="J1" s="924"/>
      <c r="K1" s="924"/>
      <c r="L1" s="924"/>
      <c r="M1" s="924"/>
    </row>
    <row r="2" spans="1:15" ht="42" customHeight="1">
      <c r="A2" s="925" t="s">
        <v>846</v>
      </c>
      <c r="B2" s="925"/>
      <c r="C2" s="926" t="str">
        <f>'lead 24-25'!C2:L2</f>
        <v>Completion of incomplete Anganwadi building  in Paletipalli village of P.C.Palli Mandal.</v>
      </c>
      <c r="D2" s="926"/>
      <c r="E2" s="926"/>
      <c r="F2" s="926"/>
      <c r="G2" s="926"/>
      <c r="H2" s="926"/>
      <c r="I2" s="926"/>
      <c r="J2" s="926"/>
      <c r="K2" s="926"/>
      <c r="L2" s="926"/>
      <c r="M2" s="926"/>
    </row>
    <row r="3" spans="1:15" ht="15" customHeight="1">
      <c r="A3" s="132"/>
      <c r="B3" s="927"/>
      <c r="C3" s="927"/>
      <c r="D3" s="927"/>
      <c r="E3" s="927"/>
      <c r="F3" s="927"/>
      <c r="G3" s="927"/>
      <c r="H3" s="136"/>
      <c r="I3" s="928" t="s">
        <v>262</v>
      </c>
      <c r="J3" s="928"/>
      <c r="K3" s="928"/>
      <c r="L3" s="929" t="str">
        <f>'lead 24-25'!K4</f>
        <v>15.00 Lakhs</v>
      </c>
      <c r="M3" s="929"/>
    </row>
    <row r="4" spans="1:15" s="845" customFormat="1" ht="12.75" customHeight="1">
      <c r="A4" s="923" t="s">
        <v>263</v>
      </c>
      <c r="B4" s="923" t="s">
        <v>264</v>
      </c>
      <c r="C4" s="923" t="s">
        <v>114</v>
      </c>
      <c r="D4" s="923"/>
      <c r="E4" s="923"/>
      <c r="F4" s="923" t="s">
        <v>121</v>
      </c>
      <c r="G4" s="923"/>
      <c r="H4" s="923"/>
      <c r="I4" s="923" t="s">
        <v>6</v>
      </c>
      <c r="J4" s="923"/>
      <c r="K4" s="923" t="s">
        <v>8</v>
      </c>
      <c r="L4" s="922" t="s">
        <v>9</v>
      </c>
      <c r="M4" s="923" t="s">
        <v>10</v>
      </c>
    </row>
    <row r="5" spans="1:15" s="845" customFormat="1" ht="21.75" customHeight="1">
      <c r="A5" s="923"/>
      <c r="B5" s="923"/>
      <c r="C5" s="923"/>
      <c r="D5" s="923"/>
      <c r="E5" s="923"/>
      <c r="F5" s="846" t="s">
        <v>12</v>
      </c>
      <c r="G5" s="846" t="s">
        <v>13</v>
      </c>
      <c r="H5" s="843" t="s">
        <v>14</v>
      </c>
      <c r="I5" s="923"/>
      <c r="J5" s="923"/>
      <c r="K5" s="923"/>
      <c r="L5" s="922"/>
      <c r="M5" s="923"/>
    </row>
    <row r="6" spans="1:15" s="845" customFormat="1" ht="15.75">
      <c r="A6" s="843">
        <v>1</v>
      </c>
      <c r="B6" s="843">
        <v>2</v>
      </c>
      <c r="C6" s="923">
        <v>3</v>
      </c>
      <c r="D6" s="923"/>
      <c r="E6" s="923"/>
      <c r="F6" s="844">
        <v>4</v>
      </c>
      <c r="G6" s="844">
        <v>5</v>
      </c>
      <c r="H6" s="843">
        <v>6</v>
      </c>
      <c r="I6" s="847">
        <v>7</v>
      </c>
      <c r="J6" s="848"/>
      <c r="K6" s="843">
        <v>8</v>
      </c>
      <c r="L6" s="844">
        <v>9</v>
      </c>
      <c r="M6" s="843">
        <v>10</v>
      </c>
    </row>
    <row r="7" spans="1:15" s="132" customFormat="1" hidden="1">
      <c r="A7" s="128"/>
      <c r="B7" s="509" t="s">
        <v>288</v>
      </c>
      <c r="C7" s="510"/>
      <c r="D7" s="511"/>
      <c r="E7" s="512"/>
      <c r="F7" s="133"/>
      <c r="G7" s="133"/>
      <c r="H7" s="128"/>
      <c r="I7" s="513"/>
      <c r="J7" s="514"/>
      <c r="K7" s="128"/>
      <c r="L7" s="134"/>
      <c r="M7" s="128"/>
    </row>
    <row r="8" spans="1:15" ht="30" hidden="1" customHeight="1">
      <c r="A8" s="81">
        <v>1</v>
      </c>
      <c r="B8" s="910" t="s">
        <v>289</v>
      </c>
      <c r="C8" s="910"/>
      <c r="D8" s="910"/>
      <c r="E8" s="910"/>
      <c r="F8" s="910"/>
      <c r="G8" s="910"/>
      <c r="H8" s="910"/>
      <c r="I8" s="515"/>
      <c r="J8" s="516"/>
      <c r="K8" s="81"/>
      <c r="L8" s="517"/>
      <c r="M8" s="110"/>
    </row>
    <row r="9" spans="1:15" s="525" customFormat="1" ht="16.5" hidden="1" customHeight="1">
      <c r="A9" s="81"/>
      <c r="B9" s="518" t="s">
        <v>1785</v>
      </c>
      <c r="C9" s="519">
        <v>1</v>
      </c>
      <c r="D9" s="520" t="s">
        <v>265</v>
      </c>
      <c r="E9" s="521">
        <v>1</v>
      </c>
      <c r="F9" s="522">
        <v>11</v>
      </c>
      <c r="G9" s="522">
        <v>10</v>
      </c>
      <c r="H9" s="522">
        <v>0</v>
      </c>
      <c r="I9" s="523">
        <f t="shared" ref="I9" si="0">ROUND(IF(AND(F9:H9),C9*E9*F9*G9*H9,IF(AND(F9,G9),C9*E9*F9*G9,IF(AND(F9,H9),C9*E9*F9*H9,IF(AND(G9,H9),C9*E9*G9*H9,IF(F9,C9*E9*F9,IF(G9,C9*E9*G9,IF(H9,C9*E9*H9,C9*E9))))))),2)</f>
        <v>110</v>
      </c>
      <c r="J9" s="524" t="s">
        <v>102</v>
      </c>
      <c r="K9" s="111"/>
      <c r="L9" s="81"/>
      <c r="M9" s="111"/>
    </row>
    <row r="10" spans="1:15" s="525" customFormat="1" ht="16.5" hidden="1" customHeight="1">
      <c r="A10" s="81"/>
      <c r="B10" s="526"/>
      <c r="C10" s="527"/>
      <c r="D10" s="528"/>
      <c r="E10" s="529"/>
      <c r="F10" s="530"/>
      <c r="G10" s="530"/>
      <c r="H10" s="530"/>
      <c r="I10" s="531">
        <f>SUM(I9:I9)</f>
        <v>110</v>
      </c>
      <c r="J10" s="532" t="s">
        <v>102</v>
      </c>
      <c r="K10" s="111"/>
      <c r="L10" s="81"/>
      <c r="M10" s="111"/>
    </row>
    <row r="11" spans="1:15" s="525" customFormat="1" ht="16.5" hidden="1" customHeight="1">
      <c r="A11" s="81"/>
      <c r="B11" s="526" t="s">
        <v>290</v>
      </c>
      <c r="C11" s="527"/>
      <c r="D11" s="528"/>
      <c r="E11" s="529"/>
      <c r="F11" s="529"/>
      <c r="G11" s="530"/>
      <c r="H11" s="530"/>
      <c r="I11" s="531">
        <f>-ROUND(I10*40%,2)</f>
        <v>-44</v>
      </c>
      <c r="J11" s="532" t="s">
        <v>102</v>
      </c>
      <c r="K11" s="111"/>
      <c r="L11" s="81"/>
      <c r="M11" s="111"/>
    </row>
    <row r="12" spans="1:15" hidden="1">
      <c r="A12" s="81"/>
      <c r="B12" s="110"/>
      <c r="C12" s="112"/>
      <c r="D12" s="533"/>
      <c r="E12" s="534"/>
      <c r="F12" s="113"/>
      <c r="G12" s="113"/>
      <c r="H12" s="113"/>
      <c r="I12" s="531"/>
      <c r="J12" s="532" t="s">
        <v>102</v>
      </c>
      <c r="K12" s="12">
        <f>'DATA 2024-25'!G66</f>
        <v>6.06</v>
      </c>
      <c r="L12" s="517" t="s">
        <v>267</v>
      </c>
      <c r="M12" s="11">
        <f>ROUND(I12*K12,0)</f>
        <v>0</v>
      </c>
    </row>
    <row r="13" spans="1:15" ht="72" hidden="1" customHeight="1">
      <c r="A13" s="81">
        <v>1</v>
      </c>
      <c r="B13" s="910" t="s">
        <v>2281</v>
      </c>
      <c r="C13" s="910"/>
      <c r="D13" s="910"/>
      <c r="E13" s="910"/>
      <c r="F13" s="910"/>
      <c r="G13" s="910"/>
      <c r="H13" s="910"/>
      <c r="I13" s="515"/>
      <c r="J13" s="516"/>
      <c r="K13" s="81"/>
      <c r="L13" s="517"/>
      <c r="M13" s="110"/>
      <c r="O13" s="19">
        <f>N1714</f>
        <v>0</v>
      </c>
    </row>
    <row r="14" spans="1:15" s="525" customFormat="1" ht="16.5" hidden="1" customHeight="1">
      <c r="A14" s="81"/>
      <c r="B14" s="535" t="s">
        <v>2282</v>
      </c>
      <c r="C14" s="519"/>
      <c r="D14" s="520"/>
      <c r="E14" s="521"/>
      <c r="F14" s="536"/>
      <c r="G14" s="536"/>
      <c r="H14" s="536"/>
      <c r="I14" s="523"/>
      <c r="J14" s="537"/>
      <c r="K14" s="111"/>
      <c r="L14" s="81"/>
      <c r="M14" s="111"/>
    </row>
    <row r="15" spans="1:15" s="525" customFormat="1" ht="16.5" hidden="1" customHeight="1">
      <c r="A15" s="81"/>
      <c r="B15" s="538" t="s">
        <v>741</v>
      </c>
      <c r="C15" s="519">
        <v>1</v>
      </c>
      <c r="D15" s="520" t="s">
        <v>265</v>
      </c>
      <c r="E15" s="521">
        <v>1</v>
      </c>
      <c r="F15" s="536">
        <v>4.8</v>
      </c>
      <c r="G15" s="536">
        <v>3.3</v>
      </c>
      <c r="H15" s="536">
        <v>0.1</v>
      </c>
      <c r="I15" s="523">
        <f t="shared" ref="I15" si="1">ROUND(IF(AND(F15:H15),C15*E15*F15*G15*H15,IF(AND(F15,G15),C15*E15*F15*G15,IF(AND(F15,H15),C15*E15*F15*H15,IF(AND(G15,H15),C15*E15*G15*H15,IF(F15,C15*E15*F15,IF(G15,C15*E15*G15,IF(H15,C15*E15*H15,C15*E15))))))),2)</f>
        <v>1.58</v>
      </c>
      <c r="J15" s="537" t="s">
        <v>5</v>
      </c>
      <c r="K15" s="111"/>
      <c r="L15" s="81"/>
      <c r="M15" s="111"/>
    </row>
    <row r="16" spans="1:15" s="525" customFormat="1" ht="16.5" hidden="1" customHeight="1">
      <c r="A16" s="81"/>
      <c r="B16" s="538" t="s">
        <v>2302</v>
      </c>
      <c r="C16" s="519">
        <v>1</v>
      </c>
      <c r="D16" s="520" t="s">
        <v>265</v>
      </c>
      <c r="E16" s="521">
        <v>1</v>
      </c>
      <c r="F16" s="536">
        <v>3.3</v>
      </c>
      <c r="G16" s="536">
        <v>3.3</v>
      </c>
      <c r="H16" s="536">
        <v>0.1</v>
      </c>
      <c r="I16" s="523">
        <f t="shared" ref="I16" si="2">ROUND(IF(AND(F16:H16),C16*E16*F16*G16*H16,IF(AND(F16,G16),C16*E16*F16*G16,IF(AND(F16,H16),C16*E16*F16*H16,IF(AND(G16,H16),C16*E16*G16*H16,IF(F16,C16*E16*F16,IF(G16,C16*E16*G16,IF(H16,C16*E16*H16,C16*E16))))))),2)</f>
        <v>1.0900000000000001</v>
      </c>
      <c r="J16" s="537" t="s">
        <v>5</v>
      </c>
      <c r="K16" s="111"/>
      <c r="L16" s="81"/>
      <c r="M16" s="111"/>
    </row>
    <row r="17" spans="1:15" s="525" customFormat="1" ht="16.5" hidden="1" customHeight="1">
      <c r="A17" s="81"/>
      <c r="B17" s="538" t="s">
        <v>1841</v>
      </c>
      <c r="C17" s="519">
        <v>1</v>
      </c>
      <c r="D17" s="520" t="s">
        <v>265</v>
      </c>
      <c r="E17" s="521">
        <v>1</v>
      </c>
      <c r="F17" s="536">
        <v>3.3</v>
      </c>
      <c r="G17" s="536">
        <v>1.8</v>
      </c>
      <c r="H17" s="536">
        <v>0.1</v>
      </c>
      <c r="I17" s="523">
        <f t="shared" ref="I17" si="3">ROUND(IF(AND(F17:H17),C17*E17*F17*G17*H17,IF(AND(F17,G17),C17*E17*F17*G17,IF(AND(F17,H17),C17*E17*F17*H17,IF(AND(G17,H17),C17*E17*G17*H17,IF(F17,C17*E17*F17,IF(G17,C17*E17*G17,IF(H17,C17*E17*H17,C17*E17))))))),2)</f>
        <v>0.59</v>
      </c>
      <c r="J17" s="537" t="s">
        <v>5</v>
      </c>
      <c r="K17" s="111"/>
      <c r="L17" s="81"/>
      <c r="M17" s="111"/>
    </row>
    <row r="18" spans="1:15" s="525" customFormat="1" ht="16.5" hidden="1" customHeight="1">
      <c r="A18" s="81"/>
      <c r="B18" s="526"/>
      <c r="C18" s="527"/>
      <c r="D18" s="528"/>
      <c r="E18" s="529"/>
      <c r="F18" s="530"/>
      <c r="G18" s="530"/>
      <c r="H18" s="530"/>
      <c r="I18" s="531"/>
      <c r="J18" s="524"/>
      <c r="K18" s="111"/>
      <c r="L18" s="517"/>
      <c r="M18" s="111"/>
    </row>
    <row r="19" spans="1:15" hidden="1">
      <c r="A19" s="81"/>
      <c r="B19" s="111"/>
      <c r="C19" s="112"/>
      <c r="D19" s="533"/>
      <c r="E19" s="534"/>
      <c r="F19" s="113"/>
      <c r="G19" s="539"/>
      <c r="H19" s="81"/>
      <c r="I19" s="531"/>
      <c r="J19" s="532" t="s">
        <v>5</v>
      </c>
      <c r="K19" s="12">
        <f>'DATA 2024-25'!G49</f>
        <v>795.94</v>
      </c>
      <c r="L19" s="517" t="s">
        <v>266</v>
      </c>
      <c r="M19" s="11">
        <f>ROUND(I19*K19,0)</f>
        <v>0</v>
      </c>
    </row>
    <row r="20" spans="1:15" ht="72" hidden="1" customHeight="1">
      <c r="A20" s="81">
        <v>1</v>
      </c>
      <c r="B20" s="910" t="s">
        <v>2306</v>
      </c>
      <c r="C20" s="910"/>
      <c r="D20" s="910"/>
      <c r="E20" s="910"/>
      <c r="F20" s="910"/>
      <c r="G20" s="910"/>
      <c r="H20" s="910"/>
      <c r="I20" s="515"/>
      <c r="J20" s="516"/>
      <c r="K20" s="81"/>
      <c r="L20" s="517"/>
      <c r="M20" s="110"/>
      <c r="O20" s="19">
        <f>N1721</f>
        <v>0</v>
      </c>
    </row>
    <row r="21" spans="1:15" s="525" customFormat="1" ht="16.5" hidden="1" customHeight="1">
      <c r="A21" s="81"/>
      <c r="B21" s="535" t="s">
        <v>2282</v>
      </c>
      <c r="C21" s="519"/>
      <c r="D21" s="520"/>
      <c r="E21" s="521"/>
      <c r="F21" s="536"/>
      <c r="G21" s="536"/>
      <c r="H21" s="536"/>
      <c r="I21" s="523"/>
      <c r="J21" s="537"/>
      <c r="K21" s="111"/>
      <c r="L21" s="81"/>
      <c r="M21" s="111"/>
    </row>
    <row r="22" spans="1:15" s="525" customFormat="1" ht="16.5" hidden="1" customHeight="1">
      <c r="A22" s="81"/>
      <c r="B22" s="538" t="s">
        <v>741</v>
      </c>
      <c r="C22" s="519">
        <v>1</v>
      </c>
      <c r="D22" s="520" t="s">
        <v>265</v>
      </c>
      <c r="E22" s="521">
        <v>1</v>
      </c>
      <c r="F22" s="536">
        <v>4.8</v>
      </c>
      <c r="G22" s="536">
        <v>3.3</v>
      </c>
      <c r="H22" s="536">
        <v>0.1</v>
      </c>
      <c r="I22" s="523">
        <f t="shared" ref="I22:I24" si="4">ROUND(IF(AND(F22:H22),C22*E22*F22*G22*H22,IF(AND(F22,G22),C22*E22*F22*G22,IF(AND(F22,H22),C22*E22*F22*H22,IF(AND(G22,H22),C22*E22*G22*H22,IF(F22,C22*E22*F22,IF(G22,C22*E22*G22,IF(H22,C22*E22*H22,C22*E22))))))),2)</f>
        <v>1.58</v>
      </c>
      <c r="J22" s="537" t="s">
        <v>5</v>
      </c>
      <c r="K22" s="111"/>
      <c r="L22" s="81"/>
      <c r="M22" s="111"/>
    </row>
    <row r="23" spans="1:15" s="525" customFormat="1" ht="16.5" hidden="1" customHeight="1">
      <c r="A23" s="81"/>
      <c r="B23" s="538" t="s">
        <v>2302</v>
      </c>
      <c r="C23" s="519">
        <v>1</v>
      </c>
      <c r="D23" s="520" t="s">
        <v>265</v>
      </c>
      <c r="E23" s="521">
        <v>1</v>
      </c>
      <c r="F23" s="536">
        <v>3.3</v>
      </c>
      <c r="G23" s="536">
        <v>3.3</v>
      </c>
      <c r="H23" s="536">
        <v>0.1</v>
      </c>
      <c r="I23" s="523">
        <f t="shared" si="4"/>
        <v>1.0900000000000001</v>
      </c>
      <c r="J23" s="537" t="s">
        <v>5</v>
      </c>
      <c r="K23" s="111"/>
      <c r="L23" s="81"/>
      <c r="M23" s="111"/>
    </row>
    <row r="24" spans="1:15" s="525" customFormat="1" ht="16.5" hidden="1" customHeight="1">
      <c r="A24" s="81"/>
      <c r="B24" s="538" t="s">
        <v>1841</v>
      </c>
      <c r="C24" s="519">
        <v>1</v>
      </c>
      <c r="D24" s="520" t="s">
        <v>265</v>
      </c>
      <c r="E24" s="521">
        <v>1</v>
      </c>
      <c r="F24" s="536">
        <v>3.3</v>
      </c>
      <c r="G24" s="536">
        <v>1.8</v>
      </c>
      <c r="H24" s="536">
        <v>0.1</v>
      </c>
      <c r="I24" s="523">
        <f t="shared" si="4"/>
        <v>0.59</v>
      </c>
      <c r="J24" s="537" t="s">
        <v>5</v>
      </c>
      <c r="K24" s="111"/>
      <c r="L24" s="81"/>
      <c r="M24" s="111"/>
    </row>
    <row r="25" spans="1:15" s="525" customFormat="1" ht="16.5" hidden="1" customHeight="1">
      <c r="A25" s="81"/>
      <c r="B25" s="526"/>
      <c r="C25" s="527"/>
      <c r="D25" s="528"/>
      <c r="E25" s="529"/>
      <c r="F25" s="530"/>
      <c r="G25" s="530"/>
      <c r="H25" s="530"/>
      <c r="I25" s="531"/>
      <c r="J25" s="524"/>
      <c r="K25" s="111"/>
      <c r="L25" s="517"/>
      <c r="M25" s="111"/>
    </row>
    <row r="26" spans="1:15" hidden="1">
      <c r="A26" s="81"/>
      <c r="B26" s="111"/>
      <c r="C26" s="112"/>
      <c r="D26" s="533"/>
      <c r="E26" s="534"/>
      <c r="F26" s="113"/>
      <c r="G26" s="539"/>
      <c r="H26" s="81"/>
      <c r="I26" s="531"/>
      <c r="J26" s="532" t="s">
        <v>5</v>
      </c>
      <c r="K26" s="12">
        <f>'DATA 2024-25'!G61</f>
        <v>487.06</v>
      </c>
      <c r="L26" s="517" t="s">
        <v>266</v>
      </c>
      <c r="M26" s="11">
        <f>ROUND(I26*K26,0)</f>
        <v>0</v>
      </c>
    </row>
    <row r="27" spans="1:15" ht="83.25" hidden="1" customHeight="1">
      <c r="A27" s="81">
        <v>1</v>
      </c>
      <c r="B27" s="910" t="s">
        <v>2210</v>
      </c>
      <c r="C27" s="910"/>
      <c r="D27" s="910"/>
      <c r="E27" s="910"/>
      <c r="F27" s="910"/>
      <c r="G27" s="910"/>
      <c r="H27" s="910"/>
      <c r="I27" s="515"/>
      <c r="J27" s="516"/>
      <c r="K27" s="81"/>
      <c r="L27" s="517"/>
      <c r="M27" s="110"/>
      <c r="O27" s="19">
        <f>N1718</f>
        <v>40165</v>
      </c>
    </row>
    <row r="28" spans="1:15" s="525" customFormat="1" ht="16.5" hidden="1" customHeight="1">
      <c r="A28" s="81"/>
      <c r="B28" s="538" t="s">
        <v>2322</v>
      </c>
      <c r="C28" s="540">
        <v>1</v>
      </c>
      <c r="D28" s="541" t="s">
        <v>265</v>
      </c>
      <c r="E28" s="556">
        <v>12</v>
      </c>
      <c r="F28" s="536">
        <v>1.5</v>
      </c>
      <c r="G28" s="536">
        <v>1.5</v>
      </c>
      <c r="H28" s="536">
        <v>1.2</v>
      </c>
      <c r="I28" s="523">
        <f>ROUND(IF(AND(F28:H28),C28*E28*F28*G28*H28,IF(AND(F28,G28),C28*E28*F28*G28,IF(AND(F28,H28),C28*E28*F28*H28,IF(AND(G28,H28),C28*E28*G28*H28,IF(F28,C28*E28*F28,IF(G28,C28*E28*G28,IF(H28,C28*E28*H28,C28*E28))))))),2)</f>
        <v>32.4</v>
      </c>
      <c r="J28" s="537" t="s">
        <v>5</v>
      </c>
      <c r="K28" s="111"/>
      <c r="L28" s="81"/>
      <c r="M28" s="111"/>
    </row>
    <row r="29" spans="1:15" s="525" customFormat="1" ht="16.5" hidden="1" customHeight="1">
      <c r="A29" s="81"/>
      <c r="B29" s="262" t="s">
        <v>1796</v>
      </c>
      <c r="C29" s="515">
        <v>1</v>
      </c>
      <c r="D29" s="553" t="s">
        <v>265</v>
      </c>
      <c r="E29" s="534">
        <v>3</v>
      </c>
      <c r="F29" s="12">
        <v>8.61</v>
      </c>
      <c r="G29" s="12">
        <v>0.38</v>
      </c>
      <c r="H29" s="12">
        <v>0.1</v>
      </c>
      <c r="I29" s="523">
        <f>ROUND(IF(AND(F29:H29),C29*E29*F29*G29*H29,IF(AND(F29,G29),C29*E29*F29*G29,IF(AND(F29,H29),C29*E29*F29*H29,IF(AND(G29,H29),C29*E29*G29*H29,IF(F29,C29*E29*F29,IF(G29,C29*E29*G29,IF(H29,C29*E29*H29,C29*E29))))))),2)</f>
        <v>0.98</v>
      </c>
      <c r="J29" s="537" t="s">
        <v>5</v>
      </c>
      <c r="K29" s="111"/>
      <c r="L29" s="81"/>
      <c r="M29" s="111"/>
    </row>
    <row r="30" spans="1:15" s="525" customFormat="1" ht="16.5" hidden="1" customHeight="1">
      <c r="A30" s="81"/>
      <c r="B30" s="262" t="s">
        <v>1805</v>
      </c>
      <c r="C30" s="515">
        <v>1</v>
      </c>
      <c r="D30" s="553" t="s">
        <v>265</v>
      </c>
      <c r="E30" s="534">
        <v>2</v>
      </c>
      <c r="F30" s="12">
        <v>4.7300000000000004</v>
      </c>
      <c r="G30" s="12">
        <v>0.38</v>
      </c>
      <c r="H30" s="12">
        <v>0.1</v>
      </c>
      <c r="I30" s="523">
        <f t="shared" ref="I30:I31" si="5">ROUND(IF(AND(F30:H30),C30*E30*F30*G30*H30,IF(AND(F30,G30),C30*E30*F30*G30,IF(AND(F30,H30),C30*E30*F30*H30,IF(AND(G30,H30),C30*E30*G30*H30,IF(F30,C30*E30*F30,IF(G30,C30*E30*G30,IF(H30,C30*E30*H30,C30*E30))))))),2)</f>
        <v>0.36</v>
      </c>
      <c r="J30" s="537" t="s">
        <v>5</v>
      </c>
      <c r="K30" s="111"/>
      <c r="L30" s="81"/>
      <c r="M30" s="111"/>
    </row>
    <row r="31" spans="1:15" s="525" customFormat="1" ht="16.5" hidden="1" customHeight="1">
      <c r="A31" s="81"/>
      <c r="B31" s="262" t="s">
        <v>2323</v>
      </c>
      <c r="C31" s="515">
        <v>1</v>
      </c>
      <c r="D31" s="553" t="s">
        <v>265</v>
      </c>
      <c r="E31" s="534">
        <v>2</v>
      </c>
      <c r="F31" s="12">
        <v>1.2</v>
      </c>
      <c r="G31" s="12">
        <v>0.38</v>
      </c>
      <c r="H31" s="12">
        <v>0.1</v>
      </c>
      <c r="I31" s="523">
        <f t="shared" si="5"/>
        <v>0.09</v>
      </c>
      <c r="J31" s="537" t="s">
        <v>5</v>
      </c>
      <c r="K31" s="111"/>
      <c r="L31" s="81"/>
      <c r="M31" s="111"/>
    </row>
    <row r="32" spans="1:15" s="525" customFormat="1" ht="16.5" hidden="1" customHeight="1">
      <c r="A32" s="81"/>
      <c r="B32" s="526"/>
      <c r="C32" s="527"/>
      <c r="D32" s="528"/>
      <c r="E32" s="529"/>
      <c r="F32" s="530"/>
      <c r="G32" s="530"/>
      <c r="H32" s="530"/>
      <c r="I32" s="531"/>
      <c r="J32" s="524"/>
      <c r="K32" s="111"/>
      <c r="L32" s="517"/>
      <c r="M32" s="111"/>
    </row>
    <row r="33" spans="1:13" hidden="1">
      <c r="A33" s="81"/>
      <c r="B33" s="111"/>
      <c r="C33" s="112"/>
      <c r="D33" s="533"/>
      <c r="E33" s="534"/>
      <c r="F33" s="113"/>
      <c r="G33" s="539"/>
      <c r="H33" s="81"/>
      <c r="I33" s="531"/>
      <c r="J33" s="532" t="s">
        <v>5</v>
      </c>
      <c r="K33" s="12">
        <f>'DATA 2024-25'!G72</f>
        <v>246.07</v>
      </c>
      <c r="L33" s="517" t="s">
        <v>266</v>
      </c>
      <c r="M33" s="11">
        <f>ROUND(I33*K33,0)</f>
        <v>0</v>
      </c>
    </row>
    <row r="34" spans="1:13" ht="57" customHeight="1">
      <c r="A34" s="81">
        <v>1</v>
      </c>
      <c r="B34" s="910" t="s">
        <v>291</v>
      </c>
      <c r="C34" s="910"/>
      <c r="D34" s="910"/>
      <c r="E34" s="910"/>
      <c r="F34" s="910"/>
      <c r="G34" s="910"/>
      <c r="H34" s="910"/>
      <c r="I34" s="515"/>
      <c r="J34" s="516"/>
      <c r="K34" s="81"/>
      <c r="L34" s="517"/>
      <c r="M34" s="110"/>
    </row>
    <row r="35" spans="1:13" s="525" customFormat="1" ht="16.5" hidden="1" customHeight="1">
      <c r="A35" s="81"/>
      <c r="B35" s="538" t="s">
        <v>2324</v>
      </c>
      <c r="C35" s="540">
        <v>1</v>
      </c>
      <c r="D35" s="541" t="s">
        <v>265</v>
      </c>
      <c r="E35" s="556">
        <v>12</v>
      </c>
      <c r="F35" s="536">
        <v>1.5</v>
      </c>
      <c r="G35" s="536">
        <v>1.5</v>
      </c>
      <c r="H35" s="536">
        <v>0.15</v>
      </c>
      <c r="I35" s="523"/>
      <c r="J35" s="537" t="s">
        <v>5</v>
      </c>
      <c r="K35" s="111"/>
      <c r="L35" s="81"/>
      <c r="M35" s="111"/>
    </row>
    <row r="36" spans="1:13" s="525" customFormat="1" ht="16.5" hidden="1" customHeight="1">
      <c r="A36" s="81"/>
      <c r="B36" s="262" t="s">
        <v>1796</v>
      </c>
      <c r="C36" s="515">
        <v>1</v>
      </c>
      <c r="D36" s="553" t="s">
        <v>265</v>
      </c>
      <c r="E36" s="534">
        <v>3</v>
      </c>
      <c r="F36" s="12">
        <v>8.61</v>
      </c>
      <c r="G36" s="12">
        <v>0.38</v>
      </c>
      <c r="H36" s="12">
        <v>0.1</v>
      </c>
      <c r="I36" s="523"/>
      <c r="J36" s="537" t="s">
        <v>5</v>
      </c>
      <c r="K36" s="111"/>
      <c r="L36" s="81"/>
      <c r="M36" s="111"/>
    </row>
    <row r="37" spans="1:13" s="525" customFormat="1" ht="16.5" hidden="1" customHeight="1">
      <c r="A37" s="81"/>
      <c r="B37" s="262" t="s">
        <v>1805</v>
      </c>
      <c r="C37" s="515">
        <v>1</v>
      </c>
      <c r="D37" s="553" t="s">
        <v>265</v>
      </c>
      <c r="E37" s="534">
        <v>2</v>
      </c>
      <c r="F37" s="12">
        <v>4.7300000000000004</v>
      </c>
      <c r="G37" s="12">
        <v>0.38</v>
      </c>
      <c r="H37" s="12">
        <v>0.1</v>
      </c>
      <c r="I37" s="523"/>
      <c r="J37" s="537" t="s">
        <v>5</v>
      </c>
      <c r="K37" s="111"/>
      <c r="L37" s="81"/>
      <c r="M37" s="111"/>
    </row>
    <row r="38" spans="1:13" s="525" customFormat="1" ht="16.5" hidden="1" customHeight="1">
      <c r="A38" s="81"/>
      <c r="B38" s="262" t="s">
        <v>564</v>
      </c>
      <c r="C38" s="515">
        <v>1</v>
      </c>
      <c r="D38" s="553" t="s">
        <v>265</v>
      </c>
      <c r="E38" s="534">
        <v>2</v>
      </c>
      <c r="F38" s="12">
        <v>1.2</v>
      </c>
      <c r="G38" s="12">
        <v>0.38</v>
      </c>
      <c r="H38" s="12">
        <v>0.1</v>
      </c>
      <c r="I38" s="523"/>
      <c r="J38" s="537" t="s">
        <v>5</v>
      </c>
      <c r="K38" s="111"/>
      <c r="L38" s="81"/>
      <c r="M38" s="111"/>
    </row>
    <row r="39" spans="1:13" s="525" customFormat="1" ht="16.5" customHeight="1">
      <c r="A39" s="81"/>
      <c r="B39" s="262" t="s">
        <v>741</v>
      </c>
      <c r="C39" s="515">
        <v>1</v>
      </c>
      <c r="D39" s="553" t="s">
        <v>265</v>
      </c>
      <c r="E39" s="534">
        <v>1</v>
      </c>
      <c r="F39" s="12">
        <v>6.25</v>
      </c>
      <c r="G39" s="12">
        <v>5</v>
      </c>
      <c r="H39" s="12">
        <v>0.1</v>
      </c>
      <c r="I39" s="523">
        <f>ROUND(IF(AND(F39:H39),C39*E39*F39*G39*H39,IF(AND(F39,G39),C39*E39*F39*G39,IF(AND(F39,H39),C39*E39*F39*H39,IF(AND(G39,H39),C39*E39*G39*H39,IF(F39,C39*E39*F39,IF(G39,C39*E39*G39,IF(H39,C39*E39*H39,C39*E39))))))),2)</f>
        <v>3.13</v>
      </c>
      <c r="J39" s="537" t="s">
        <v>5</v>
      </c>
      <c r="K39" s="111"/>
      <c r="L39" s="81"/>
      <c r="M39" s="111"/>
    </row>
    <row r="40" spans="1:13" s="525" customFormat="1" ht="16.5" customHeight="1">
      <c r="A40" s="81"/>
      <c r="B40" s="262" t="s">
        <v>2325</v>
      </c>
      <c r="C40" s="515">
        <v>1</v>
      </c>
      <c r="D40" s="553" t="s">
        <v>265</v>
      </c>
      <c r="E40" s="534">
        <v>1</v>
      </c>
      <c r="F40" s="12">
        <v>1.6</v>
      </c>
      <c r="G40" s="12">
        <v>5</v>
      </c>
      <c r="H40" s="12">
        <v>0.1</v>
      </c>
      <c r="I40" s="523">
        <f t="shared" ref="I40:I43" si="6">ROUND(IF(AND(F40:H40),C40*E40*F40*G40*H40,IF(AND(F40,G40),C40*E40*F40*G40,IF(AND(F40,H40),C40*E40*F40*H40,IF(AND(G40,H40),C40*E40*G40*H40,IF(F40,C40*E40*F40,IF(G40,C40*E40*G40,IF(H40,C40*E40*H40,C40*E40))))))),2)</f>
        <v>0.8</v>
      </c>
      <c r="J40" s="537" t="s">
        <v>5</v>
      </c>
      <c r="K40" s="111"/>
      <c r="L40" s="81"/>
      <c r="M40" s="111"/>
    </row>
    <row r="41" spans="1:13" s="525" customFormat="1" ht="16.5" customHeight="1">
      <c r="A41" s="81"/>
      <c r="B41" s="262" t="s">
        <v>564</v>
      </c>
      <c r="C41" s="515">
        <v>1</v>
      </c>
      <c r="D41" s="553" t="s">
        <v>265</v>
      </c>
      <c r="E41" s="534">
        <v>1</v>
      </c>
      <c r="F41" s="12">
        <v>1.35</v>
      </c>
      <c r="G41" s="12">
        <v>8.08</v>
      </c>
      <c r="H41" s="12">
        <v>0.1</v>
      </c>
      <c r="I41" s="523">
        <f t="shared" si="6"/>
        <v>1.0900000000000001</v>
      </c>
      <c r="J41" s="537" t="s">
        <v>5</v>
      </c>
      <c r="K41" s="111"/>
      <c r="L41" s="81"/>
      <c r="M41" s="111"/>
    </row>
    <row r="42" spans="1:13" s="525" customFormat="1" ht="16.5" customHeight="1">
      <c r="A42" s="81"/>
      <c r="B42" s="262" t="s">
        <v>306</v>
      </c>
      <c r="C42" s="515">
        <v>1</v>
      </c>
      <c r="D42" s="541" t="s">
        <v>265</v>
      </c>
      <c r="E42" s="534">
        <v>1</v>
      </c>
      <c r="F42" s="12">
        <v>1.1499999999999999</v>
      </c>
      <c r="G42" s="12">
        <v>1.2</v>
      </c>
      <c r="H42" s="12">
        <v>0.1</v>
      </c>
      <c r="I42" s="523">
        <f t="shared" si="6"/>
        <v>0.14000000000000001</v>
      </c>
      <c r="J42" s="524" t="s">
        <v>5</v>
      </c>
      <c r="K42" s="111"/>
      <c r="L42" s="81"/>
      <c r="M42" s="111"/>
    </row>
    <row r="43" spans="1:13" s="525" customFormat="1" ht="16.5" customHeight="1">
      <c r="A43" s="81"/>
      <c r="B43" s="262"/>
      <c r="C43" s="515">
        <v>1</v>
      </c>
      <c r="D43" s="541" t="s">
        <v>265</v>
      </c>
      <c r="E43" s="534">
        <v>1</v>
      </c>
      <c r="F43" s="12">
        <v>2.95</v>
      </c>
      <c r="G43" s="12">
        <v>0.97</v>
      </c>
      <c r="H43" s="12">
        <v>0.1</v>
      </c>
      <c r="I43" s="523">
        <f t="shared" si="6"/>
        <v>0.28999999999999998</v>
      </c>
      <c r="J43" s="524" t="s">
        <v>5</v>
      </c>
      <c r="K43" s="111"/>
      <c r="L43" s="81"/>
      <c r="M43" s="111"/>
    </row>
    <row r="44" spans="1:13" s="525" customFormat="1" ht="16.5" customHeight="1">
      <c r="A44" s="81"/>
      <c r="B44" s="526"/>
      <c r="C44" s="527"/>
      <c r="D44" s="528"/>
      <c r="E44" s="529"/>
      <c r="F44" s="530"/>
      <c r="G44" s="530"/>
      <c r="H44" s="530"/>
      <c r="I44" s="531"/>
      <c r="J44" s="524"/>
      <c r="K44" s="111"/>
      <c r="L44" s="517"/>
      <c r="M44" s="111"/>
    </row>
    <row r="45" spans="1:13">
      <c r="A45" s="81"/>
      <c r="B45" s="111"/>
      <c r="C45" s="112"/>
      <c r="D45" s="533"/>
      <c r="E45" s="534"/>
      <c r="F45" s="113"/>
      <c r="G45" s="539"/>
      <c r="H45" s="81"/>
      <c r="I45" s="531">
        <f>SUM(I35:I44)</f>
        <v>5.4499999999999993</v>
      </c>
      <c r="J45" s="532" t="s">
        <v>5</v>
      </c>
      <c r="K45" s="12">
        <f>'DATA 2024-25'!G121</f>
        <v>5252.57</v>
      </c>
      <c r="L45" s="517" t="s">
        <v>266</v>
      </c>
      <c r="M45" s="11">
        <f>ROUND(I45*K45,0)</f>
        <v>28627</v>
      </c>
    </row>
    <row r="46" spans="1:13" ht="57" hidden="1" customHeight="1">
      <c r="A46" s="81">
        <v>4</v>
      </c>
      <c r="B46" s="910" t="s">
        <v>67</v>
      </c>
      <c r="C46" s="910"/>
      <c r="D46" s="910"/>
      <c r="E46" s="910"/>
      <c r="F46" s="910"/>
      <c r="G46" s="910"/>
      <c r="H46" s="910"/>
      <c r="I46" s="515"/>
      <c r="J46" s="516"/>
      <c r="K46" s="81"/>
      <c r="L46" s="517"/>
      <c r="M46" s="110"/>
    </row>
    <row r="47" spans="1:13" s="525" customFormat="1" ht="16.5" hidden="1" customHeight="1">
      <c r="A47" s="81"/>
      <c r="B47" s="542" t="s">
        <v>1786</v>
      </c>
      <c r="C47" s="543">
        <v>1</v>
      </c>
      <c r="D47" s="544" t="s">
        <v>265</v>
      </c>
      <c r="E47" s="92">
        <v>1</v>
      </c>
      <c r="F47" s="545">
        <v>27.98</v>
      </c>
      <c r="G47" s="545">
        <v>0.75</v>
      </c>
      <c r="H47" s="545">
        <v>0.15</v>
      </c>
      <c r="I47" s="546">
        <f t="shared" ref="I47:I50" si="7">ROUND(IF(AND(F47:H47),C47*E47*F47*G47*H47,IF(AND(F47,G47),C47*E47*F47*G47,IF(AND(F47,H47),C47*E47*F47*H47,IF(AND(G47,H47),C47*E47*G47*H47,IF(F47,C47*E47*F47,IF(G47,C47*E47*G47,IF(H47,C47*E47*H47,C47*E47))))))),2)</f>
        <v>3.15</v>
      </c>
      <c r="J47" s="532" t="s">
        <v>5</v>
      </c>
      <c r="K47" s="111"/>
      <c r="L47" s="517"/>
      <c r="M47" s="111"/>
    </row>
    <row r="48" spans="1:13" s="525" customFormat="1" ht="16.5" hidden="1" customHeight="1">
      <c r="A48" s="81"/>
      <c r="B48" s="542" t="s">
        <v>1787</v>
      </c>
      <c r="C48" s="543">
        <v>1</v>
      </c>
      <c r="D48" s="544" t="s">
        <v>265</v>
      </c>
      <c r="E48" s="92">
        <v>8</v>
      </c>
      <c r="F48" s="545">
        <v>2.1</v>
      </c>
      <c r="G48" s="545">
        <v>0.75</v>
      </c>
      <c r="H48" s="545">
        <v>0.15</v>
      </c>
      <c r="I48" s="546">
        <f>-ROUND(IF(AND(F48:H48),C48*E48*F48*G48*H48,IF(AND(F48,G48),C48*E48*F48*G48,IF(AND(F48,H48),C48*E48*F48*H48,IF(AND(G48,H48),C48*E48*G48*H48,IF(F48,C48*E48*F48,IF(G48,C48*E48*G48,IF(H48,C48*E48*H48,C48*E48))))))),2)</f>
        <v>-1.89</v>
      </c>
      <c r="J48" s="532" t="s">
        <v>5</v>
      </c>
      <c r="K48" s="111"/>
      <c r="L48" s="517"/>
      <c r="M48" s="111"/>
    </row>
    <row r="49" spans="1:13" s="525" customFormat="1" ht="16.5" hidden="1" customHeight="1">
      <c r="A49" s="81"/>
      <c r="B49" s="542" t="s">
        <v>1789</v>
      </c>
      <c r="C49" s="543"/>
      <c r="D49" s="544"/>
      <c r="E49" s="92"/>
      <c r="F49" s="545"/>
      <c r="G49" s="545"/>
      <c r="H49" s="545"/>
      <c r="I49" s="546"/>
      <c r="J49" s="532"/>
      <c r="K49" s="111"/>
      <c r="L49" s="517"/>
      <c r="M49" s="111"/>
    </row>
    <row r="50" spans="1:13" s="525" customFormat="1" ht="16.5" hidden="1" customHeight="1">
      <c r="A50" s="81"/>
      <c r="B50" s="542" t="s">
        <v>1790</v>
      </c>
      <c r="C50" s="543">
        <v>1</v>
      </c>
      <c r="D50" s="544" t="s">
        <v>265</v>
      </c>
      <c r="E50" s="92">
        <v>2</v>
      </c>
      <c r="F50" s="545">
        <v>5.2600000000000007</v>
      </c>
      <c r="G50" s="545">
        <v>0.38</v>
      </c>
      <c r="H50" s="545">
        <v>0.15</v>
      </c>
      <c r="I50" s="546">
        <f t="shared" si="7"/>
        <v>0.6</v>
      </c>
      <c r="J50" s="532" t="s">
        <v>5</v>
      </c>
      <c r="K50" s="111"/>
      <c r="L50" s="517"/>
      <c r="M50" s="111"/>
    </row>
    <row r="51" spans="1:13" s="525" customFormat="1" ht="16.5" hidden="1" customHeight="1">
      <c r="A51" s="81"/>
      <c r="B51" s="542" t="s">
        <v>1791</v>
      </c>
      <c r="C51" s="543">
        <v>1</v>
      </c>
      <c r="D51" s="544" t="s">
        <v>265</v>
      </c>
      <c r="E51" s="92">
        <v>1</v>
      </c>
      <c r="F51" s="545">
        <v>0.23</v>
      </c>
      <c r="G51" s="545">
        <v>0.38</v>
      </c>
      <c r="H51" s="545">
        <v>0.15</v>
      </c>
      <c r="I51" s="546">
        <f>-ROUND(IF(AND(F51:H51),C51*E51*F51*G51*H51,IF(AND(F51,G51),C51*E51*F51*G51,IF(AND(F51,H51),C51*E51*F51*H51,IF(AND(G51,H51),C51*E51*G51*H51,IF(F51,C51*E51*F51,IF(G51,C51*E51*G51,IF(H51,C51*E51*H51,C51*E51))))))),2)</f>
        <v>-0.01</v>
      </c>
      <c r="J51" s="532" t="s">
        <v>5</v>
      </c>
      <c r="K51" s="111"/>
      <c r="L51" s="517"/>
      <c r="M51" s="111"/>
    </row>
    <row r="52" spans="1:13" s="525" customFormat="1" ht="16.5" hidden="1" customHeight="1">
      <c r="A52" s="81"/>
      <c r="B52" s="542" t="s">
        <v>1792</v>
      </c>
      <c r="C52" s="547"/>
      <c r="D52" s="548"/>
      <c r="E52" s="549"/>
      <c r="F52" s="550"/>
      <c r="G52" s="550"/>
      <c r="H52" s="551"/>
      <c r="I52" s="552"/>
      <c r="J52" s="532"/>
      <c r="K52" s="111"/>
      <c r="L52" s="517"/>
      <c r="M52" s="111"/>
    </row>
    <row r="53" spans="1:13" s="525" customFormat="1" ht="16.5" hidden="1" customHeight="1">
      <c r="A53" s="81"/>
      <c r="B53" s="526" t="s">
        <v>741</v>
      </c>
      <c r="C53" s="527">
        <v>1</v>
      </c>
      <c r="D53" s="528" t="s">
        <v>265</v>
      </c>
      <c r="E53" s="529">
        <v>1</v>
      </c>
      <c r="F53" s="530">
        <v>5.48</v>
      </c>
      <c r="G53" s="530">
        <v>8.0499999999999989</v>
      </c>
      <c r="H53" s="530">
        <v>0.1</v>
      </c>
      <c r="I53" s="531">
        <f t="shared" ref="I53" si="8">ROUND(IF(AND(F53:H53),C53*E53*F53*G53*H53,IF(AND(F53,G53),C53*E53*F53*G53,IF(AND(F53,H53),C53*E53*F53*H53,IF(AND(G53,H53),C53*E53*G53*H53,IF(F53,C53*E53*F53,IF(G53,C53*E53*G53,IF(H53,C53*E53*H53,C53*E53))))))),2)</f>
        <v>4.41</v>
      </c>
      <c r="J53" s="532" t="s">
        <v>5</v>
      </c>
      <c r="K53" s="111"/>
      <c r="L53" s="517"/>
      <c r="M53" s="111"/>
    </row>
    <row r="54" spans="1:13" s="525" customFormat="1" ht="16.5" hidden="1" customHeight="1">
      <c r="A54" s="81"/>
      <c r="B54" s="526" t="s">
        <v>1788</v>
      </c>
      <c r="C54" s="527">
        <v>1</v>
      </c>
      <c r="D54" s="528" t="s">
        <v>265</v>
      </c>
      <c r="E54" s="529">
        <v>2</v>
      </c>
      <c r="F54" s="530">
        <v>5.48</v>
      </c>
      <c r="G54" s="530">
        <v>0.23</v>
      </c>
      <c r="H54" s="530">
        <v>0.1</v>
      </c>
      <c r="I54" s="546">
        <f>-ROUND(IF(AND(F54:H54),C54*E54*F54*G54*H54,IF(AND(F54,G54),C54*E54*F54*G54,IF(AND(F54,H54),C54*E54*F54*H54,IF(AND(G54,H54),C54*E54*G54*H54,IF(F54,C54*E54*F54,IF(G54,C54*E54*G54,IF(H54,C54*E54*H54,C54*E54))))))),2)</f>
        <v>-0.25</v>
      </c>
      <c r="J54" s="532" t="s">
        <v>5</v>
      </c>
      <c r="K54" s="111"/>
      <c r="L54" s="517"/>
      <c r="M54" s="111"/>
    </row>
    <row r="55" spans="1:13" s="525" customFormat="1" ht="16.5" hidden="1" customHeight="1">
      <c r="A55" s="81"/>
      <c r="B55" s="526"/>
      <c r="C55" s="527"/>
      <c r="D55" s="528"/>
      <c r="E55" s="529"/>
      <c r="F55" s="530"/>
      <c r="G55" s="530"/>
      <c r="H55" s="530"/>
      <c r="I55" s="531"/>
      <c r="J55" s="532"/>
      <c r="K55" s="111"/>
      <c r="L55" s="517"/>
      <c r="M55" s="111"/>
    </row>
    <row r="56" spans="1:13" hidden="1">
      <c r="A56" s="81"/>
      <c r="B56" s="111"/>
      <c r="C56" s="112"/>
      <c r="D56" s="533"/>
      <c r="E56" s="534"/>
      <c r="F56" s="113"/>
      <c r="G56" s="539"/>
      <c r="H56" s="81"/>
      <c r="I56" s="531"/>
      <c r="J56" s="532" t="s">
        <v>5</v>
      </c>
      <c r="K56" s="12">
        <f>'DATA 2024-25'!G133</f>
        <v>4486.4399999999996</v>
      </c>
      <c r="L56" s="517" t="s">
        <v>266</v>
      </c>
      <c r="M56" s="11">
        <f>ROUND(I56*K56,0)</f>
        <v>0</v>
      </c>
    </row>
    <row r="57" spans="1:13" ht="43.5" hidden="1" customHeight="1">
      <c r="A57" s="81">
        <v>4</v>
      </c>
      <c r="B57" s="910" t="s">
        <v>1825</v>
      </c>
      <c r="C57" s="910"/>
      <c r="D57" s="910"/>
      <c r="E57" s="910"/>
      <c r="F57" s="910"/>
      <c r="G57" s="910"/>
      <c r="H57" s="910"/>
      <c r="I57" s="515"/>
      <c r="J57" s="516"/>
      <c r="K57" s="81"/>
      <c r="L57" s="517"/>
      <c r="M57" s="110"/>
    </row>
    <row r="58" spans="1:13" s="525" customFormat="1" ht="16.5" hidden="1" customHeight="1">
      <c r="A58" s="81"/>
      <c r="B58" s="111" t="s">
        <v>1826</v>
      </c>
      <c r="C58" s="515"/>
      <c r="D58" s="553"/>
      <c r="E58" s="534"/>
      <c r="F58" s="113"/>
      <c r="G58" s="113"/>
      <c r="H58" s="113"/>
      <c r="I58" s="554"/>
      <c r="J58" s="555"/>
      <c r="K58" s="111"/>
      <c r="L58" s="81"/>
      <c r="M58" s="111"/>
    </row>
    <row r="59" spans="1:13" s="525" customFormat="1" ht="16.5" hidden="1" customHeight="1">
      <c r="A59" s="81"/>
      <c r="B59" s="111"/>
      <c r="C59" s="515">
        <v>1</v>
      </c>
      <c r="D59" s="553" t="s">
        <v>265</v>
      </c>
      <c r="E59" s="534">
        <v>1</v>
      </c>
      <c r="F59" s="113">
        <v>7.41</v>
      </c>
      <c r="G59" s="113">
        <v>9.08</v>
      </c>
      <c r="H59" s="113">
        <v>0.9</v>
      </c>
      <c r="I59" s="523">
        <f t="shared" ref="I59" si="9">ROUND(IF(AND(F59:H59),C59*E59*F59*G59*H59,IF(AND(F59,G59),C59*E59*F59*G59,IF(AND(F59,H59),C59*E59*F59*H59,IF(AND(G59,H59),C59*E59*G59*H59,IF(F59,C59*E59*F59,IF(G59,C59*E59*G59,IF(H59,C59*E59*H59,C59*E59))))))),2)</f>
        <v>60.55</v>
      </c>
      <c r="J59" s="524" t="s">
        <v>5</v>
      </c>
      <c r="K59" s="111"/>
      <c r="L59" s="81"/>
      <c r="M59" s="111"/>
    </row>
    <row r="60" spans="1:13" s="525" customFormat="1" ht="16.5" hidden="1" customHeight="1">
      <c r="A60" s="81"/>
      <c r="B60" s="111"/>
      <c r="C60" s="515">
        <v>1</v>
      </c>
      <c r="D60" s="553" t="s">
        <v>265</v>
      </c>
      <c r="E60" s="534">
        <v>2</v>
      </c>
      <c r="F60" s="113">
        <v>0.23</v>
      </c>
      <c r="G60" s="113">
        <v>0.38</v>
      </c>
      <c r="H60" s="113">
        <v>0.9</v>
      </c>
      <c r="I60" s="523">
        <f>-ROUND(IF(AND(F60:H60),C60*E60*F60*G60*H60,IF(AND(F60,G60),C60*E60*F60*G60,IF(AND(F60,H60),C60*E60*F60*H60,IF(AND(G60,H60),C60*E60*G60*H60,IF(F60,C60*E60*F60,IF(G60,C60*E60*G60,IF(H60,C60*E60*H60,C60*E60))))))),2)</f>
        <v>-0.16</v>
      </c>
      <c r="J60" s="524" t="s">
        <v>5</v>
      </c>
      <c r="K60" s="111"/>
      <c r="L60" s="81"/>
      <c r="M60" s="111"/>
    </row>
    <row r="61" spans="1:13" s="525" customFormat="1" ht="16.5" hidden="1" customHeight="1">
      <c r="A61" s="81"/>
      <c r="B61" s="526"/>
      <c r="C61" s="527"/>
      <c r="D61" s="528"/>
      <c r="E61" s="529"/>
      <c r="F61" s="530"/>
      <c r="G61" s="530"/>
      <c r="H61" s="530"/>
      <c r="I61" s="531"/>
      <c r="J61" s="532"/>
      <c r="K61" s="111"/>
      <c r="L61" s="517"/>
      <c r="M61" s="111"/>
    </row>
    <row r="62" spans="1:13" hidden="1">
      <c r="A62" s="81"/>
      <c r="B62" s="111"/>
      <c r="C62" s="112"/>
      <c r="D62" s="533"/>
      <c r="E62" s="534"/>
      <c r="F62" s="113"/>
      <c r="G62" s="539"/>
      <c r="H62" s="81"/>
      <c r="I62" s="531"/>
      <c r="J62" s="532" t="s">
        <v>5</v>
      </c>
      <c r="K62" s="12">
        <f>'DATA 2024-25'!G91</f>
        <v>440.28</v>
      </c>
      <c r="L62" s="517" t="s">
        <v>266</v>
      </c>
      <c r="M62" s="11">
        <f>ROUND(I62*K62,0)</f>
        <v>0</v>
      </c>
    </row>
    <row r="63" spans="1:13" ht="43.5" hidden="1" customHeight="1">
      <c r="A63" s="81">
        <v>4</v>
      </c>
      <c r="B63" s="910" t="s">
        <v>638</v>
      </c>
      <c r="C63" s="910"/>
      <c r="D63" s="910"/>
      <c r="E63" s="910"/>
      <c r="F63" s="910"/>
      <c r="G63" s="910"/>
      <c r="H63" s="910"/>
      <c r="I63" s="515"/>
      <c r="J63" s="516"/>
      <c r="K63" s="81"/>
      <c r="L63" s="517"/>
      <c r="M63" s="110"/>
    </row>
    <row r="64" spans="1:13" s="525" customFormat="1" ht="16.5" hidden="1" customHeight="1">
      <c r="A64" s="81"/>
      <c r="B64" s="542" t="s">
        <v>637</v>
      </c>
      <c r="C64" s="547"/>
      <c r="D64" s="548"/>
      <c r="E64" s="549"/>
      <c r="F64" s="550"/>
      <c r="G64" s="550"/>
      <c r="H64" s="551"/>
      <c r="I64" s="552"/>
      <c r="J64" s="532"/>
      <c r="K64" s="111"/>
      <c r="L64" s="517"/>
      <c r="M64" s="111"/>
    </row>
    <row r="65" spans="1:13" s="525" customFormat="1" ht="16.5" hidden="1" customHeight="1">
      <c r="A65" s="81"/>
      <c r="B65" s="526" t="s">
        <v>639</v>
      </c>
      <c r="C65" s="527">
        <v>1</v>
      </c>
      <c r="D65" s="528" t="s">
        <v>265</v>
      </c>
      <c r="E65" s="529">
        <v>1</v>
      </c>
      <c r="F65" s="530">
        <v>2.72</v>
      </c>
      <c r="G65" s="530">
        <v>0.77</v>
      </c>
      <c r="H65" s="530">
        <v>1.25</v>
      </c>
      <c r="I65" s="531">
        <f t="shared" ref="I65" si="10">ROUND(IF(AND(F65:H65),C65*E65*F65*G65*H65,IF(AND(F65,G65),C65*E65*F65*G65,IF(AND(F65,H65),C65*E65*F65*H65,IF(AND(G65,H65),C65*E65*G65*H65,IF(F65,C65*E65*F65,IF(G65,C65*E65*G65,IF(H65,C65*E65*H65,C65*E65))))))),2)</f>
        <v>2.62</v>
      </c>
      <c r="J65" s="532" t="s">
        <v>5</v>
      </c>
      <c r="K65" s="111"/>
      <c r="L65" s="517"/>
      <c r="M65" s="111"/>
    </row>
    <row r="66" spans="1:13" s="525" customFormat="1" ht="16.5" hidden="1" customHeight="1">
      <c r="A66" s="81"/>
      <c r="B66" s="526" t="s">
        <v>636</v>
      </c>
      <c r="C66" s="527">
        <v>1</v>
      </c>
      <c r="D66" s="528" t="s">
        <v>265</v>
      </c>
      <c r="E66" s="529">
        <v>1</v>
      </c>
      <c r="F66" s="530">
        <v>3.16</v>
      </c>
      <c r="G66" s="530">
        <v>1.27</v>
      </c>
      <c r="H66" s="530">
        <f>(0.1+0.77)/2</f>
        <v>0.435</v>
      </c>
      <c r="I66" s="531">
        <f t="shared" ref="I66:I70" si="11">ROUND(IF(AND(F66:H66),C66*E66*F66*G66*H66,IF(AND(F66,G66),C66*E66*F66*G66,IF(AND(F66,H66),C66*E66*F66*H66,IF(AND(G66,H66),C66*E66*G66*H66,IF(F66,C66*E66*F66,IF(G66,C66*E66*G66,IF(H66,C66*E66*H66,C66*E66))))))),2)</f>
        <v>1.75</v>
      </c>
      <c r="J66" s="532" t="s">
        <v>5</v>
      </c>
      <c r="K66" s="111"/>
      <c r="L66" s="517"/>
      <c r="M66" s="111"/>
    </row>
    <row r="67" spans="1:13" s="525" customFormat="1" ht="16.5" hidden="1" customHeight="1">
      <c r="A67" s="81"/>
      <c r="B67" s="526" t="s">
        <v>640</v>
      </c>
      <c r="C67" s="527">
        <v>1</v>
      </c>
      <c r="D67" s="528" t="s">
        <v>265</v>
      </c>
      <c r="E67" s="529">
        <v>1</v>
      </c>
      <c r="F67" s="530">
        <v>0.77</v>
      </c>
      <c r="G67" s="530">
        <v>1.27</v>
      </c>
      <c r="H67" s="530">
        <v>0.5</v>
      </c>
      <c r="I67" s="531">
        <f t="shared" si="11"/>
        <v>0.49</v>
      </c>
      <c r="J67" s="532" t="s">
        <v>5</v>
      </c>
      <c r="K67" s="111"/>
      <c r="L67" s="517"/>
      <c r="M67" s="111"/>
    </row>
    <row r="68" spans="1:13" s="525" customFormat="1" ht="16.5" hidden="1" customHeight="1">
      <c r="A68" s="81"/>
      <c r="B68" s="526" t="s">
        <v>641</v>
      </c>
      <c r="C68" s="527">
        <v>1</v>
      </c>
      <c r="D68" s="528" t="s">
        <v>265</v>
      </c>
      <c r="E68" s="529">
        <v>1</v>
      </c>
      <c r="F68" s="530">
        <v>4.99</v>
      </c>
      <c r="G68" s="530">
        <v>2.2000000000000002</v>
      </c>
      <c r="H68" s="530">
        <v>1.05</v>
      </c>
      <c r="I68" s="531">
        <f t="shared" si="11"/>
        <v>11.53</v>
      </c>
      <c r="J68" s="532" t="s">
        <v>5</v>
      </c>
      <c r="K68" s="111"/>
      <c r="L68" s="517"/>
      <c r="M68" s="111"/>
    </row>
    <row r="69" spans="1:13" s="525" customFormat="1" ht="16.5" hidden="1" customHeight="1">
      <c r="A69" s="81"/>
      <c r="B69" s="526" t="s">
        <v>642</v>
      </c>
      <c r="C69" s="527">
        <v>1</v>
      </c>
      <c r="D69" s="528" t="s">
        <v>265</v>
      </c>
      <c r="E69" s="529">
        <v>1</v>
      </c>
      <c r="F69" s="530">
        <v>2.89</v>
      </c>
      <c r="G69" s="530">
        <v>1.17</v>
      </c>
      <c r="H69" s="530">
        <v>0.9</v>
      </c>
      <c r="I69" s="531">
        <f t="shared" si="11"/>
        <v>3.04</v>
      </c>
      <c r="J69" s="532" t="s">
        <v>5</v>
      </c>
      <c r="K69" s="111"/>
      <c r="L69" s="517"/>
      <c r="M69" s="111"/>
    </row>
    <row r="70" spans="1:13" s="525" customFormat="1" ht="16.5" hidden="1" customHeight="1">
      <c r="A70" s="81"/>
      <c r="B70" s="526" t="s">
        <v>643</v>
      </c>
      <c r="C70" s="527">
        <v>1</v>
      </c>
      <c r="D70" s="528" t="s">
        <v>265</v>
      </c>
      <c r="E70" s="529">
        <v>1</v>
      </c>
      <c r="F70" s="530">
        <v>1.72</v>
      </c>
      <c r="G70" s="530">
        <v>1.17</v>
      </c>
      <c r="H70" s="530">
        <f>(0.2+0.9)/2</f>
        <v>0.55000000000000004</v>
      </c>
      <c r="I70" s="531">
        <f t="shared" si="11"/>
        <v>1.1100000000000001</v>
      </c>
      <c r="J70" s="532" t="s">
        <v>5</v>
      </c>
      <c r="K70" s="111"/>
      <c r="L70" s="517"/>
      <c r="M70" s="111"/>
    </row>
    <row r="71" spans="1:13" s="525" customFormat="1" ht="16.5" hidden="1" customHeight="1">
      <c r="A71" s="81"/>
      <c r="B71" s="526"/>
      <c r="C71" s="527"/>
      <c r="D71" s="528"/>
      <c r="E71" s="529"/>
      <c r="F71" s="530"/>
      <c r="G71" s="530"/>
      <c r="H71" s="530"/>
      <c r="I71" s="531"/>
      <c r="J71" s="532"/>
      <c r="K71" s="111"/>
      <c r="L71" s="517"/>
      <c r="M71" s="111"/>
    </row>
    <row r="72" spans="1:13" hidden="1">
      <c r="A72" s="81"/>
      <c r="B72" s="111"/>
      <c r="C72" s="112"/>
      <c r="D72" s="533"/>
      <c r="E72" s="534"/>
      <c r="F72" s="113"/>
      <c r="G72" s="539"/>
      <c r="H72" s="81"/>
      <c r="I72" s="531"/>
      <c r="J72" s="532" t="s">
        <v>5</v>
      </c>
      <c r="K72" s="12">
        <f>'DATA 2024-25'!G99</f>
        <v>461.28</v>
      </c>
      <c r="L72" s="517" t="s">
        <v>266</v>
      </c>
      <c r="M72" s="11">
        <f>ROUND(I72*K72,0)</f>
        <v>0</v>
      </c>
    </row>
    <row r="73" spans="1:13" ht="70.5" customHeight="1">
      <c r="A73" s="81">
        <v>2</v>
      </c>
      <c r="B73" s="910" t="s">
        <v>55</v>
      </c>
      <c r="C73" s="910"/>
      <c r="D73" s="910"/>
      <c r="E73" s="910"/>
      <c r="F73" s="910"/>
      <c r="G73" s="910"/>
      <c r="H73" s="910"/>
      <c r="I73" s="515"/>
      <c r="J73" s="516"/>
      <c r="K73" s="81"/>
      <c r="L73" s="517"/>
      <c r="M73" s="110"/>
    </row>
    <row r="74" spans="1:13" s="525" customFormat="1" ht="16.5" hidden="1" customHeight="1">
      <c r="A74" s="81"/>
      <c r="B74" s="538"/>
      <c r="C74" s="540"/>
      <c r="D74" s="541" t="s">
        <v>265</v>
      </c>
      <c r="E74" s="556">
        <v>1</v>
      </c>
      <c r="F74" s="536">
        <v>6.25</v>
      </c>
      <c r="G74" s="536">
        <v>5</v>
      </c>
      <c r="H74" s="536">
        <v>0.95</v>
      </c>
      <c r="I74" s="523">
        <f t="shared" ref="I74:I76" si="12">ROUND(IF(AND(F74:H74),C74*E74*F74*G74*H74,IF(AND(F74,G74),C74*E74*F74*G74,IF(AND(F74,H74),C74*E74*F74*H74,IF(AND(G74,H74),C74*E74*G74*H74,IF(F74,C74*E74*F74,IF(G74,C74*E74*G74,IF(H74,C74*E74*H74,C74*E74))))))),2)</f>
        <v>0</v>
      </c>
      <c r="J74" s="537" t="s">
        <v>5</v>
      </c>
      <c r="K74" s="111"/>
      <c r="L74" s="81"/>
      <c r="M74" s="111"/>
    </row>
    <row r="75" spans="1:13" s="525" customFormat="1" ht="16.5" hidden="1" customHeight="1">
      <c r="A75" s="81"/>
      <c r="B75" s="538"/>
      <c r="C75" s="540"/>
      <c r="D75" s="541" t="s">
        <v>265</v>
      </c>
      <c r="E75" s="556">
        <v>1</v>
      </c>
      <c r="F75" s="536">
        <v>1.6</v>
      </c>
      <c r="G75" s="536">
        <v>5</v>
      </c>
      <c r="H75" s="536">
        <v>0.95</v>
      </c>
      <c r="I75" s="523">
        <f t="shared" si="12"/>
        <v>0</v>
      </c>
      <c r="J75" s="537" t="s">
        <v>5</v>
      </c>
      <c r="K75" s="111"/>
      <c r="L75" s="81"/>
      <c r="M75" s="111"/>
    </row>
    <row r="76" spans="1:13" s="525" customFormat="1" ht="16.5" hidden="1" customHeight="1">
      <c r="A76" s="81"/>
      <c r="B76" s="538"/>
      <c r="C76" s="540"/>
      <c r="D76" s="541" t="s">
        <v>265</v>
      </c>
      <c r="E76" s="556">
        <v>1</v>
      </c>
      <c r="F76" s="536">
        <v>1.35</v>
      </c>
      <c r="G76" s="536">
        <v>8.08</v>
      </c>
      <c r="H76" s="536">
        <v>0.95</v>
      </c>
      <c r="I76" s="523">
        <f t="shared" si="12"/>
        <v>0</v>
      </c>
      <c r="J76" s="537" t="s">
        <v>5</v>
      </c>
      <c r="K76" s="111"/>
      <c r="L76" s="81"/>
      <c r="M76" s="111"/>
    </row>
    <row r="77" spans="1:13" s="525" customFormat="1" ht="16.5" hidden="1" customHeight="1">
      <c r="A77" s="81"/>
      <c r="B77" s="538"/>
      <c r="C77" s="540"/>
      <c r="D77" s="541" t="s">
        <v>265</v>
      </c>
      <c r="E77" s="556">
        <v>1</v>
      </c>
      <c r="F77" s="536">
        <v>1.5</v>
      </c>
      <c r="G77" s="536">
        <v>0.3</v>
      </c>
      <c r="H77" s="536">
        <v>0.3</v>
      </c>
      <c r="I77" s="523">
        <f>-ROUND(IF(AND(F77:H77),C77*E77*F77*G77*H77,IF(AND(F77,G77),C77*E77*F77*G77,IF(AND(F77,H77),C77*E77*F77*H77,IF(AND(G77,H77),C77*E77*G77*H77,IF(F77,C77*E77*F77,IF(G77,C77*E77*G77,IF(H77,C77*E77*H77,C77*E77))))))),2)</f>
        <v>0</v>
      </c>
      <c r="J77" s="537" t="s">
        <v>5</v>
      </c>
      <c r="K77" s="111"/>
      <c r="L77" s="81"/>
      <c r="M77" s="111"/>
    </row>
    <row r="78" spans="1:13" s="525" customFormat="1" ht="16.5" customHeight="1">
      <c r="A78" s="81"/>
      <c r="B78" s="538" t="s">
        <v>2328</v>
      </c>
      <c r="C78" s="540">
        <v>1</v>
      </c>
      <c r="D78" s="541" t="s">
        <v>265</v>
      </c>
      <c r="E78" s="556">
        <v>1</v>
      </c>
      <c r="F78" s="536">
        <v>1.1499999999999999</v>
      </c>
      <c r="G78" s="536">
        <v>0.97</v>
      </c>
      <c r="H78" s="536">
        <v>0.6</v>
      </c>
      <c r="I78" s="523">
        <f t="shared" ref="I78:I79" si="13">ROUND(IF(AND(F78:H78),C78*E78*F78*G78*H78,IF(AND(F78,G78),C78*E78*F78*G78,IF(AND(F78,H78),C78*E78*F78*H78,IF(AND(G78,H78),C78*E78*G78*H78,IF(F78,C78*E78*F78,IF(G78,C78*E78*G78,IF(H78,C78*E78*H78,C78*E78))))))),2)</f>
        <v>0.67</v>
      </c>
      <c r="J78" s="524" t="s">
        <v>5</v>
      </c>
      <c r="K78" s="111"/>
      <c r="L78" s="81"/>
      <c r="M78" s="111"/>
    </row>
    <row r="79" spans="1:13" s="525" customFormat="1" ht="16.5" customHeight="1">
      <c r="A79" s="81"/>
      <c r="B79" s="538" t="s">
        <v>2162</v>
      </c>
      <c r="C79" s="540">
        <v>1</v>
      </c>
      <c r="D79" s="541" t="s">
        <v>265</v>
      </c>
      <c r="E79" s="556">
        <v>1</v>
      </c>
      <c r="F79" s="536">
        <v>2.95</v>
      </c>
      <c r="G79" s="536">
        <v>0.97</v>
      </c>
      <c r="H79" s="536">
        <v>0.3</v>
      </c>
      <c r="I79" s="523">
        <f t="shared" si="13"/>
        <v>0.86</v>
      </c>
      <c r="J79" s="524" t="s">
        <v>5</v>
      </c>
      <c r="K79" s="111"/>
      <c r="L79" s="81"/>
      <c r="M79" s="111"/>
    </row>
    <row r="80" spans="1:13" s="525" customFormat="1" ht="16.5" customHeight="1">
      <c r="A80" s="81"/>
      <c r="B80" s="526"/>
      <c r="C80" s="527"/>
      <c r="D80" s="528"/>
      <c r="E80" s="529"/>
      <c r="F80" s="530"/>
      <c r="G80" s="530"/>
      <c r="H80" s="530"/>
      <c r="I80" s="531"/>
      <c r="J80" s="532"/>
      <c r="K80" s="111"/>
      <c r="L80" s="517"/>
      <c r="M80" s="111"/>
    </row>
    <row r="81" spans="1:13">
      <c r="A81" s="81"/>
      <c r="B81" s="111"/>
      <c r="C81" s="112"/>
      <c r="D81" s="533"/>
      <c r="E81" s="534"/>
      <c r="F81" s="113"/>
      <c r="G81" s="539"/>
      <c r="H81" s="81"/>
      <c r="I81" s="531">
        <f>SUM(I74:I80)</f>
        <v>1.53</v>
      </c>
      <c r="J81" s="532" t="s">
        <v>5</v>
      </c>
      <c r="K81" s="12">
        <f>'DATA 2024-25'!G83</f>
        <v>150.05000000000001</v>
      </c>
      <c r="L81" s="517" t="s">
        <v>266</v>
      </c>
      <c r="M81" s="11">
        <f>ROUND(I81*K81,0)</f>
        <v>230</v>
      </c>
    </row>
    <row r="82" spans="1:13" ht="30.75" hidden="1" customHeight="1">
      <c r="A82" s="81">
        <v>4</v>
      </c>
      <c r="B82" s="910" t="s">
        <v>277</v>
      </c>
      <c r="C82" s="910"/>
      <c r="D82" s="910"/>
      <c r="E82" s="910"/>
      <c r="F82" s="910"/>
      <c r="G82" s="910"/>
      <c r="H82" s="910"/>
      <c r="I82" s="515"/>
      <c r="J82" s="516"/>
      <c r="K82" s="81"/>
      <c r="L82" s="517"/>
      <c r="M82" s="110"/>
    </row>
    <row r="83" spans="1:13" s="525" customFormat="1" ht="16.5" hidden="1" customHeight="1">
      <c r="A83" s="81"/>
      <c r="B83" s="538" t="s">
        <v>2322</v>
      </c>
      <c r="C83" s="540">
        <v>1</v>
      </c>
      <c r="D83" s="541" t="s">
        <v>265</v>
      </c>
      <c r="E83" s="556">
        <v>12</v>
      </c>
      <c r="F83" s="536">
        <v>1.5</v>
      </c>
      <c r="G83" s="536">
        <v>1.5</v>
      </c>
      <c r="H83" s="536">
        <v>1.2</v>
      </c>
      <c r="I83" s="523">
        <f>ROUND(IF(AND(F83:H83),C83*E83*F83*G83*H83,IF(AND(F83,G83),C83*E83*F83*G83,IF(AND(F83,H83),C83*E83*F83*H83,IF(AND(G83,H83),C83*E83*G83*H83,IF(F83,C83*E83*F83,IF(G83,C83*E83*G83,IF(H83,C83*E83*H83,C83*E83))))))),2)</f>
        <v>32.4</v>
      </c>
      <c r="J83" s="537" t="s">
        <v>5</v>
      </c>
      <c r="K83" s="111"/>
      <c r="L83" s="81"/>
      <c r="M83" s="111"/>
    </row>
    <row r="84" spans="1:13" s="525" customFormat="1" ht="16.5" hidden="1" customHeight="1">
      <c r="A84" s="81"/>
      <c r="B84" s="538" t="s">
        <v>1797</v>
      </c>
      <c r="C84" s="540"/>
      <c r="D84" s="541"/>
      <c r="E84" s="556"/>
      <c r="F84" s="536"/>
      <c r="G84" s="536"/>
      <c r="H84" s="536"/>
      <c r="I84" s="523"/>
      <c r="J84" s="537"/>
      <c r="K84" s="111"/>
      <c r="L84" s="81"/>
      <c r="M84" s="111"/>
    </row>
    <row r="85" spans="1:13" s="525" customFormat="1" ht="16.5" hidden="1" customHeight="1">
      <c r="A85" s="81"/>
      <c r="B85" s="538" t="s">
        <v>239</v>
      </c>
      <c r="C85" s="540">
        <v>1</v>
      </c>
      <c r="D85" s="541" t="s">
        <v>265</v>
      </c>
      <c r="E85" s="556">
        <v>12</v>
      </c>
      <c r="F85" s="536">
        <v>1.5</v>
      </c>
      <c r="G85" s="536">
        <v>1.5</v>
      </c>
      <c r="H85" s="536">
        <v>0.15</v>
      </c>
      <c r="I85" s="523">
        <f>-ROUND(IF(AND(F85:H85),C85*E85*F85*G85*H85,IF(AND(F85,G85),C85*E85*F85*G85,IF(AND(F85,H85),C85*E85*F85*H85,IF(AND(G85,H85),C85*E85*G85*H85,IF(F85,C85*E85*F85,IF(G85,C85*E85*G85,IF(H85,C85*E85*H85,C85*E85))))))),2)</f>
        <v>-4.05</v>
      </c>
      <c r="J85" s="537" t="s">
        <v>5</v>
      </c>
      <c r="K85" s="111"/>
      <c r="L85" s="81"/>
      <c r="M85" s="111"/>
    </row>
    <row r="86" spans="1:13" s="525" customFormat="1" ht="16.5" hidden="1" customHeight="1">
      <c r="A86" s="81"/>
      <c r="B86" s="538" t="s">
        <v>2326</v>
      </c>
      <c r="C86" s="540">
        <v>1</v>
      </c>
      <c r="D86" s="541" t="s">
        <v>265</v>
      </c>
      <c r="E86" s="556">
        <v>8</v>
      </c>
      <c r="F86" s="536">
        <v>1.5</v>
      </c>
      <c r="G86" s="536">
        <v>1.5</v>
      </c>
      <c r="H86" s="536">
        <v>0.25</v>
      </c>
      <c r="I86" s="523">
        <f>-ROUND(IF(AND(F86:H86),C86*E86*F86*G86*H86,IF(AND(F86,G86),C86*E86*F86*G86,IF(AND(F86,H86),C86*E86*F86*H86,IF(AND(G86,H86),C86*E86*G86*H86,IF(F86,C86*E86*F86,IF(G86,C86*E86*G86,IF(H86,C86*E86*H86,C86*E86))))))),2)</f>
        <v>-4.5</v>
      </c>
      <c r="J86" s="537" t="s">
        <v>5</v>
      </c>
      <c r="K86" s="111"/>
      <c r="L86" s="81"/>
      <c r="M86" s="111"/>
    </row>
    <row r="87" spans="1:13" s="525" customFormat="1" ht="16.5" hidden="1" customHeight="1">
      <c r="A87" s="81"/>
      <c r="B87" s="538"/>
      <c r="C87" s="540">
        <v>1</v>
      </c>
      <c r="D87" s="541" t="s">
        <v>265</v>
      </c>
      <c r="E87" s="556">
        <v>4</v>
      </c>
      <c r="F87" s="536">
        <v>1.2</v>
      </c>
      <c r="G87" s="536">
        <v>1.2</v>
      </c>
      <c r="H87" s="536">
        <v>0.25</v>
      </c>
      <c r="I87" s="523">
        <f>-ROUND(IF(AND(F87:H87),C87*E87*F87*G87*H87,IF(AND(F87,G87),C87*E87*F87*G87,IF(AND(F87,H87),C87*E87*F87*H87,IF(AND(G87,H87),C87*E87*G87*H87,IF(F87,C87*E87*F87,IF(G87,C87*E87*G87,IF(H87,C87*E87*H87,C87*E87))))))),2)</f>
        <v>-1.44</v>
      </c>
      <c r="J87" s="537" t="s">
        <v>5</v>
      </c>
      <c r="K87" s="111"/>
      <c r="L87" s="81"/>
      <c r="M87" s="111"/>
    </row>
    <row r="88" spans="1:13" s="525" customFormat="1" ht="16.5" hidden="1" customHeight="1">
      <c r="A88" s="81"/>
      <c r="B88" s="538" t="s">
        <v>1221</v>
      </c>
      <c r="C88" s="540">
        <v>1</v>
      </c>
      <c r="D88" s="541" t="s">
        <v>265</v>
      </c>
      <c r="E88" s="556">
        <v>8</v>
      </c>
      <c r="F88" s="536">
        <v>0.23</v>
      </c>
      <c r="G88" s="536">
        <v>0.3</v>
      </c>
      <c r="H88" s="536">
        <v>1.25</v>
      </c>
      <c r="I88" s="523">
        <f>-ROUND(IF(AND(F88:H88),C88*E88*F88*G88*H88,IF(AND(F88,G88),C88*E88*F88*G88,IF(AND(F88,H88),C88*E88*F88*H88,IF(AND(G88,H88),C88*E88*G88*H88,IF(F88,C88*E88*F88,IF(G88,C88*E88*G88,IF(H88,C88*E88*H88,C88*E88))))))),2)</f>
        <v>-0.69</v>
      </c>
      <c r="J88" s="537" t="s">
        <v>5</v>
      </c>
      <c r="K88" s="111"/>
      <c r="L88" s="81"/>
      <c r="M88" s="111"/>
    </row>
    <row r="89" spans="1:13" s="525" customFormat="1" ht="16.5" hidden="1" customHeight="1">
      <c r="A89" s="81"/>
      <c r="B89" s="538"/>
      <c r="C89" s="540">
        <v>1</v>
      </c>
      <c r="D89" s="541" t="s">
        <v>265</v>
      </c>
      <c r="E89" s="556">
        <v>4</v>
      </c>
      <c r="F89" s="536">
        <v>0.23</v>
      </c>
      <c r="G89" s="536">
        <v>0.23</v>
      </c>
      <c r="H89" s="536">
        <v>1.25</v>
      </c>
      <c r="I89" s="523">
        <f>-ROUND(IF(AND(F89:H89),C89*E89*F89*G89*H89,IF(AND(F89,G89),C89*E89*F89*G89,IF(AND(F89,H89),C89*E89*F89*H89,IF(AND(G89,H89),C89*E89*G89*H89,IF(F89,C89*E89*F89,IF(G89,C89*E89*G89,IF(H89,C89*E89*H89,C89*E89))))))),2)</f>
        <v>-0.26</v>
      </c>
      <c r="J89" s="537" t="s">
        <v>5</v>
      </c>
      <c r="K89" s="111"/>
      <c r="L89" s="81"/>
      <c r="M89" s="111"/>
    </row>
    <row r="90" spans="1:13" s="525" customFormat="1" ht="16.5" hidden="1" customHeight="1">
      <c r="A90" s="81"/>
      <c r="B90" s="526"/>
      <c r="C90" s="527"/>
      <c r="D90" s="528"/>
      <c r="E90" s="529"/>
      <c r="F90" s="530"/>
      <c r="G90" s="530"/>
      <c r="H90" s="530"/>
      <c r="I90" s="531"/>
      <c r="J90" s="532"/>
      <c r="K90" s="111"/>
      <c r="L90" s="517"/>
      <c r="M90" s="111"/>
    </row>
    <row r="91" spans="1:13" hidden="1">
      <c r="A91" s="81"/>
      <c r="B91" s="111"/>
      <c r="C91" s="112"/>
      <c r="D91" s="533"/>
      <c r="E91" s="534"/>
      <c r="F91" s="113"/>
      <c r="G91" s="539"/>
      <c r="H91" s="81"/>
      <c r="I91" s="531"/>
      <c r="J91" s="532" t="s">
        <v>5</v>
      </c>
      <c r="K91" s="12">
        <f>'DATA 2024-25'!G107</f>
        <v>365.84</v>
      </c>
      <c r="L91" s="517" t="s">
        <v>266</v>
      </c>
      <c r="M91" s="11">
        <f>ROUND(I91*K91,0)</f>
        <v>0</v>
      </c>
    </row>
    <row r="92" spans="1:13" ht="87.75" hidden="1" customHeight="1">
      <c r="A92" s="81">
        <v>5</v>
      </c>
      <c r="B92" s="910" t="s">
        <v>2242</v>
      </c>
      <c r="C92" s="910"/>
      <c r="D92" s="910"/>
      <c r="E92" s="910"/>
      <c r="F92" s="910"/>
      <c r="G92" s="910"/>
      <c r="H92" s="910"/>
      <c r="I92" s="515"/>
      <c r="J92" s="516"/>
      <c r="K92" s="81"/>
      <c r="L92" s="517"/>
      <c r="M92" s="110"/>
    </row>
    <row r="93" spans="1:13" s="525" customFormat="1" ht="16.5" hidden="1" customHeight="1">
      <c r="A93" s="81"/>
      <c r="B93" s="538" t="s">
        <v>2326</v>
      </c>
      <c r="C93" s="540">
        <v>1</v>
      </c>
      <c r="D93" s="541" t="s">
        <v>265</v>
      </c>
      <c r="E93" s="556">
        <v>8</v>
      </c>
      <c r="F93" s="536">
        <v>1.5</v>
      </c>
      <c r="G93" s="536">
        <v>1.5</v>
      </c>
      <c r="H93" s="536">
        <v>0.25</v>
      </c>
      <c r="I93" s="523">
        <f>ROUND(IF(AND(F93:H93),C93*E93*F93*G93*H93,IF(AND(F93,G93),C93*E93*F93*G93,IF(AND(F93,H93),C93*E93*F93*H93,IF(AND(G93,H93),C93*E93*G93*H93,IF(F93,C93*E93*F93,IF(G93,C93*E93*G93,IF(H93,C93*E93*H93,C93*E93))))))),2)</f>
        <v>4.5</v>
      </c>
      <c r="J93" s="537" t="s">
        <v>5</v>
      </c>
      <c r="K93" s="111"/>
      <c r="L93" s="81"/>
      <c r="M93" s="111"/>
    </row>
    <row r="94" spans="1:13" s="525" customFormat="1" ht="16.5" hidden="1" customHeight="1">
      <c r="A94" s="81"/>
      <c r="B94" s="538"/>
      <c r="C94" s="540">
        <v>1</v>
      </c>
      <c r="D94" s="541" t="s">
        <v>265</v>
      </c>
      <c r="E94" s="556">
        <v>4</v>
      </c>
      <c r="F94" s="536">
        <v>1.2</v>
      </c>
      <c r="G94" s="536">
        <v>1.2</v>
      </c>
      <c r="H94" s="536">
        <v>0.25</v>
      </c>
      <c r="I94" s="523">
        <f>ROUND(IF(AND(F94:H94),C94*E94*F94*G94*H94,IF(AND(F94,G94),C94*E94*F94*G94,IF(AND(F94,H94),C94*E94*F94*H94,IF(AND(G94,H94),C94*E94*G94*H94,IF(F94,C94*E94*F94,IF(G94,C94*E94*G94,IF(H94,C94*E94*H94,C94*E94))))))),2)</f>
        <v>1.44</v>
      </c>
      <c r="J94" s="537" t="s">
        <v>5</v>
      </c>
      <c r="K94" s="111"/>
      <c r="L94" s="81"/>
      <c r="M94" s="111"/>
    </row>
    <row r="95" spans="1:13" s="525" customFormat="1" ht="16.5" hidden="1" customHeight="1">
      <c r="A95" s="81"/>
      <c r="B95" s="526"/>
      <c r="C95" s="527"/>
      <c r="D95" s="528"/>
      <c r="E95" s="529"/>
      <c r="F95" s="530"/>
      <c r="G95" s="530"/>
      <c r="H95" s="530"/>
      <c r="I95" s="531"/>
      <c r="J95" s="532"/>
      <c r="K95" s="111"/>
      <c r="L95" s="517"/>
      <c r="M95" s="111"/>
    </row>
    <row r="96" spans="1:13" hidden="1">
      <c r="A96" s="81"/>
      <c r="B96" s="111"/>
      <c r="C96" s="112"/>
      <c r="D96" s="533"/>
      <c r="E96" s="534"/>
      <c r="F96" s="113"/>
      <c r="G96" s="539"/>
      <c r="H96" s="81"/>
      <c r="I96" s="531"/>
      <c r="J96" s="532" t="s">
        <v>5</v>
      </c>
      <c r="K96" s="12">
        <f>'DATA 2024-25'!G155</f>
        <v>9863.9500000000007</v>
      </c>
      <c r="L96" s="517" t="s">
        <v>266</v>
      </c>
      <c r="M96" s="11">
        <f>ROUND(I96*K96,0)</f>
        <v>0</v>
      </c>
    </row>
    <row r="97" spans="1:13" ht="17.25" hidden="1" customHeight="1">
      <c r="A97" s="81">
        <v>6</v>
      </c>
      <c r="B97" s="910" t="s">
        <v>292</v>
      </c>
      <c r="C97" s="910"/>
      <c r="D97" s="910"/>
      <c r="E97" s="910"/>
      <c r="F97" s="910"/>
      <c r="G97" s="910"/>
      <c r="H97" s="910"/>
      <c r="I97" s="515"/>
      <c r="J97" s="516"/>
      <c r="K97" s="81"/>
      <c r="L97" s="517"/>
      <c r="M97" s="110"/>
    </row>
    <row r="98" spans="1:13" s="525" customFormat="1" ht="16.5" hidden="1" customHeight="1">
      <c r="A98" s="81"/>
      <c r="B98" s="538"/>
      <c r="C98" s="540">
        <v>1</v>
      </c>
      <c r="D98" s="541" t="s">
        <v>265</v>
      </c>
      <c r="E98" s="556">
        <v>12</v>
      </c>
      <c r="F98" s="536">
        <v>0.6</v>
      </c>
      <c r="G98" s="536">
        <v>0.6</v>
      </c>
      <c r="H98" s="536">
        <v>0.6</v>
      </c>
      <c r="I98" s="523">
        <f>ROUND(IF(AND(F98:H98),C98*E98*F98*G98*H98,IF(AND(F98,G98),C98*E98*F98*G98,IF(AND(F98,H98),C98*E98*F98*H98,IF(AND(G98,H98),C98*E98*G98*H98,IF(F98,C98*E98*F98,IF(G98,C98*E98*G98,IF(H98,C98*E98*H98,C98*E98))))))),2)</f>
        <v>2.59</v>
      </c>
      <c r="J98" s="537" t="s">
        <v>5</v>
      </c>
      <c r="K98" s="111"/>
      <c r="L98" s="81"/>
      <c r="M98" s="111"/>
    </row>
    <row r="99" spans="1:13" s="525" customFormat="1" ht="16.5" hidden="1" customHeight="1">
      <c r="A99" s="81"/>
      <c r="B99" s="557"/>
      <c r="C99" s="515"/>
      <c r="D99" s="553"/>
      <c r="E99" s="534"/>
      <c r="F99" s="113"/>
      <c r="G99" s="113"/>
      <c r="H99" s="113"/>
      <c r="I99" s="523"/>
      <c r="J99" s="532"/>
      <c r="K99" s="111"/>
      <c r="L99" s="517"/>
      <c r="M99" s="111"/>
    </row>
    <row r="100" spans="1:13" hidden="1">
      <c r="A100" s="81"/>
      <c r="B100" s="111"/>
      <c r="C100" s="112"/>
      <c r="D100" s="533"/>
      <c r="E100" s="534"/>
      <c r="F100" s="113"/>
      <c r="G100" s="539"/>
      <c r="H100" s="81"/>
      <c r="I100" s="531"/>
      <c r="J100" s="532" t="s">
        <v>5</v>
      </c>
      <c r="K100" s="12">
        <f>'DATA 2024-25'!G162</f>
        <v>10362.719999999999</v>
      </c>
      <c r="L100" s="517" t="s">
        <v>266</v>
      </c>
      <c r="M100" s="11">
        <f>ROUND(I100*K100,0)</f>
        <v>0</v>
      </c>
    </row>
    <row r="101" spans="1:13" ht="17.25" hidden="1" customHeight="1">
      <c r="A101" s="81">
        <v>6</v>
      </c>
      <c r="B101" s="910" t="s">
        <v>293</v>
      </c>
      <c r="C101" s="910"/>
      <c r="D101" s="910"/>
      <c r="E101" s="910"/>
      <c r="F101" s="910"/>
      <c r="G101" s="910"/>
      <c r="H101" s="910"/>
      <c r="I101" s="515"/>
      <c r="J101" s="516"/>
      <c r="K101" s="81"/>
      <c r="L101" s="517"/>
      <c r="M101" s="110"/>
    </row>
    <row r="102" spans="1:13" s="525" customFormat="1" ht="16.5" hidden="1" customHeight="1">
      <c r="A102" s="81"/>
      <c r="B102" s="538" t="s">
        <v>2351</v>
      </c>
      <c r="C102" s="540">
        <v>1</v>
      </c>
      <c r="D102" s="541" t="s">
        <v>265</v>
      </c>
      <c r="E102" s="556">
        <v>8</v>
      </c>
      <c r="F102" s="536">
        <v>0.23</v>
      </c>
      <c r="G102" s="536">
        <v>0.3</v>
      </c>
      <c r="H102" s="536">
        <v>1.25</v>
      </c>
      <c r="I102" s="523">
        <f>ROUND(IF(AND(F102:H102),C102*E102*F102*G102*H102,IF(AND(F102,G102),C102*E102*F102*G102,IF(AND(F102,H102),C102*E102*F102*H102,IF(AND(G102,H102),C102*E102*G102*H102,IF(F102,C102*E102*F102,IF(G102,C102*E102*G102,IF(H102,C102*E102*H102,C102*E102))))))),2)</f>
        <v>0.69</v>
      </c>
      <c r="J102" s="537" t="s">
        <v>5</v>
      </c>
      <c r="K102" s="111"/>
      <c r="L102" s="81"/>
      <c r="M102" s="111"/>
    </row>
    <row r="103" spans="1:13" s="525" customFormat="1" ht="16.5" hidden="1" customHeight="1">
      <c r="A103" s="81"/>
      <c r="B103" s="538"/>
      <c r="C103" s="540">
        <v>1</v>
      </c>
      <c r="D103" s="541" t="s">
        <v>265</v>
      </c>
      <c r="E103" s="556">
        <v>4</v>
      </c>
      <c r="F103" s="536">
        <v>0.23</v>
      </c>
      <c r="G103" s="536">
        <v>0.3</v>
      </c>
      <c r="H103" s="536">
        <v>1.25</v>
      </c>
      <c r="I103" s="523">
        <f>ROUND(IF(AND(F103:H103),C103*E103*F103*G103*H103,IF(AND(F103,G103),C103*E103*F103*G103,IF(AND(F103,H103),C103*E103*F103*H103,IF(AND(G103,H103),C103*E103*G103*H103,IF(F103,C103*E103*F103,IF(G103,C103*E103*G103,IF(H103,C103*E103*H103,C103*E103))))))),2)</f>
        <v>0.35</v>
      </c>
      <c r="J103" s="537" t="s">
        <v>5</v>
      </c>
      <c r="K103" s="111"/>
      <c r="L103" s="81"/>
      <c r="M103" s="111"/>
    </row>
    <row r="104" spans="1:13" s="525" customFormat="1" ht="16.5" hidden="1" customHeight="1">
      <c r="A104" s="81"/>
      <c r="B104" s="538" t="s">
        <v>2352</v>
      </c>
      <c r="C104" s="540">
        <v>1</v>
      </c>
      <c r="D104" s="541" t="s">
        <v>265</v>
      </c>
      <c r="E104" s="556">
        <v>8</v>
      </c>
      <c r="F104" s="536">
        <v>0.23</v>
      </c>
      <c r="G104" s="536">
        <v>0.3</v>
      </c>
      <c r="H104" s="536">
        <v>3.1</v>
      </c>
      <c r="I104" s="523">
        <f>ROUND(IF(AND(F104:H104),C104*E104*F104*G104*H104,IF(AND(F104,G104),C104*E104*F104*G104,IF(AND(F104,H104),C104*E104*F104*H104,IF(AND(G104,H104),C104*E104*G104*H104,IF(F104,C104*E104*F104,IF(G104,C104*E104*G104,IF(H104,C104*E104*H104,C104*E104))))))),2)</f>
        <v>1.71</v>
      </c>
      <c r="J104" s="537" t="s">
        <v>5</v>
      </c>
      <c r="K104" s="111"/>
      <c r="L104" s="81"/>
      <c r="M104" s="111"/>
    </row>
    <row r="105" spans="1:13" s="525" customFormat="1" ht="16.5" hidden="1" customHeight="1">
      <c r="A105" s="81"/>
      <c r="B105" s="526"/>
      <c r="C105" s="527"/>
      <c r="D105" s="528"/>
      <c r="E105" s="529"/>
      <c r="F105" s="530"/>
      <c r="G105" s="530"/>
      <c r="H105" s="530"/>
      <c r="I105" s="531"/>
      <c r="J105" s="532"/>
      <c r="K105" s="111"/>
      <c r="L105" s="517"/>
      <c r="M105" s="111"/>
    </row>
    <row r="106" spans="1:13" hidden="1">
      <c r="A106" s="81"/>
      <c r="B106" s="111"/>
      <c r="C106" s="112"/>
      <c r="D106" s="533"/>
      <c r="E106" s="534"/>
      <c r="F106" s="113"/>
      <c r="G106" s="539"/>
      <c r="H106" s="81"/>
      <c r="I106" s="531"/>
      <c r="J106" s="532" t="s">
        <v>5</v>
      </c>
      <c r="K106" s="12">
        <f>'DATA 2024-25'!E191</f>
        <v>12622.119999999999</v>
      </c>
      <c r="L106" s="517" t="s">
        <v>266</v>
      </c>
      <c r="M106" s="11">
        <f>ROUND(I106*K106,0)</f>
        <v>0</v>
      </c>
    </row>
    <row r="107" spans="1:13" ht="17.25" hidden="1" customHeight="1">
      <c r="A107" s="81">
        <v>7</v>
      </c>
      <c r="B107" s="910" t="s">
        <v>294</v>
      </c>
      <c r="C107" s="910"/>
      <c r="D107" s="910"/>
      <c r="E107" s="910"/>
      <c r="F107" s="910"/>
      <c r="G107" s="910"/>
      <c r="H107" s="910"/>
      <c r="I107" s="515"/>
      <c r="J107" s="516"/>
      <c r="K107" s="81"/>
      <c r="L107" s="517"/>
      <c r="M107" s="110"/>
    </row>
    <row r="108" spans="1:13" s="525" customFormat="1" ht="16.5" hidden="1" customHeight="1">
      <c r="A108" s="81"/>
      <c r="B108" s="538"/>
      <c r="C108" s="540">
        <v>1</v>
      </c>
      <c r="D108" s="541" t="s">
        <v>265</v>
      </c>
      <c r="E108" s="556">
        <v>2</v>
      </c>
      <c r="F108" s="536">
        <v>5</v>
      </c>
      <c r="G108" s="536">
        <v>0.23</v>
      </c>
      <c r="H108" s="536">
        <v>0.3</v>
      </c>
      <c r="I108" s="523">
        <f>ROUND(IF(AND(F108:H108),C108*E108*F108*G108*H108,IF(AND(F108,G108),C108*E108*F108*G108,IF(AND(F108,H108),C108*E108*F108*H108,IF(AND(G108,H108),C108*E108*G108*H108,IF(F108,C108*E108*F108,IF(G108,C108*E108*G108,IF(H108,C108*E108*H108,C108*E108))))))),2)</f>
        <v>0.69</v>
      </c>
      <c r="J108" s="537" t="s">
        <v>5</v>
      </c>
      <c r="K108" s="111"/>
      <c r="L108" s="81"/>
      <c r="M108" s="111"/>
    </row>
    <row r="109" spans="1:13" s="525" customFormat="1" ht="16.5" hidden="1" customHeight="1">
      <c r="A109" s="81"/>
      <c r="B109" s="538"/>
      <c r="C109" s="540">
        <v>1</v>
      </c>
      <c r="D109" s="541" t="s">
        <v>265</v>
      </c>
      <c r="E109" s="556">
        <v>2</v>
      </c>
      <c r="F109" s="536">
        <v>1.35</v>
      </c>
      <c r="G109" s="536">
        <v>0.23</v>
      </c>
      <c r="H109" s="536">
        <v>0.3</v>
      </c>
      <c r="I109" s="523">
        <f>ROUND(IF(AND(F109:H109),C109*E109*F109*G109*H109,IF(AND(F109,G109),C109*E109*F109*G109,IF(AND(F109,H109),C109*E109*F109*H109,IF(AND(G109,H109),C109*E109*G109*H109,IF(F109,C109*E109*F109,IF(G109,C109*E109*G109,IF(H109,C109*E109*H109,C109*E109))))))),2)</f>
        <v>0.19</v>
      </c>
      <c r="J109" s="537" t="s">
        <v>5</v>
      </c>
      <c r="K109" s="111"/>
      <c r="L109" s="81"/>
      <c r="M109" s="111"/>
    </row>
    <row r="110" spans="1:13" s="525" customFormat="1" ht="16.5" hidden="1" customHeight="1">
      <c r="A110" s="81"/>
      <c r="B110" s="538"/>
      <c r="C110" s="540">
        <v>1</v>
      </c>
      <c r="D110" s="541" t="s">
        <v>265</v>
      </c>
      <c r="E110" s="556">
        <v>2</v>
      </c>
      <c r="F110" s="536">
        <v>5</v>
      </c>
      <c r="G110" s="536">
        <v>0.23</v>
      </c>
      <c r="H110" s="536">
        <v>0.3</v>
      </c>
      <c r="I110" s="523">
        <f t="shared" ref="I110:I111" si="14">ROUND(IF(AND(F110:H110),C110*E110*F110*G110*H110,IF(AND(F110,G110),C110*E110*F110*G110,IF(AND(F110,H110),C110*E110*F110*H110,IF(AND(G110,H110),C110*E110*G110*H110,IF(F110,C110*E110*F110,IF(G110,C110*E110*G110,IF(H110,C110*E110*H110,C110*E110))))))),2)</f>
        <v>0.69</v>
      </c>
      <c r="J110" s="537" t="s">
        <v>5</v>
      </c>
      <c r="K110" s="111"/>
      <c r="L110" s="81"/>
      <c r="M110" s="111"/>
    </row>
    <row r="111" spans="1:13" s="525" customFormat="1" ht="16.5" hidden="1" customHeight="1">
      <c r="A111" s="81"/>
      <c r="B111" s="538"/>
      <c r="C111" s="540">
        <v>1</v>
      </c>
      <c r="D111" s="541" t="s">
        <v>265</v>
      </c>
      <c r="E111" s="556">
        <v>3</v>
      </c>
      <c r="F111" s="536">
        <v>8.5399999999999991</v>
      </c>
      <c r="G111" s="536">
        <v>0.23</v>
      </c>
      <c r="H111" s="536">
        <v>0.3</v>
      </c>
      <c r="I111" s="523">
        <f t="shared" si="14"/>
        <v>1.77</v>
      </c>
      <c r="J111" s="537" t="s">
        <v>5</v>
      </c>
      <c r="K111" s="111"/>
      <c r="L111" s="81"/>
      <c r="M111" s="111"/>
    </row>
    <row r="112" spans="1:13" s="525" customFormat="1" ht="16.5" hidden="1" customHeight="1">
      <c r="A112" s="81"/>
      <c r="B112" s="526"/>
      <c r="C112" s="527"/>
      <c r="D112" s="528"/>
      <c r="E112" s="529"/>
      <c r="F112" s="530"/>
      <c r="G112" s="530"/>
      <c r="H112" s="530"/>
      <c r="I112" s="531"/>
      <c r="J112" s="532"/>
      <c r="K112" s="111"/>
      <c r="L112" s="517"/>
      <c r="M112" s="111"/>
    </row>
    <row r="113" spans="1:13" hidden="1">
      <c r="A113" s="81"/>
      <c r="B113" s="111"/>
      <c r="C113" s="112"/>
      <c r="D113" s="533"/>
      <c r="E113" s="534"/>
      <c r="F113" s="113"/>
      <c r="G113" s="539"/>
      <c r="H113" s="81"/>
      <c r="I113" s="531"/>
      <c r="J113" s="532" t="s">
        <v>5</v>
      </c>
      <c r="K113" s="12">
        <f>'DATA 2024-25'!G169</f>
        <v>12249.869999999999</v>
      </c>
      <c r="L113" s="517" t="s">
        <v>266</v>
      </c>
      <c r="M113" s="11">
        <f>ROUND(I113*K113,0)</f>
        <v>0</v>
      </c>
    </row>
    <row r="114" spans="1:13" ht="94.5" customHeight="1">
      <c r="A114" s="81">
        <v>3</v>
      </c>
      <c r="B114" s="910" t="s">
        <v>2367</v>
      </c>
      <c r="C114" s="910"/>
      <c r="D114" s="910"/>
      <c r="E114" s="910"/>
      <c r="F114" s="910"/>
      <c r="G114" s="910"/>
      <c r="H114" s="910"/>
      <c r="I114" s="515"/>
      <c r="J114" s="516"/>
      <c r="K114" s="81"/>
      <c r="L114" s="517"/>
      <c r="M114" s="110"/>
    </row>
    <row r="115" spans="1:13" s="525" customFormat="1" ht="16.5" customHeight="1">
      <c r="A115" s="81"/>
      <c r="B115" s="538"/>
      <c r="C115" s="540">
        <v>1</v>
      </c>
      <c r="D115" s="541" t="s">
        <v>265</v>
      </c>
      <c r="E115" s="556">
        <v>2</v>
      </c>
      <c r="F115" s="536">
        <v>6.95</v>
      </c>
      <c r="G115" s="536">
        <v>0.23</v>
      </c>
      <c r="H115" s="536">
        <v>0.3</v>
      </c>
      <c r="I115" s="523">
        <f>ROUND(IF(AND(F115:H115),C115*E115*F115*G115*H115,IF(AND(F115,G115),C115*E115*F115*G115,IF(AND(F115,H115),C115*E115*F115*H115,IF(AND(G115,H115),C115*E115*G115*H115,IF(F115,C115*E115*F115,IF(G115,C115*E115*G115,IF(H115,C115*E115*H115,C115*E115))))))),2)</f>
        <v>0.96</v>
      </c>
      <c r="J115" s="537" t="s">
        <v>5</v>
      </c>
      <c r="K115" s="111"/>
      <c r="L115" s="81"/>
      <c r="M115" s="111"/>
    </row>
    <row r="116" spans="1:13" s="525" customFormat="1" ht="16.5" customHeight="1">
      <c r="A116" s="81"/>
      <c r="B116" s="538"/>
      <c r="C116" s="540">
        <v>1</v>
      </c>
      <c r="D116" s="541" t="s">
        <v>265</v>
      </c>
      <c r="E116" s="556">
        <v>2</v>
      </c>
      <c r="F116" s="536">
        <v>6.95</v>
      </c>
      <c r="G116" s="536">
        <v>0.23</v>
      </c>
      <c r="H116" s="536">
        <v>0.3</v>
      </c>
      <c r="I116" s="523">
        <f t="shared" ref="I116:I118" si="15">ROUND(IF(AND(F116:H116),C116*E116*F116*G116*H116,IF(AND(F116,G116),C116*E116*F116*G116,IF(AND(F116,H116),C116*E116*F116*H116,IF(AND(G116,H116),C116*E116*G116*H116,IF(F116,C116*E116*F116,IF(G116,C116*E116*G116,IF(H116,C116*E116*H116,C116*E116))))))),2)</f>
        <v>0.96</v>
      </c>
      <c r="J116" s="537" t="s">
        <v>5</v>
      </c>
      <c r="K116" s="111"/>
      <c r="L116" s="81"/>
      <c r="M116" s="111"/>
    </row>
    <row r="117" spans="1:13" s="525" customFormat="1" ht="16.5" customHeight="1">
      <c r="A117" s="81"/>
      <c r="B117" s="538"/>
      <c r="C117" s="540">
        <v>1</v>
      </c>
      <c r="D117" s="541" t="s">
        <v>265</v>
      </c>
      <c r="E117" s="556">
        <v>2</v>
      </c>
      <c r="F117" s="536">
        <v>8.5399999999999991</v>
      </c>
      <c r="G117" s="536">
        <v>0.23</v>
      </c>
      <c r="H117" s="536">
        <v>0.3</v>
      </c>
      <c r="I117" s="523">
        <f t="shared" si="15"/>
        <v>1.18</v>
      </c>
      <c r="J117" s="537" t="s">
        <v>5</v>
      </c>
      <c r="K117" s="111"/>
      <c r="L117" s="81"/>
      <c r="M117" s="111"/>
    </row>
    <row r="118" spans="1:13" s="525" customFormat="1" ht="16.5" customHeight="1">
      <c r="A118" s="81"/>
      <c r="B118" s="538"/>
      <c r="C118" s="540">
        <v>1</v>
      </c>
      <c r="D118" s="541" t="s">
        <v>265</v>
      </c>
      <c r="E118" s="556">
        <v>1</v>
      </c>
      <c r="F118" s="536">
        <v>8.5399999999999991</v>
      </c>
      <c r="G118" s="569">
        <v>0.15</v>
      </c>
      <c r="H118" s="536">
        <v>0.3</v>
      </c>
      <c r="I118" s="523">
        <f t="shared" si="15"/>
        <v>0.38</v>
      </c>
      <c r="J118" s="537" t="s">
        <v>5</v>
      </c>
      <c r="K118" s="111"/>
      <c r="L118" s="81"/>
      <c r="M118" s="111"/>
    </row>
    <row r="119" spans="1:13" s="525" customFormat="1" ht="16.5" customHeight="1">
      <c r="A119" s="81"/>
      <c r="B119" s="538"/>
      <c r="C119" s="540">
        <v>1</v>
      </c>
      <c r="D119" s="541" t="s">
        <v>265</v>
      </c>
      <c r="E119" s="556">
        <v>8</v>
      </c>
      <c r="F119" s="536">
        <v>0.23</v>
      </c>
      <c r="G119" s="569">
        <v>0.23</v>
      </c>
      <c r="H119" s="536">
        <v>0.3</v>
      </c>
      <c r="I119" s="523">
        <f>-ROUND(IF(AND(F119:H119),C119*E119*F119*G119*H119,IF(AND(F119,G119),C119*E119*F119*G119,IF(AND(F119,H119),C119*E119*F119*H119,IF(AND(G119,H119),C119*E119*G119*H119,IF(F119,C119*E119*F119,IF(G119,C119*E119*G119,IF(H119,C119*E119*H119,C119*E119))))))),2)</f>
        <v>-0.13</v>
      </c>
      <c r="J119" s="537" t="s">
        <v>5</v>
      </c>
      <c r="K119" s="111"/>
      <c r="L119" s="81"/>
      <c r="M119" s="111"/>
    </row>
    <row r="120" spans="1:13" s="525" customFormat="1" ht="16.5" customHeight="1">
      <c r="A120" s="81"/>
      <c r="B120" s="526"/>
      <c r="C120" s="527"/>
      <c r="D120" s="528"/>
      <c r="E120" s="529"/>
      <c r="F120" s="530"/>
      <c r="G120" s="530"/>
      <c r="H120" s="530"/>
      <c r="I120" s="531"/>
      <c r="J120" s="532"/>
      <c r="K120" s="111"/>
      <c r="L120" s="517"/>
      <c r="M120" s="111"/>
    </row>
    <row r="121" spans="1:13">
      <c r="A121" s="81"/>
      <c r="B121" s="111"/>
      <c r="C121" s="112"/>
      <c r="D121" s="533"/>
      <c r="E121" s="534"/>
      <c r="F121" s="113"/>
      <c r="G121" s="539"/>
      <c r="H121" s="81"/>
      <c r="I121" s="531">
        <f>SUM(I115:I120)</f>
        <v>3.3499999999999996</v>
      </c>
      <c r="J121" s="532" t="s">
        <v>5</v>
      </c>
      <c r="K121" s="12">
        <f>'DATA 2024-25'!E220</f>
        <v>11812.980000000001</v>
      </c>
      <c r="L121" s="517" t="s">
        <v>266</v>
      </c>
      <c r="M121" s="11">
        <f>ROUND(I121*K121,0)</f>
        <v>39573</v>
      </c>
    </row>
    <row r="122" spans="1:13" ht="17.25" hidden="1" customHeight="1">
      <c r="A122" s="81">
        <v>12</v>
      </c>
      <c r="B122" s="910" t="s">
        <v>296</v>
      </c>
      <c r="C122" s="910"/>
      <c r="D122" s="910"/>
      <c r="E122" s="910"/>
      <c r="F122" s="910"/>
      <c r="G122" s="910"/>
      <c r="H122" s="910"/>
      <c r="I122" s="515"/>
      <c r="J122" s="516"/>
      <c r="K122" s="81"/>
      <c r="L122" s="517"/>
      <c r="M122" s="110"/>
    </row>
    <row r="123" spans="1:13" s="525" customFormat="1" ht="16.5" hidden="1" customHeight="1">
      <c r="A123" s="81"/>
      <c r="B123" s="111" t="s">
        <v>261</v>
      </c>
      <c r="C123" s="515">
        <v>1</v>
      </c>
      <c r="D123" s="553" t="s">
        <v>265</v>
      </c>
      <c r="E123" s="534">
        <v>1</v>
      </c>
      <c r="F123" s="113">
        <v>3.18</v>
      </c>
      <c r="G123" s="113">
        <v>1</v>
      </c>
      <c r="H123" s="113">
        <v>0</v>
      </c>
      <c r="I123" s="523">
        <f t="shared" ref="I123:I124" si="16">ROUND(IF(AND(F123:H123),C123*E123*F123*G123*H123,IF(AND(F123,G123),C123*E123*F123*G123,IF(AND(F123,H123),C123*E123*F123*H123,IF(AND(G123,H123),C123*E123*G123*H123,IF(F123,C123*E123*F123,IF(G123,C123*E123*G123,IF(H123,C123*E123*H123,C123*E123))))))),2)</f>
        <v>3.18</v>
      </c>
      <c r="J123" s="532" t="s">
        <v>102</v>
      </c>
      <c r="K123" s="111"/>
      <c r="L123" s="81"/>
      <c r="M123" s="111"/>
    </row>
    <row r="124" spans="1:13" s="525" customFormat="1" ht="16.5" hidden="1" customHeight="1">
      <c r="A124" s="81"/>
      <c r="B124" s="111" t="s">
        <v>743</v>
      </c>
      <c r="C124" s="515">
        <v>1</v>
      </c>
      <c r="D124" s="553" t="s">
        <v>265</v>
      </c>
      <c r="E124" s="534">
        <v>1</v>
      </c>
      <c r="F124" s="113">
        <v>3.5</v>
      </c>
      <c r="G124" s="113">
        <v>1.2</v>
      </c>
      <c r="H124" s="113">
        <v>0</v>
      </c>
      <c r="I124" s="523">
        <f t="shared" si="16"/>
        <v>4.2</v>
      </c>
      <c r="J124" s="532" t="s">
        <v>102</v>
      </c>
      <c r="K124" s="111"/>
      <c r="L124" s="81"/>
      <c r="M124" s="111"/>
    </row>
    <row r="125" spans="1:13" s="525" customFormat="1" ht="16.5" hidden="1" customHeight="1">
      <c r="A125" s="81"/>
      <c r="B125" s="111" t="s">
        <v>742</v>
      </c>
      <c r="C125" s="515">
        <v>1</v>
      </c>
      <c r="D125" s="553" t="s">
        <v>265</v>
      </c>
      <c r="E125" s="534">
        <v>1</v>
      </c>
      <c r="F125" s="113">
        <v>3.56</v>
      </c>
      <c r="G125" s="113">
        <v>1.2</v>
      </c>
      <c r="H125" s="113">
        <v>0</v>
      </c>
      <c r="I125" s="523">
        <f t="shared" ref="I125" si="17">ROUND(IF(AND(F125:H125),C125*E125*F125*G125*H125,IF(AND(F125,G125),C125*E125*F125*G125,IF(AND(F125,H125),C125*E125*F125*H125,IF(AND(G125,H125),C125*E125*G125*H125,IF(F125,C125*E125*F125,IF(G125,C125*E125*G125,IF(H125,C125*E125*H125,C125*E125))))))),2)</f>
        <v>4.2699999999999996</v>
      </c>
      <c r="J125" s="532" t="s">
        <v>102</v>
      </c>
      <c r="K125" s="111"/>
      <c r="L125" s="81"/>
      <c r="M125" s="111"/>
    </row>
    <row r="126" spans="1:13" s="525" customFormat="1" ht="16.5" hidden="1" customHeight="1">
      <c r="A126" s="81"/>
      <c r="B126" s="526"/>
      <c r="C126" s="527"/>
      <c r="D126" s="528"/>
      <c r="E126" s="529"/>
      <c r="F126" s="530"/>
      <c r="G126" s="530"/>
      <c r="H126" s="530"/>
      <c r="I126" s="531"/>
      <c r="J126" s="532"/>
      <c r="K126" s="111"/>
      <c r="L126" s="517"/>
      <c r="M126" s="111"/>
    </row>
    <row r="127" spans="1:13" hidden="1">
      <c r="A127" s="81"/>
      <c r="B127" s="111"/>
      <c r="C127" s="112"/>
      <c r="D127" s="533"/>
      <c r="E127" s="534"/>
      <c r="F127" s="113"/>
      <c r="G127" s="539"/>
      <c r="H127" s="81"/>
      <c r="I127" s="531"/>
      <c r="J127" s="532" t="s">
        <v>102</v>
      </c>
      <c r="K127" s="12">
        <f>'DATA 2024-25'!E244</f>
        <v>1416.71</v>
      </c>
      <c r="L127" s="517" t="s">
        <v>267</v>
      </c>
      <c r="M127" s="11">
        <f>ROUND(I127*K127,0)</f>
        <v>0</v>
      </c>
    </row>
    <row r="128" spans="1:13" ht="17.25" customHeight="1">
      <c r="A128" s="81">
        <v>4</v>
      </c>
      <c r="B128" s="910" t="s">
        <v>297</v>
      </c>
      <c r="C128" s="910"/>
      <c r="D128" s="910"/>
      <c r="E128" s="910"/>
      <c r="F128" s="910"/>
      <c r="G128" s="910"/>
      <c r="H128" s="910"/>
      <c r="I128" s="515"/>
      <c r="J128" s="516"/>
      <c r="K128" s="81"/>
      <c r="L128" s="517"/>
      <c r="M128" s="110"/>
    </row>
    <row r="129" spans="1:13" s="525" customFormat="1" ht="16.5" customHeight="1">
      <c r="A129" s="81"/>
      <c r="B129" s="559" t="s">
        <v>1811</v>
      </c>
      <c r="C129" s="540">
        <v>1</v>
      </c>
      <c r="D129" s="541" t="s">
        <v>265</v>
      </c>
      <c r="E129" s="556">
        <v>1</v>
      </c>
      <c r="F129" s="569">
        <v>9.35</v>
      </c>
      <c r="G129" s="569">
        <v>7.4</v>
      </c>
      <c r="H129" s="551">
        <v>0</v>
      </c>
      <c r="I129" s="636">
        <f>ROUND(IF(AND(F129:H129),C129*E129*F129*G129*H129,IF(AND(F129,G129),C129*E129*F129*G129,IF(AND(F129,H129),C129*E129*F129*H129,IF(AND(G129,H129),C129*E129*G129*H129,IF(F129,C129*E129*F129,IF(G129,C129*E129*G129,IF(H129,C129*E129*H129,C129*E129))))))),2)</f>
        <v>69.19</v>
      </c>
      <c r="J129" s="849" t="s">
        <v>102</v>
      </c>
      <c r="K129" s="111"/>
      <c r="L129" s="81"/>
      <c r="M129" s="111"/>
    </row>
    <row r="130" spans="1:13" s="525" customFormat="1" ht="16.5" customHeight="1">
      <c r="A130" s="81"/>
      <c r="B130" s="560"/>
      <c r="C130" s="561"/>
      <c r="D130" s="544"/>
      <c r="E130" s="562"/>
      <c r="F130" s="563"/>
      <c r="G130" s="563"/>
      <c r="H130" s="564"/>
      <c r="I130" s="546"/>
      <c r="J130" s="532"/>
      <c r="K130" s="111"/>
      <c r="L130" s="517"/>
      <c r="M130" s="111"/>
    </row>
    <row r="131" spans="1:13">
      <c r="A131" s="81"/>
      <c r="B131" s="111"/>
      <c r="C131" s="112"/>
      <c r="D131" s="533"/>
      <c r="E131" s="534"/>
      <c r="F131" s="113"/>
      <c r="G131" s="539"/>
      <c r="H131" s="81"/>
      <c r="I131" s="531">
        <f>SUM(I129:I130)</f>
        <v>69.19</v>
      </c>
      <c r="J131" s="532" t="s">
        <v>102</v>
      </c>
      <c r="K131" s="12">
        <f>'DATA 2024-25'!E236</f>
        <v>1433.73</v>
      </c>
      <c r="L131" s="517" t="s">
        <v>267</v>
      </c>
      <c r="M131" s="11">
        <f>ROUND(I131*K131,0)</f>
        <v>99200</v>
      </c>
    </row>
    <row r="132" spans="1:13" ht="17.25" hidden="1" customHeight="1">
      <c r="A132" s="81">
        <v>13</v>
      </c>
      <c r="B132" s="910" t="s">
        <v>568</v>
      </c>
      <c r="C132" s="910"/>
      <c r="D132" s="910"/>
      <c r="E132" s="910"/>
      <c r="F132" s="910"/>
      <c r="G132" s="910"/>
      <c r="H132" s="910"/>
      <c r="I132" s="515"/>
      <c r="J132" s="516"/>
      <c r="K132" s="81"/>
      <c r="L132" s="517"/>
      <c r="M132" s="110"/>
    </row>
    <row r="133" spans="1:13" s="525" customFormat="1" ht="16.5" hidden="1" customHeight="1">
      <c r="A133" s="81"/>
      <c r="B133" s="111" t="s">
        <v>1327</v>
      </c>
      <c r="C133" s="515"/>
      <c r="D133" s="553"/>
      <c r="E133" s="534"/>
      <c r="F133" s="113"/>
      <c r="G133" s="113"/>
      <c r="H133" s="113"/>
      <c r="I133" s="554"/>
      <c r="J133" s="532"/>
      <c r="K133" s="111"/>
      <c r="L133" s="517"/>
      <c r="M133" s="111"/>
    </row>
    <row r="134" spans="1:13" s="525" customFormat="1" ht="16.5" hidden="1" customHeight="1">
      <c r="A134" s="81"/>
      <c r="B134" s="111"/>
      <c r="C134" s="515">
        <v>1</v>
      </c>
      <c r="D134" s="553" t="s">
        <v>265</v>
      </c>
      <c r="E134" s="534">
        <v>1</v>
      </c>
      <c r="F134" s="113">
        <v>23.5</v>
      </c>
      <c r="G134" s="113">
        <v>0.97</v>
      </c>
      <c r="H134" s="113">
        <v>0</v>
      </c>
      <c r="I134" s="523">
        <f t="shared" ref="I134" si="18">ROUND(IF(AND(F134:H134),C134*E134*F134*G134*H134,IF(AND(F134,G134),C134*E134*F134*G134,IF(AND(F134,H134),C134*E134*F134*H134,IF(AND(G134,H134),C134*E134*G134*H134,IF(F134,C134*E134*F134,IF(G134,C134*E134*G134,IF(H134,C134*E134*H134,C134*E134))))))),2)</f>
        <v>22.8</v>
      </c>
      <c r="J134" s="532" t="s">
        <v>102</v>
      </c>
      <c r="K134" s="111"/>
      <c r="L134" s="517"/>
      <c r="M134" s="111"/>
    </row>
    <row r="135" spans="1:13" s="525" customFormat="1" ht="16.5" hidden="1" customHeight="1">
      <c r="A135" s="81"/>
      <c r="B135" s="560"/>
      <c r="C135" s="561"/>
      <c r="D135" s="544"/>
      <c r="E135" s="562"/>
      <c r="F135" s="563"/>
      <c r="G135" s="563"/>
      <c r="H135" s="564"/>
      <c r="I135" s="546"/>
      <c r="J135" s="532"/>
      <c r="K135" s="111"/>
      <c r="L135" s="517"/>
      <c r="M135" s="111"/>
    </row>
    <row r="136" spans="1:13" hidden="1">
      <c r="A136" s="81"/>
      <c r="B136" s="111"/>
      <c r="C136" s="112"/>
      <c r="D136" s="533"/>
      <c r="E136" s="534"/>
      <c r="F136" s="113"/>
      <c r="G136" s="539"/>
      <c r="H136" s="81"/>
      <c r="I136" s="531"/>
      <c r="J136" s="532" t="s">
        <v>102</v>
      </c>
      <c r="K136" s="12">
        <f>'DATA 2024-25'!E228</f>
        <v>1107.1399999999999</v>
      </c>
      <c r="L136" s="517" t="s">
        <v>267</v>
      </c>
      <c r="M136" s="11">
        <f>ROUND(I136*K136,0)</f>
        <v>0</v>
      </c>
    </row>
    <row r="137" spans="1:13" ht="18.75" hidden="1" customHeight="1">
      <c r="A137" s="81">
        <v>11</v>
      </c>
      <c r="B137" s="910" t="s">
        <v>1106</v>
      </c>
      <c r="C137" s="910"/>
      <c r="D137" s="910"/>
      <c r="E137" s="910"/>
      <c r="F137" s="910"/>
      <c r="G137" s="910"/>
      <c r="H137" s="910"/>
      <c r="I137" s="515"/>
      <c r="J137" s="516"/>
      <c r="K137" s="81"/>
      <c r="L137" s="517"/>
      <c r="M137" s="110"/>
    </row>
    <row r="138" spans="1:13" s="525" customFormat="1" ht="16.5" hidden="1" customHeight="1">
      <c r="A138" s="81"/>
      <c r="B138" s="111" t="s">
        <v>1249</v>
      </c>
      <c r="C138" s="515"/>
      <c r="D138" s="553"/>
      <c r="E138" s="534"/>
      <c r="F138" s="113"/>
      <c r="G138" s="113"/>
      <c r="H138" s="113"/>
      <c r="I138" s="554"/>
      <c r="J138" s="532"/>
      <c r="K138" s="111"/>
      <c r="L138" s="517"/>
      <c r="M138" s="111"/>
    </row>
    <row r="139" spans="1:13" s="525" customFormat="1" ht="16.5" hidden="1" customHeight="1">
      <c r="A139" s="81"/>
      <c r="B139" s="111" t="s">
        <v>1250</v>
      </c>
      <c r="C139" s="515">
        <v>1</v>
      </c>
      <c r="D139" s="553" t="s">
        <v>265</v>
      </c>
      <c r="E139" s="534">
        <v>2</v>
      </c>
      <c r="F139" s="113">
        <v>3.33</v>
      </c>
      <c r="G139" s="113">
        <v>1.32</v>
      </c>
      <c r="H139" s="113">
        <v>0</v>
      </c>
      <c r="I139" s="523">
        <f t="shared" ref="I139:I140" si="19">ROUND(IF(AND(F139:H139),C139*E139*F139*G139*H139,IF(AND(F139,G139),C139*E139*F139*G139,IF(AND(F139,H139),C139*E139*F139*H139,IF(AND(G139,H139),C139*E139*G139*H139,IF(F139,C139*E139*F139,IF(G139,C139*E139*G139,IF(H139,C139*E139*H139,C139*E139))))))),2)</f>
        <v>8.7899999999999991</v>
      </c>
      <c r="J139" s="532" t="s">
        <v>102</v>
      </c>
      <c r="K139" s="111"/>
      <c r="L139" s="517"/>
      <c r="M139" s="111"/>
    </row>
    <row r="140" spans="1:13" s="525" customFormat="1" ht="16.5" hidden="1" customHeight="1">
      <c r="A140" s="81"/>
      <c r="B140" s="111"/>
      <c r="C140" s="515">
        <v>2</v>
      </c>
      <c r="D140" s="553" t="s">
        <v>265</v>
      </c>
      <c r="E140" s="534">
        <v>0.5</v>
      </c>
      <c r="F140" s="113">
        <v>0.94</v>
      </c>
      <c r="G140" s="113">
        <v>1.35</v>
      </c>
      <c r="H140" s="113">
        <v>0</v>
      </c>
      <c r="I140" s="523">
        <f t="shared" si="19"/>
        <v>1.27</v>
      </c>
      <c r="J140" s="532" t="s">
        <v>102</v>
      </c>
      <c r="K140" s="111"/>
      <c r="L140" s="517"/>
      <c r="M140" s="111"/>
    </row>
    <row r="141" spans="1:13" s="525" customFormat="1" ht="16.5" hidden="1" customHeight="1">
      <c r="A141" s="81"/>
      <c r="B141" s="526"/>
      <c r="C141" s="527"/>
      <c r="D141" s="528"/>
      <c r="E141" s="529"/>
      <c r="F141" s="530"/>
      <c r="G141" s="530"/>
      <c r="H141" s="530"/>
      <c r="I141" s="531"/>
      <c r="J141" s="532"/>
      <c r="K141" s="111"/>
      <c r="L141" s="517"/>
      <c r="M141" s="111"/>
    </row>
    <row r="142" spans="1:13" hidden="1">
      <c r="A142" s="81"/>
      <c r="B142" s="111"/>
      <c r="C142" s="112"/>
      <c r="D142" s="533"/>
      <c r="E142" s="534"/>
      <c r="F142" s="113"/>
      <c r="G142" s="539"/>
      <c r="H142" s="81"/>
      <c r="I142" s="531"/>
      <c r="J142" s="532" t="s">
        <v>102</v>
      </c>
      <c r="K142" s="12">
        <f>'DATA 2024-25'!E291</f>
        <v>624.56000000000006</v>
      </c>
      <c r="L142" s="517" t="s">
        <v>267</v>
      </c>
      <c r="M142" s="11">
        <f>ROUND(I142*K142,0)</f>
        <v>0</v>
      </c>
    </row>
    <row r="143" spans="1:13" ht="18.75" hidden="1" customHeight="1">
      <c r="A143" s="81">
        <v>16</v>
      </c>
      <c r="B143" s="910" t="s">
        <v>1107</v>
      </c>
      <c r="C143" s="910"/>
      <c r="D143" s="910"/>
      <c r="E143" s="910"/>
      <c r="F143" s="910"/>
      <c r="G143" s="910"/>
      <c r="H143" s="910"/>
      <c r="I143" s="515"/>
      <c r="J143" s="516"/>
      <c r="K143" s="81"/>
      <c r="L143" s="517"/>
      <c r="M143" s="110"/>
    </row>
    <row r="144" spans="1:13" s="525" customFormat="1" ht="16.5" hidden="1" customHeight="1">
      <c r="A144" s="81"/>
      <c r="B144" s="111" t="s">
        <v>1322</v>
      </c>
      <c r="C144" s="515"/>
      <c r="D144" s="553"/>
      <c r="E144" s="534"/>
      <c r="F144" s="113"/>
      <c r="G144" s="113"/>
      <c r="H144" s="113"/>
      <c r="I144" s="554"/>
      <c r="J144" s="532"/>
      <c r="K144" s="111"/>
      <c r="L144" s="517"/>
      <c r="M144" s="111"/>
    </row>
    <row r="145" spans="1:13" s="525" customFormat="1" ht="16.5" hidden="1" customHeight="1">
      <c r="A145" s="81"/>
      <c r="B145" s="111" t="s">
        <v>1008</v>
      </c>
      <c r="C145" s="515">
        <v>1</v>
      </c>
      <c r="D145" s="553" t="s">
        <v>265</v>
      </c>
      <c r="E145" s="534">
        <v>5</v>
      </c>
      <c r="F145" s="113">
        <v>1.52</v>
      </c>
      <c r="G145" s="113">
        <v>0.23</v>
      </c>
      <c r="H145" s="113">
        <v>0</v>
      </c>
      <c r="I145" s="523">
        <f t="shared" ref="I145:I146" si="20">ROUND(IF(AND(F145:H145),C145*E145*F145*G145*H145,IF(AND(F145,G145),C145*E145*F145*G145,IF(AND(F145,H145),C145*E145*F145*H145,IF(AND(G145,H145),C145*E145*G145*H145,IF(F145,C145*E145*F145,IF(G145,C145*E145*G145,IF(H145,C145*E145*H145,C145*E145))))))),2)</f>
        <v>1.75</v>
      </c>
      <c r="J145" s="532" t="s">
        <v>102</v>
      </c>
      <c r="K145" s="111"/>
      <c r="L145" s="517"/>
      <c r="M145" s="111"/>
    </row>
    <row r="146" spans="1:13" s="525" customFormat="1" ht="16.5" hidden="1" customHeight="1">
      <c r="A146" s="81"/>
      <c r="B146" s="111"/>
      <c r="C146" s="515">
        <v>1</v>
      </c>
      <c r="D146" s="553" t="s">
        <v>265</v>
      </c>
      <c r="E146" s="534">
        <v>4</v>
      </c>
      <c r="F146" s="113">
        <v>1.83</v>
      </c>
      <c r="G146" s="113">
        <v>0.23</v>
      </c>
      <c r="H146" s="113">
        <v>0</v>
      </c>
      <c r="I146" s="523">
        <f t="shared" si="20"/>
        <v>1.68</v>
      </c>
      <c r="J146" s="532" t="s">
        <v>102</v>
      </c>
      <c r="K146" s="111"/>
      <c r="L146" s="517"/>
      <c r="M146" s="111"/>
    </row>
    <row r="147" spans="1:13" s="525" customFormat="1" ht="16.5" hidden="1" customHeight="1">
      <c r="A147" s="81"/>
      <c r="B147" s="111" t="s">
        <v>1323</v>
      </c>
      <c r="C147" s="515"/>
      <c r="D147" s="553"/>
      <c r="E147" s="534"/>
      <c r="F147" s="113"/>
      <c r="G147" s="113"/>
      <c r="H147" s="113"/>
      <c r="I147" s="554"/>
      <c r="J147" s="532"/>
      <c r="K147" s="111"/>
      <c r="L147" s="517"/>
      <c r="M147" s="111"/>
    </row>
    <row r="148" spans="1:13" s="525" customFormat="1" ht="16.5" hidden="1" customHeight="1">
      <c r="A148" s="81"/>
      <c r="B148" s="111" t="s">
        <v>1008</v>
      </c>
      <c r="C148" s="515">
        <v>1</v>
      </c>
      <c r="D148" s="553" t="s">
        <v>265</v>
      </c>
      <c r="E148" s="534">
        <v>8</v>
      </c>
      <c r="F148" s="113">
        <v>1.52</v>
      </c>
      <c r="G148" s="113">
        <v>0.23</v>
      </c>
      <c r="H148" s="113">
        <v>0</v>
      </c>
      <c r="I148" s="523">
        <f t="shared" ref="I148" si="21">ROUND(IF(AND(F148:H148),C148*E148*F148*G148*H148,IF(AND(F148,G148),C148*E148*F148*G148,IF(AND(F148,H148),C148*E148*F148*H148,IF(AND(G148,H148),C148*E148*G148*H148,IF(F148,C148*E148*F148,IF(G148,C148*E148*G148,IF(H148,C148*E148*H148,C148*E148))))))),2)</f>
        <v>2.8</v>
      </c>
      <c r="J148" s="532" t="s">
        <v>102</v>
      </c>
      <c r="K148" s="111"/>
      <c r="L148" s="517"/>
      <c r="M148" s="111"/>
    </row>
    <row r="149" spans="1:13" s="525" customFormat="1" ht="16.5" hidden="1" customHeight="1">
      <c r="A149" s="81"/>
      <c r="B149" s="111" t="s">
        <v>1321</v>
      </c>
      <c r="C149" s="515"/>
      <c r="D149" s="553"/>
      <c r="E149" s="534"/>
      <c r="F149" s="113"/>
      <c r="G149" s="113"/>
      <c r="H149" s="113"/>
      <c r="I149" s="554"/>
      <c r="J149" s="532"/>
      <c r="K149" s="111"/>
      <c r="L149" s="517"/>
      <c r="M149" s="111"/>
    </row>
    <row r="150" spans="1:13" s="525" customFormat="1" ht="16.5" hidden="1" customHeight="1">
      <c r="A150" s="81"/>
      <c r="B150" s="111" t="s">
        <v>1021</v>
      </c>
      <c r="C150" s="515">
        <v>1</v>
      </c>
      <c r="D150" s="553" t="s">
        <v>265</v>
      </c>
      <c r="E150" s="534">
        <v>1</v>
      </c>
      <c r="F150" s="113">
        <v>2.7</v>
      </c>
      <c r="G150" s="113">
        <v>1.52</v>
      </c>
      <c r="H150" s="113">
        <v>0</v>
      </c>
      <c r="I150" s="523">
        <f t="shared" ref="I150:I151" si="22">ROUND(IF(AND(F150:H150),C150*E150*F150*G150*H150,IF(AND(F150,G150),C150*E150*F150*G150,IF(AND(F150,H150),C150*E150*F150*H150,IF(AND(G150,H150),C150*E150*G150*H150,IF(F150,C150*E150*F150,IF(G150,C150*E150*G150,IF(H150,C150*E150*H150,C150*E150))))))),2)</f>
        <v>4.0999999999999996</v>
      </c>
      <c r="J150" s="532" t="s">
        <v>102</v>
      </c>
      <c r="K150" s="111"/>
      <c r="L150" s="517"/>
      <c r="M150" s="111"/>
    </row>
    <row r="151" spans="1:13" s="525" customFormat="1" ht="16.5" hidden="1" customHeight="1">
      <c r="A151" s="81"/>
      <c r="B151" s="111" t="s">
        <v>1022</v>
      </c>
      <c r="C151" s="515">
        <v>1</v>
      </c>
      <c r="D151" s="553" t="s">
        <v>265</v>
      </c>
      <c r="E151" s="534">
        <v>1</v>
      </c>
      <c r="F151" s="113">
        <v>1.4</v>
      </c>
      <c r="G151" s="113">
        <v>1.4</v>
      </c>
      <c r="H151" s="113">
        <v>0</v>
      </c>
      <c r="I151" s="523">
        <f t="shared" si="22"/>
        <v>1.96</v>
      </c>
      <c r="J151" s="532" t="s">
        <v>102</v>
      </c>
      <c r="K151" s="111"/>
      <c r="L151" s="517"/>
      <c r="M151" s="111"/>
    </row>
    <row r="152" spans="1:13" s="525" customFormat="1" ht="16.5" hidden="1" customHeight="1">
      <c r="A152" s="81"/>
      <c r="B152" s="526"/>
      <c r="C152" s="527"/>
      <c r="D152" s="528"/>
      <c r="E152" s="529"/>
      <c r="F152" s="530"/>
      <c r="G152" s="530"/>
      <c r="H152" s="530"/>
      <c r="I152" s="531"/>
      <c r="J152" s="532"/>
      <c r="K152" s="111"/>
      <c r="L152" s="517"/>
      <c r="M152" s="111"/>
    </row>
    <row r="153" spans="1:13" hidden="1">
      <c r="A153" s="81"/>
      <c r="B153" s="111"/>
      <c r="C153" s="112"/>
      <c r="D153" s="533"/>
      <c r="E153" s="534"/>
      <c r="F153" s="113"/>
      <c r="G153" s="539"/>
      <c r="H153" s="81"/>
      <c r="I153" s="531"/>
      <c r="J153" s="532" t="s">
        <v>102</v>
      </c>
      <c r="K153" s="12">
        <f>'DATA 2024-25'!E299</f>
        <v>450.89</v>
      </c>
      <c r="L153" s="517" t="s">
        <v>267</v>
      </c>
      <c r="M153" s="11">
        <f>ROUND(I153*K153,0)</f>
        <v>0</v>
      </c>
    </row>
    <row r="154" spans="1:13" ht="98.25" customHeight="1">
      <c r="A154" s="81">
        <v>5</v>
      </c>
      <c r="B154" s="910" t="s">
        <v>2289</v>
      </c>
      <c r="C154" s="910"/>
      <c r="D154" s="910"/>
      <c r="E154" s="910"/>
      <c r="F154" s="910"/>
      <c r="G154" s="910"/>
      <c r="H154" s="910"/>
      <c r="I154" s="515"/>
      <c r="J154" s="516"/>
      <c r="K154" s="81"/>
      <c r="L154" s="517"/>
      <c r="M154" s="110"/>
    </row>
    <row r="155" spans="1:13" s="525" customFormat="1" ht="16.5" customHeight="1">
      <c r="A155" s="81"/>
      <c r="B155" s="538"/>
      <c r="C155" s="540">
        <v>1</v>
      </c>
      <c r="D155" s="541" t="s">
        <v>265</v>
      </c>
      <c r="E155" s="556">
        <v>1</v>
      </c>
      <c r="F155" s="536">
        <v>1.5</v>
      </c>
      <c r="G155" s="536">
        <v>0.23</v>
      </c>
      <c r="H155" s="536">
        <v>0.15</v>
      </c>
      <c r="I155" s="523">
        <f>ROUND(IF(AND(F155:H155),C155*E155*F155*G155*H155,IF(AND(F155,G155),C155*E155*F155*G155,IF(AND(F155,H155),C155*E155*F155*H155,IF(AND(G155,H155),C155*E155*G155*H155,IF(F155,C155*E155*F155,IF(G155,C155*E155*G155,IF(H155,C155*E155*H155,C155*E155))))))),2)</f>
        <v>0.05</v>
      </c>
      <c r="J155" s="537" t="s">
        <v>5</v>
      </c>
      <c r="K155" s="111"/>
      <c r="L155" s="81"/>
      <c r="M155" s="111"/>
    </row>
    <row r="156" spans="1:13" s="525" customFormat="1" ht="16.5" customHeight="1">
      <c r="A156" s="81"/>
      <c r="B156" s="538"/>
      <c r="C156" s="540">
        <v>1</v>
      </c>
      <c r="D156" s="541" t="s">
        <v>265</v>
      </c>
      <c r="E156" s="556">
        <v>3</v>
      </c>
      <c r="F156" s="536">
        <v>1.2</v>
      </c>
      <c r="G156" s="536">
        <v>0.23</v>
      </c>
      <c r="H156" s="536">
        <v>0.15</v>
      </c>
      <c r="I156" s="523">
        <f>ROUND(IF(AND(F156:H156),C156*E156*F156*G156*H156,IF(AND(F156,G156),C156*E156*F156*G156,IF(AND(F156,H156),C156*E156*F156*H156,IF(AND(G156,H156),C156*E156*G156*H156,IF(F156,C156*E156*F156,IF(G156,C156*E156*G156,IF(H156,C156*E156*H156,C156*E156))))))),2)</f>
        <v>0.12</v>
      </c>
      <c r="J156" s="537" t="s">
        <v>5</v>
      </c>
      <c r="K156" s="111"/>
      <c r="L156" s="81"/>
      <c r="M156" s="111"/>
    </row>
    <row r="157" spans="1:13" s="525" customFormat="1" ht="16.5" customHeight="1">
      <c r="A157" s="81"/>
      <c r="B157" s="538"/>
      <c r="C157" s="540">
        <v>1</v>
      </c>
      <c r="D157" s="541" t="s">
        <v>265</v>
      </c>
      <c r="E157" s="556">
        <v>5</v>
      </c>
      <c r="F157" s="536">
        <v>1.8</v>
      </c>
      <c r="G157" s="536">
        <v>0.23</v>
      </c>
      <c r="H157" s="536">
        <v>0.15</v>
      </c>
      <c r="I157" s="523">
        <f>ROUND(IF(AND(F157:H157),C157*E157*F157*G157*H157,IF(AND(F157,G157),C157*E157*F157*G157,IF(AND(F157,H157),C157*E157*F157*H157,IF(AND(G157,H157),C157*E157*G157*H157,IF(F157,C157*E157*F157,IF(G157,C157*E157*G157,IF(H157,C157*E157*H157,C157*E157))))))),2)</f>
        <v>0.31</v>
      </c>
      <c r="J157" s="537" t="s">
        <v>5</v>
      </c>
      <c r="K157" s="111"/>
      <c r="L157" s="81"/>
      <c r="M157" s="111"/>
    </row>
    <row r="158" spans="1:13" s="525" customFormat="1" ht="16.5" customHeight="1">
      <c r="A158" s="81"/>
      <c r="B158" s="538"/>
      <c r="C158" s="540">
        <v>1</v>
      </c>
      <c r="D158" s="541" t="s">
        <v>265</v>
      </c>
      <c r="E158" s="556">
        <v>3</v>
      </c>
      <c r="F158" s="536">
        <v>1.2</v>
      </c>
      <c r="G158" s="536">
        <v>0.23</v>
      </c>
      <c r="H158" s="536">
        <v>0.15</v>
      </c>
      <c r="I158" s="523">
        <f>ROUND(IF(AND(F158:H158),C158*E158*F158*G158*H158,IF(AND(F158,G158),C158*E158*F158*G158,IF(AND(F158,H158),C158*E158*F158*H158,IF(AND(G158,H158),C158*E158*G158*H158,IF(F158,C158*E158*F158,IF(G158,C158*E158*G158,IF(H158,C158*E158*H158,C158*E158))))))),2)</f>
        <v>0.12</v>
      </c>
      <c r="J158" s="537" t="s">
        <v>5</v>
      </c>
      <c r="K158" s="111"/>
      <c r="L158" s="81"/>
      <c r="M158" s="111"/>
    </row>
    <row r="159" spans="1:13" s="525" customFormat="1" ht="16.5" customHeight="1">
      <c r="A159" s="81"/>
      <c r="B159" s="526"/>
      <c r="C159" s="527"/>
      <c r="D159" s="528"/>
      <c r="E159" s="529"/>
      <c r="F159" s="113"/>
      <c r="G159" s="113"/>
      <c r="H159" s="113"/>
      <c r="I159" s="531"/>
      <c r="J159" s="532"/>
      <c r="K159" s="111"/>
      <c r="L159" s="517"/>
      <c r="M159" s="111"/>
    </row>
    <row r="160" spans="1:13">
      <c r="A160" s="81"/>
      <c r="B160" s="111"/>
      <c r="C160" s="112"/>
      <c r="D160" s="533"/>
      <c r="E160" s="534"/>
      <c r="F160" s="113"/>
      <c r="G160" s="539"/>
      <c r="H160" s="81"/>
      <c r="I160" s="531">
        <f>SUM(I155:I159)</f>
        <v>0.6</v>
      </c>
      <c r="J160" s="532" t="s">
        <v>5</v>
      </c>
      <c r="K160" s="12">
        <f>'DATA 2024-25'!E198</f>
        <v>12811.849999999999</v>
      </c>
      <c r="L160" s="517" t="s">
        <v>266</v>
      </c>
      <c r="M160" s="11">
        <f>ROUND(I160*K160,0)</f>
        <v>7687</v>
      </c>
    </row>
    <row r="161" spans="1:13" ht="99.75" customHeight="1">
      <c r="A161" s="81">
        <v>6</v>
      </c>
      <c r="B161" s="910" t="s">
        <v>2290</v>
      </c>
      <c r="C161" s="910"/>
      <c r="D161" s="910"/>
      <c r="E161" s="910"/>
      <c r="F161" s="910"/>
      <c r="G161" s="910"/>
      <c r="H161" s="910"/>
      <c r="I161" s="515"/>
      <c r="J161" s="516"/>
      <c r="K161" s="81"/>
      <c r="L161" s="517"/>
      <c r="M161" s="110"/>
    </row>
    <row r="162" spans="1:13" s="525" customFormat="1" ht="16.5" customHeight="1">
      <c r="A162" s="81"/>
      <c r="B162" s="538"/>
      <c r="C162" s="515">
        <v>1</v>
      </c>
      <c r="D162" s="553" t="s">
        <v>265</v>
      </c>
      <c r="E162" s="534">
        <v>4</v>
      </c>
      <c r="F162" s="12">
        <v>1.8</v>
      </c>
      <c r="G162" s="12">
        <v>0</v>
      </c>
      <c r="H162" s="12">
        <v>0</v>
      </c>
      <c r="I162" s="523">
        <f t="shared" ref="I162:I163" si="23">ROUND(IF(AND(F162:H162),C162*E162*F162*G162*H162,IF(AND(F162,G162),C162*E162*F162*G162,IF(AND(F162,H162),C162*E162*F162*H162,IF(AND(G162,H162),C162*E162*G162*H162,IF(F162,C162*E162*F162,IF(G162,C162*E162*G162,IF(H162,C162*E162*H162,C162*E162))))))),2)</f>
        <v>7.2</v>
      </c>
      <c r="J162" s="537" t="s">
        <v>271</v>
      </c>
      <c r="K162" s="111"/>
      <c r="L162" s="81"/>
      <c r="M162" s="111"/>
    </row>
    <row r="163" spans="1:13" s="525" customFormat="1" ht="16.5" customHeight="1">
      <c r="A163" s="81"/>
      <c r="B163" s="538"/>
      <c r="C163" s="515">
        <v>1</v>
      </c>
      <c r="D163" s="553" t="s">
        <v>265</v>
      </c>
      <c r="E163" s="534">
        <v>2</v>
      </c>
      <c r="F163" s="12">
        <v>1.2</v>
      </c>
      <c r="G163" s="12">
        <v>0</v>
      </c>
      <c r="H163" s="12">
        <v>0</v>
      </c>
      <c r="I163" s="523">
        <f t="shared" si="23"/>
        <v>2.4</v>
      </c>
      <c r="J163" s="537" t="s">
        <v>271</v>
      </c>
      <c r="K163" s="111"/>
      <c r="L163" s="81"/>
      <c r="M163" s="111"/>
    </row>
    <row r="164" spans="1:13" s="525" customFormat="1" ht="16.5" customHeight="1">
      <c r="A164" s="81"/>
      <c r="B164" s="526"/>
      <c r="C164" s="527"/>
      <c r="D164" s="528"/>
      <c r="E164" s="529"/>
      <c r="F164" s="530"/>
      <c r="G164" s="530"/>
      <c r="H164" s="530"/>
      <c r="I164" s="531"/>
      <c r="J164" s="532"/>
      <c r="K164" s="111"/>
      <c r="L164" s="517"/>
      <c r="M164" s="111"/>
    </row>
    <row r="165" spans="1:13">
      <c r="A165" s="81"/>
      <c r="B165" s="111"/>
      <c r="C165" s="112"/>
      <c r="D165" s="533"/>
      <c r="E165" s="534"/>
      <c r="F165" s="113"/>
      <c r="G165" s="539"/>
      <c r="H165" s="81"/>
      <c r="I165" s="531">
        <f>SUM(I162:I164)</f>
        <v>9.6</v>
      </c>
      <c r="J165" s="532" t="s">
        <v>271</v>
      </c>
      <c r="K165" s="12">
        <f>'DATA 2024-25'!E269</f>
        <v>839.82</v>
      </c>
      <c r="L165" s="517" t="s">
        <v>273</v>
      </c>
      <c r="M165" s="11">
        <f>ROUND(I165*K165,0)</f>
        <v>8062</v>
      </c>
    </row>
    <row r="166" spans="1:13" ht="64.5" customHeight="1">
      <c r="A166" s="81">
        <v>7</v>
      </c>
      <c r="B166" s="910" t="s">
        <v>144</v>
      </c>
      <c r="C166" s="910"/>
      <c r="D166" s="910"/>
      <c r="E166" s="910"/>
      <c r="F166" s="910"/>
      <c r="G166" s="910"/>
      <c r="H166" s="910"/>
      <c r="I166" s="515"/>
      <c r="J166" s="516"/>
      <c r="K166" s="81"/>
      <c r="L166" s="517"/>
      <c r="M166" s="110"/>
    </row>
    <row r="167" spans="1:13" s="525" customFormat="1" ht="16.5" customHeight="1">
      <c r="A167" s="81"/>
      <c r="B167" s="559" t="s">
        <v>1811</v>
      </c>
      <c r="C167" s="540">
        <v>1</v>
      </c>
      <c r="D167" s="541" t="s">
        <v>265</v>
      </c>
      <c r="E167" s="556">
        <v>1</v>
      </c>
      <c r="F167" s="569">
        <v>9.35</v>
      </c>
      <c r="G167" s="569">
        <v>7.4</v>
      </c>
      <c r="H167" s="551">
        <v>0</v>
      </c>
      <c r="I167" s="636">
        <f>ROUND(IF(AND(F167:H167),C167*E167*F167*G167*H167,IF(AND(F167,G167),C167*E167*F167*G167,IF(AND(F167,H167),C167*E167*F167*H167,IF(AND(G167,H167),C167*E167*G167*H167,IF(F167,C167*E167*F167,IF(G167,C167*E167*G167,IF(H167,C167*E167*H167,C167*E167))))))),2)</f>
        <v>69.19</v>
      </c>
      <c r="J167" s="849" t="s">
        <v>102</v>
      </c>
      <c r="K167" s="111"/>
      <c r="L167" s="517"/>
      <c r="M167" s="111"/>
    </row>
    <row r="168" spans="1:13" s="525" customFormat="1" ht="16.5" customHeight="1">
      <c r="A168" s="81"/>
      <c r="B168" s="526"/>
      <c r="C168" s="527"/>
      <c r="D168" s="528"/>
      <c r="E168" s="529"/>
      <c r="F168" s="530"/>
      <c r="G168" s="530"/>
      <c r="H168" s="530"/>
      <c r="I168" s="531"/>
      <c r="J168" s="532"/>
      <c r="K168" s="111"/>
      <c r="L168" s="517"/>
      <c r="M168" s="111"/>
    </row>
    <row r="169" spans="1:13">
      <c r="A169" s="81"/>
      <c r="B169" s="111"/>
      <c r="C169" s="112"/>
      <c r="D169" s="533"/>
      <c r="E169" s="534"/>
      <c r="F169" s="113"/>
      <c r="G169" s="539"/>
      <c r="H169" s="81"/>
      <c r="I169" s="531">
        <f>SUM(I167:I168)</f>
        <v>69.19</v>
      </c>
      <c r="J169" s="532" t="s">
        <v>102</v>
      </c>
      <c r="K169" s="12">
        <f>'DATA 2024-25'!E633</f>
        <v>376.15</v>
      </c>
      <c r="L169" s="517" t="s">
        <v>267</v>
      </c>
      <c r="M169" s="11">
        <f>ROUND(I169*K169,0)</f>
        <v>26026</v>
      </c>
    </row>
    <row r="170" spans="1:13" ht="64.5" hidden="1" customHeight="1">
      <c r="A170" s="81">
        <v>14</v>
      </c>
      <c r="B170" s="910" t="s">
        <v>1105</v>
      </c>
      <c r="C170" s="910"/>
      <c r="D170" s="910"/>
      <c r="E170" s="910"/>
      <c r="F170" s="910"/>
      <c r="G170" s="910"/>
      <c r="H170" s="910"/>
      <c r="I170" s="515"/>
      <c r="J170" s="516"/>
      <c r="K170" s="81"/>
      <c r="L170" s="517"/>
      <c r="M170" s="110"/>
    </row>
    <row r="171" spans="1:13" s="525" customFormat="1" ht="16.5" hidden="1" customHeight="1">
      <c r="A171" s="81"/>
      <c r="B171" s="111" t="s">
        <v>1248</v>
      </c>
      <c r="C171" s="515"/>
      <c r="D171" s="553"/>
      <c r="E171" s="534"/>
      <c r="F171" s="113"/>
      <c r="G171" s="113"/>
      <c r="H171" s="113"/>
      <c r="I171" s="554"/>
      <c r="J171" s="532"/>
      <c r="K171" s="111"/>
      <c r="L171" s="517"/>
      <c r="M171" s="111"/>
    </row>
    <row r="172" spans="1:13" s="525" customFormat="1" ht="16.5" hidden="1" customHeight="1">
      <c r="A172" s="81"/>
      <c r="B172" s="111"/>
      <c r="C172" s="515">
        <v>1</v>
      </c>
      <c r="D172" s="553" t="s">
        <v>265</v>
      </c>
      <c r="E172" s="534">
        <v>1</v>
      </c>
      <c r="F172" s="113">
        <v>10.45</v>
      </c>
      <c r="G172" s="113">
        <v>12</v>
      </c>
      <c r="H172" s="113">
        <v>0</v>
      </c>
      <c r="I172" s="523">
        <f t="shared" ref="I172:I173" si="24">ROUND(IF(AND(F172:H172),C172*E172*F172*G172*H172,IF(AND(F172,G172),C172*E172*F172*G172,IF(AND(F172,H172),C172*E172*F172*H172,IF(AND(G172,H172),C172*E172*G172*H172,IF(F172,C172*E172*F172,IF(G172,C172*E172*G172,IF(H172,C172*E172*H172,C172*E172))))))),2)</f>
        <v>125.4</v>
      </c>
      <c r="J172" s="532" t="s">
        <v>102</v>
      </c>
      <c r="K172" s="111"/>
      <c r="L172" s="517"/>
      <c r="M172" s="111"/>
    </row>
    <row r="173" spans="1:13" s="525" customFormat="1" ht="16.5" hidden="1" customHeight="1">
      <c r="A173" s="81"/>
      <c r="B173" s="111"/>
      <c r="C173" s="515">
        <v>1</v>
      </c>
      <c r="D173" s="553" t="s">
        <v>265</v>
      </c>
      <c r="E173" s="534">
        <v>1</v>
      </c>
      <c r="F173" s="113">
        <v>3.52</v>
      </c>
      <c r="G173" s="113">
        <v>0.9</v>
      </c>
      <c r="H173" s="113">
        <v>0</v>
      </c>
      <c r="I173" s="523">
        <f t="shared" si="24"/>
        <v>3.17</v>
      </c>
      <c r="J173" s="532" t="s">
        <v>102</v>
      </c>
      <c r="K173" s="111"/>
      <c r="L173" s="517"/>
      <c r="M173" s="111"/>
    </row>
    <row r="174" spans="1:13" s="525" customFormat="1" ht="16.5" hidden="1" customHeight="1">
      <c r="A174" s="81"/>
      <c r="B174" s="526"/>
      <c r="C174" s="527"/>
      <c r="D174" s="528"/>
      <c r="E174" s="529"/>
      <c r="F174" s="530"/>
      <c r="G174" s="530"/>
      <c r="H174" s="530"/>
      <c r="I174" s="531"/>
      <c r="J174" s="532"/>
      <c r="K174" s="111"/>
      <c r="L174" s="517"/>
      <c r="M174" s="111"/>
    </row>
    <row r="175" spans="1:13" hidden="1">
      <c r="A175" s="81"/>
      <c r="B175" s="111"/>
      <c r="C175" s="112"/>
      <c r="D175" s="533"/>
      <c r="E175" s="534"/>
      <c r="F175" s="113"/>
      <c r="G175" s="539"/>
      <c r="H175" s="81"/>
      <c r="I175" s="531"/>
      <c r="J175" s="532" t="s">
        <v>102</v>
      </c>
      <c r="K175" s="12">
        <f>'DATA 2024-25'!E648</f>
        <v>428.88</v>
      </c>
      <c r="L175" s="517" t="s">
        <v>267</v>
      </c>
      <c r="M175" s="11">
        <f>ROUND(I175*K175,0)</f>
        <v>0</v>
      </c>
    </row>
    <row r="176" spans="1:13" ht="44.25" hidden="1" customHeight="1">
      <c r="A176" s="81">
        <v>14</v>
      </c>
      <c r="B176" s="910" t="s">
        <v>955</v>
      </c>
      <c r="C176" s="910"/>
      <c r="D176" s="910"/>
      <c r="E176" s="910"/>
      <c r="F176" s="910"/>
      <c r="G176" s="910"/>
      <c r="H176" s="910"/>
      <c r="I176" s="515"/>
      <c r="J176" s="516"/>
      <c r="K176" s="81"/>
      <c r="L176" s="517"/>
      <c r="M176" s="110"/>
    </row>
    <row r="177" spans="1:13" s="525" customFormat="1" ht="16.5" hidden="1" customHeight="1">
      <c r="A177" s="81"/>
      <c r="B177" s="262" t="s">
        <v>1796</v>
      </c>
      <c r="C177" s="515">
        <v>1</v>
      </c>
      <c r="D177" s="553" t="s">
        <v>265</v>
      </c>
      <c r="E177" s="534">
        <v>2</v>
      </c>
      <c r="F177" s="12">
        <v>12.77</v>
      </c>
      <c r="G177" s="113">
        <v>0.45</v>
      </c>
      <c r="H177" s="12">
        <v>1.2</v>
      </c>
      <c r="I177" s="523">
        <f>ROUND(IF(AND(F177:H177),C177*E177*F177*G177*H177,IF(AND(F177,G177),C177*E177*F177*G177,IF(AND(F177,H177),C177*E177*F177*H177,IF(AND(G177,H177),C177*E177*G177*H177,IF(F177,C177*E177*F177,IF(G177,C177*E177*G177,IF(H177,C177*E177*H177,C177*E177))))))),2)</f>
        <v>13.79</v>
      </c>
      <c r="J177" s="537" t="s">
        <v>5</v>
      </c>
      <c r="K177" s="111"/>
      <c r="L177" s="517"/>
      <c r="M177" s="111"/>
    </row>
    <row r="178" spans="1:13" s="525" customFormat="1" ht="16.5" hidden="1" customHeight="1">
      <c r="A178" s="81"/>
      <c r="B178" s="262" t="s">
        <v>1805</v>
      </c>
      <c r="C178" s="515">
        <v>1</v>
      </c>
      <c r="D178" s="553" t="s">
        <v>265</v>
      </c>
      <c r="E178" s="534">
        <v>2</v>
      </c>
      <c r="F178" s="12">
        <v>7.85</v>
      </c>
      <c r="G178" s="113">
        <v>0.45</v>
      </c>
      <c r="H178" s="12">
        <v>1.2</v>
      </c>
      <c r="I178" s="523">
        <f>ROUND(IF(AND(F178:H178),C178*E178*F178*G178*H178,IF(AND(F178,G178),C178*E178*F178*G178,IF(AND(F178,H178),C178*E178*F178*H178,IF(AND(G178,H178),C178*E178*G178*H178,IF(F178,C178*E178*F178,IF(G178,C178*E178*G178,IF(H178,C178*E178*H178,C178*E178))))))),2)</f>
        <v>8.48</v>
      </c>
      <c r="J178" s="537" t="s">
        <v>5</v>
      </c>
      <c r="K178" s="111"/>
      <c r="L178" s="517"/>
      <c r="M178" s="111"/>
    </row>
    <row r="179" spans="1:13" s="525" customFormat="1" ht="16.5" hidden="1" customHeight="1">
      <c r="A179" s="81"/>
      <c r="B179" s="262" t="s">
        <v>2245</v>
      </c>
      <c r="C179" s="515">
        <v>1</v>
      </c>
      <c r="D179" s="553" t="s">
        <v>265</v>
      </c>
      <c r="E179" s="534">
        <v>1</v>
      </c>
      <c r="F179" s="12">
        <v>4</v>
      </c>
      <c r="G179" s="113">
        <v>0.45</v>
      </c>
      <c r="H179" s="12">
        <v>1.2</v>
      </c>
      <c r="I179" s="523">
        <f t="shared" ref="I179:I180" si="25">ROUND(IF(AND(F179:H179),C179*E179*F179*G179*H179,IF(AND(F179,G179),C179*E179*F179*G179,IF(AND(F179,H179),C179*E179*F179*H179,IF(AND(G179,H179),C179*E179*G179*H179,IF(F179,C179*E179*F179,IF(G179,C179*E179*G179,IF(H179,C179*E179*H179,C179*E179))))))),2)</f>
        <v>2.16</v>
      </c>
      <c r="J179" s="537" t="s">
        <v>5</v>
      </c>
      <c r="K179" s="111"/>
      <c r="L179" s="517"/>
      <c r="M179" s="111"/>
    </row>
    <row r="180" spans="1:13" s="525" customFormat="1" ht="16.5" hidden="1" customHeight="1">
      <c r="A180" s="81"/>
      <c r="B180" s="262" t="s">
        <v>2246</v>
      </c>
      <c r="C180" s="515">
        <v>1</v>
      </c>
      <c r="D180" s="553" t="s">
        <v>265</v>
      </c>
      <c r="E180" s="534">
        <v>2</v>
      </c>
      <c r="F180" s="12">
        <v>1.45</v>
      </c>
      <c r="G180" s="113">
        <v>1.45</v>
      </c>
      <c r="H180" s="12">
        <v>1.2</v>
      </c>
      <c r="I180" s="523">
        <f t="shared" si="25"/>
        <v>5.05</v>
      </c>
      <c r="J180" s="537" t="s">
        <v>5</v>
      </c>
      <c r="K180" s="111"/>
      <c r="L180" s="517"/>
      <c r="M180" s="111"/>
    </row>
    <row r="181" spans="1:13" s="525" customFormat="1" ht="16.5" hidden="1" customHeight="1">
      <c r="A181" s="81"/>
      <c r="B181" s="262" t="s">
        <v>2247</v>
      </c>
      <c r="C181" s="515">
        <v>1</v>
      </c>
      <c r="D181" s="553" t="s">
        <v>265</v>
      </c>
      <c r="E181" s="534">
        <v>1</v>
      </c>
      <c r="F181" s="12">
        <v>0.45</v>
      </c>
      <c r="G181" s="113">
        <v>0.3</v>
      </c>
      <c r="H181" s="12">
        <v>1.2</v>
      </c>
      <c r="I181" s="523">
        <f>-ROUND(IF(AND(F181:H181),C181*E181*F181*G181*H181,IF(AND(F181,G181),C181*E181*F181*G181,IF(AND(F181,H181),C181*E181*F181*H181,IF(AND(G181,H181),C181*E181*G181*H181,IF(F181,C181*E181*F181,IF(G181,C181*E181*G181,IF(H181,C181*E181*H181,C181*E181))))))),2)</f>
        <v>-0.16</v>
      </c>
      <c r="J181" s="537" t="s">
        <v>5</v>
      </c>
      <c r="K181" s="111"/>
      <c r="L181" s="517"/>
      <c r="M181" s="111"/>
    </row>
    <row r="182" spans="1:13" s="525" customFormat="1" ht="16.5" hidden="1" customHeight="1">
      <c r="A182" s="81"/>
      <c r="B182" s="262" t="s">
        <v>2248</v>
      </c>
      <c r="C182" s="515">
        <v>1</v>
      </c>
      <c r="D182" s="553" t="s">
        <v>265</v>
      </c>
      <c r="E182" s="534">
        <v>2</v>
      </c>
      <c r="F182" s="12">
        <v>0.38</v>
      </c>
      <c r="G182" s="113">
        <v>0.3</v>
      </c>
      <c r="H182" s="12">
        <v>1.2</v>
      </c>
      <c r="I182" s="523">
        <f>-ROUND(IF(AND(F182:H182),C182*E182*F182*G182*H182,IF(AND(F182,G182),C182*E182*F182*G182,IF(AND(F182,H182),C182*E182*F182*H182,IF(AND(G182,H182),C182*E182*G182*H182,IF(F182,C182*E182*F182,IF(G182,C182*E182*G182,IF(H182,C182*E182*H182,C182*E182))))))),2)</f>
        <v>-0.27</v>
      </c>
      <c r="J182" s="537" t="s">
        <v>5</v>
      </c>
      <c r="K182" s="111"/>
      <c r="L182" s="517"/>
      <c r="M182" s="111"/>
    </row>
    <row r="183" spans="1:13" s="525" customFormat="1" ht="16.5" hidden="1" customHeight="1">
      <c r="A183" s="81"/>
      <c r="B183" s="262" t="s">
        <v>2249</v>
      </c>
      <c r="C183" s="515">
        <v>1</v>
      </c>
      <c r="D183" s="553" t="s">
        <v>265</v>
      </c>
      <c r="E183" s="534">
        <v>7</v>
      </c>
      <c r="F183" s="12">
        <v>0.38</v>
      </c>
      <c r="G183" s="113">
        <v>0.3</v>
      </c>
      <c r="H183" s="12">
        <v>1.2</v>
      </c>
      <c r="I183" s="523">
        <f>-ROUND(IF(AND(F183:H183),C183*E183*F183*G183*H183,IF(AND(F183,G183),C183*E183*F183*G183,IF(AND(F183,H183),C183*E183*F183*H183,IF(AND(G183,H183),C183*E183*G183*H183,IF(F183,C183*E183*F183,IF(G183,C183*E183*G183,IF(H183,C183*E183*H183,C183*E183))))))),2)</f>
        <v>-0.96</v>
      </c>
      <c r="J183" s="537" t="s">
        <v>5</v>
      </c>
      <c r="K183" s="111"/>
      <c r="L183" s="517"/>
      <c r="M183" s="111"/>
    </row>
    <row r="184" spans="1:13" s="525" customFormat="1" ht="16.5" hidden="1" customHeight="1">
      <c r="A184" s="81"/>
      <c r="B184" s="526"/>
      <c r="C184" s="527"/>
      <c r="D184" s="528"/>
      <c r="E184" s="529"/>
      <c r="F184" s="530"/>
      <c r="G184" s="530"/>
      <c r="H184" s="530"/>
      <c r="I184" s="531"/>
      <c r="J184" s="532"/>
      <c r="K184" s="111"/>
      <c r="L184" s="517"/>
      <c r="M184" s="111"/>
    </row>
    <row r="185" spans="1:13" hidden="1">
      <c r="A185" s="81"/>
      <c r="B185" s="111"/>
      <c r="C185" s="112"/>
      <c r="D185" s="533"/>
      <c r="E185" s="534"/>
      <c r="F185" s="113"/>
      <c r="G185" s="539"/>
      <c r="H185" s="81"/>
      <c r="I185" s="531"/>
      <c r="J185" s="532" t="s">
        <v>5</v>
      </c>
      <c r="K185" s="12">
        <f>'DATA 2024-25'!G417</f>
        <v>4055.51</v>
      </c>
      <c r="L185" s="517" t="s">
        <v>266</v>
      </c>
      <c r="M185" s="11">
        <f>ROUND(I185*K185,0)</f>
        <v>0</v>
      </c>
    </row>
    <row r="186" spans="1:13" ht="69.75" customHeight="1">
      <c r="A186" s="81">
        <v>8</v>
      </c>
      <c r="B186" s="910" t="s">
        <v>298</v>
      </c>
      <c r="C186" s="910"/>
      <c r="D186" s="910"/>
      <c r="E186" s="910"/>
      <c r="F186" s="910"/>
      <c r="G186" s="910"/>
      <c r="H186" s="910"/>
      <c r="I186" s="515"/>
      <c r="J186" s="516"/>
      <c r="K186" s="81"/>
      <c r="L186" s="517"/>
      <c r="M186" s="110"/>
    </row>
    <row r="187" spans="1:13" s="525" customFormat="1" ht="16.5" customHeight="1">
      <c r="A187" s="81"/>
      <c r="B187" s="262" t="s">
        <v>1796</v>
      </c>
      <c r="C187" s="515">
        <v>1</v>
      </c>
      <c r="D187" s="541" t="s">
        <v>265</v>
      </c>
      <c r="E187" s="534">
        <v>2</v>
      </c>
      <c r="F187" s="12">
        <v>8.5399999999999991</v>
      </c>
      <c r="G187" s="12">
        <v>0.23</v>
      </c>
      <c r="H187" s="12">
        <v>2.1</v>
      </c>
      <c r="I187" s="523">
        <f t="shared" ref="I187:I188" si="26">ROUND(IF(AND(F187:H187),C187*E187*F187*G187*H187,IF(AND(F187,G187),C187*E187*F187*G187,IF(AND(F187,H187),C187*E187*F187*H187,IF(AND(G187,H187),C187*E187*G187*H187,IF(F187,C187*E187*F187,IF(G187,C187*E187*G187,IF(H187,C187*E187*H187,C187*E187))))))),2)</f>
        <v>8.25</v>
      </c>
      <c r="J187" s="537" t="s">
        <v>5</v>
      </c>
      <c r="K187" s="111"/>
      <c r="L187" s="81"/>
      <c r="M187" s="111"/>
    </row>
    <row r="188" spans="1:13" s="525" customFormat="1" ht="16.5" customHeight="1">
      <c r="A188" s="81"/>
      <c r="B188" s="262" t="s">
        <v>1805</v>
      </c>
      <c r="C188" s="515">
        <v>1</v>
      </c>
      <c r="D188" s="541" t="s">
        <v>265</v>
      </c>
      <c r="E188" s="534">
        <v>3</v>
      </c>
      <c r="F188" s="12">
        <v>5</v>
      </c>
      <c r="G188" s="12">
        <v>0.23</v>
      </c>
      <c r="H188" s="12">
        <v>2.1</v>
      </c>
      <c r="I188" s="523">
        <f t="shared" si="26"/>
        <v>7.25</v>
      </c>
      <c r="J188" s="537" t="s">
        <v>5</v>
      </c>
      <c r="K188" s="111"/>
      <c r="L188" s="81"/>
      <c r="M188" s="111"/>
    </row>
    <row r="189" spans="1:13" s="525" customFormat="1" ht="16.5" customHeight="1">
      <c r="A189" s="81"/>
      <c r="B189" s="538" t="s">
        <v>2168</v>
      </c>
      <c r="C189" s="540"/>
      <c r="D189" s="541"/>
      <c r="E189" s="556"/>
      <c r="F189" s="536"/>
      <c r="G189" s="113"/>
      <c r="H189" s="536"/>
      <c r="I189" s="523"/>
      <c r="J189" s="537"/>
      <c r="K189" s="111"/>
      <c r="L189" s="81"/>
      <c r="M189" s="111"/>
    </row>
    <row r="190" spans="1:13" s="525" customFormat="1" ht="16.5" customHeight="1">
      <c r="A190" s="81"/>
      <c r="B190" s="538" t="s">
        <v>2252</v>
      </c>
      <c r="C190" s="540">
        <v>1</v>
      </c>
      <c r="D190" s="541" t="s">
        <v>265</v>
      </c>
      <c r="E190" s="556">
        <v>1</v>
      </c>
      <c r="F190" s="536">
        <v>1.2</v>
      </c>
      <c r="G190" s="536">
        <v>0.23</v>
      </c>
      <c r="H190" s="536">
        <v>2.1</v>
      </c>
      <c r="I190" s="523">
        <f t="shared" ref="I190:I192" si="27">-ROUND(IF(AND(F190:H190),C190*E190*F190*G190*H190,IF(AND(F190,G190),C190*E190*F190*G190,IF(AND(F190,H190),C190*E190*F190*H190,IF(AND(G190,H190),C190*E190*G190*H190,IF(F190,C190*E190*F190,IF(G190,C190*E190*G190,IF(H190,C190*E190*H190,C190*E190))))))),2)</f>
        <v>-0.57999999999999996</v>
      </c>
      <c r="J190" s="537" t="s">
        <v>5</v>
      </c>
      <c r="K190" s="111"/>
      <c r="L190" s="81"/>
      <c r="M190" s="111"/>
    </row>
    <row r="191" spans="1:13" s="525" customFormat="1" ht="16.5" customHeight="1">
      <c r="A191" s="81"/>
      <c r="B191" s="538" t="s">
        <v>2251</v>
      </c>
      <c r="C191" s="540">
        <v>1</v>
      </c>
      <c r="D191" s="541" t="s">
        <v>265</v>
      </c>
      <c r="E191" s="556">
        <v>5</v>
      </c>
      <c r="F191" s="536">
        <v>1.5</v>
      </c>
      <c r="G191" s="536">
        <v>0.23</v>
      </c>
      <c r="H191" s="536">
        <v>1.35</v>
      </c>
      <c r="I191" s="523">
        <f t="shared" si="27"/>
        <v>-2.33</v>
      </c>
      <c r="J191" s="537" t="s">
        <v>5</v>
      </c>
      <c r="K191" s="111"/>
      <c r="L191" s="81"/>
      <c r="M191" s="111"/>
    </row>
    <row r="192" spans="1:13" s="525" customFormat="1" ht="16.5" customHeight="1">
      <c r="A192" s="81"/>
      <c r="B192" s="538"/>
      <c r="C192" s="540">
        <v>1</v>
      </c>
      <c r="D192" s="541" t="s">
        <v>265</v>
      </c>
      <c r="E192" s="556">
        <v>3</v>
      </c>
      <c r="F192" s="536">
        <v>0.9</v>
      </c>
      <c r="G192" s="536">
        <v>0.23</v>
      </c>
      <c r="H192" s="536">
        <v>1.35</v>
      </c>
      <c r="I192" s="523">
        <f t="shared" si="27"/>
        <v>-0.84</v>
      </c>
      <c r="J192" s="537" t="s">
        <v>5</v>
      </c>
      <c r="K192" s="111"/>
      <c r="L192" s="81"/>
      <c r="M192" s="111"/>
    </row>
    <row r="193" spans="1:13" s="525" customFormat="1" ht="16.5" customHeight="1">
      <c r="A193" s="81"/>
      <c r="B193" s="111"/>
      <c r="C193" s="565"/>
      <c r="D193" s="566"/>
      <c r="E193" s="567"/>
      <c r="F193" s="473"/>
      <c r="G193" s="473"/>
      <c r="H193" s="473"/>
      <c r="I193" s="850"/>
      <c r="J193" s="851"/>
      <c r="K193" s="111"/>
      <c r="L193" s="81"/>
      <c r="M193" s="111"/>
    </row>
    <row r="194" spans="1:13" s="525" customFormat="1" ht="16.5" customHeight="1">
      <c r="A194" s="81"/>
      <c r="B194" s="262" t="s">
        <v>1796</v>
      </c>
      <c r="C194" s="515">
        <v>1</v>
      </c>
      <c r="D194" s="541" t="s">
        <v>265</v>
      </c>
      <c r="E194" s="534">
        <v>2</v>
      </c>
      <c r="F194" s="12">
        <v>8.5399999999999991</v>
      </c>
      <c r="G194" s="12">
        <v>0.23</v>
      </c>
      <c r="H194" s="12">
        <v>0.7</v>
      </c>
      <c r="I194" s="523">
        <f t="shared" ref="I194:I196" si="28">ROUND(IF(AND(F194:H194),C194*E194*F194*G194*H194,IF(AND(F194,G194),C194*E194*F194*G194,IF(AND(F194,H194),C194*E194*F194*H194,IF(AND(G194,H194),C194*E194*G194*H194,IF(F194,C194*E194*F194,IF(G194,C194*E194*G194,IF(H194,C194*E194*H194,C194*E194))))))),2)</f>
        <v>2.75</v>
      </c>
      <c r="J194" s="537" t="s">
        <v>5</v>
      </c>
      <c r="K194" s="111"/>
      <c r="L194" s="81"/>
      <c r="M194" s="111"/>
    </row>
    <row r="195" spans="1:13" s="525" customFormat="1" ht="16.5" customHeight="1">
      <c r="A195" s="81"/>
      <c r="B195" s="262" t="s">
        <v>1805</v>
      </c>
      <c r="C195" s="515">
        <v>1</v>
      </c>
      <c r="D195" s="541" t="s">
        <v>265</v>
      </c>
      <c r="E195" s="534">
        <v>3</v>
      </c>
      <c r="F195" s="12">
        <v>5</v>
      </c>
      <c r="G195" s="12">
        <v>0.23</v>
      </c>
      <c r="H195" s="12">
        <v>0.7</v>
      </c>
      <c r="I195" s="523">
        <f t="shared" si="28"/>
        <v>2.42</v>
      </c>
      <c r="J195" s="537" t="s">
        <v>5</v>
      </c>
      <c r="K195" s="111"/>
      <c r="L195" s="81"/>
      <c r="M195" s="111"/>
    </row>
    <row r="196" spans="1:13" s="525" customFormat="1" ht="16.5" customHeight="1">
      <c r="A196" s="81"/>
      <c r="B196" s="538" t="s">
        <v>2327</v>
      </c>
      <c r="C196" s="540">
        <v>1</v>
      </c>
      <c r="D196" s="541" t="s">
        <v>265</v>
      </c>
      <c r="E196" s="556">
        <v>2</v>
      </c>
      <c r="F196" s="536">
        <v>1.6</v>
      </c>
      <c r="G196" s="113">
        <v>0.115</v>
      </c>
      <c r="H196" s="536">
        <v>3.1</v>
      </c>
      <c r="I196" s="523">
        <f t="shared" si="28"/>
        <v>1.1399999999999999</v>
      </c>
      <c r="J196" s="537" t="s">
        <v>5</v>
      </c>
      <c r="K196" s="111"/>
      <c r="L196" s="81"/>
      <c r="M196" s="111"/>
    </row>
    <row r="197" spans="1:13" s="525" customFormat="1" ht="16.5" customHeight="1">
      <c r="A197" s="81"/>
      <c r="B197" s="538" t="s">
        <v>2168</v>
      </c>
      <c r="C197" s="540"/>
      <c r="D197" s="541"/>
      <c r="E197" s="556"/>
      <c r="F197" s="536"/>
      <c r="G197" s="113"/>
      <c r="H197" s="536"/>
      <c r="I197" s="523"/>
      <c r="J197" s="537"/>
      <c r="K197" s="111"/>
      <c r="L197" s="81"/>
      <c r="M197" s="111"/>
    </row>
    <row r="198" spans="1:13" s="525" customFormat="1" ht="16.5" customHeight="1">
      <c r="A198" s="81"/>
      <c r="B198" s="538" t="s">
        <v>815</v>
      </c>
      <c r="C198" s="540">
        <v>1</v>
      </c>
      <c r="D198" s="541" t="s">
        <v>265</v>
      </c>
      <c r="E198" s="556">
        <v>1</v>
      </c>
      <c r="F198" s="536">
        <v>1.5</v>
      </c>
      <c r="G198" s="113">
        <v>0.23</v>
      </c>
      <c r="H198" s="536">
        <v>0.15</v>
      </c>
      <c r="I198" s="523">
        <f>-ROUND(IF(AND(F198:H198),C198*E198*F198*G198*H198,IF(AND(F198,G198),C198*E198*F198*G198,IF(AND(F198,H198),C198*E198*F198*H198,IF(AND(G198,H198),C198*E198*G198*H198,IF(F198,C198*E198*F198,IF(G198,C198*E198*G198,IF(H198,C198*E198*H198,C198*E198))))))),2)</f>
        <v>-0.05</v>
      </c>
      <c r="J198" s="537" t="s">
        <v>5</v>
      </c>
      <c r="K198" s="111"/>
      <c r="L198" s="81"/>
      <c r="M198" s="111"/>
    </row>
    <row r="199" spans="1:13" s="525" customFormat="1" ht="16.5" customHeight="1">
      <c r="A199" s="81"/>
      <c r="B199" s="538"/>
      <c r="C199" s="540">
        <v>1</v>
      </c>
      <c r="D199" s="541" t="s">
        <v>265</v>
      </c>
      <c r="E199" s="556">
        <v>3</v>
      </c>
      <c r="F199" s="536">
        <v>1.2</v>
      </c>
      <c r="G199" s="113">
        <v>0.23</v>
      </c>
      <c r="H199" s="536">
        <v>0.15</v>
      </c>
      <c r="I199" s="523">
        <f>-ROUND(IF(AND(F199:H199),C199*E199*F199*G199*H199,IF(AND(F199,G199),C199*E199*F199*G199,IF(AND(F199,H199),C199*E199*F199*H199,IF(AND(G199,H199),C199*E199*G199*H199,IF(F199,C199*E199*F199,IF(G199,C199*E199*G199,IF(H199,C199*E199*H199,C199*E199))))))),2)</f>
        <v>-0.12</v>
      </c>
      <c r="J199" s="537" t="s">
        <v>5</v>
      </c>
      <c r="K199" s="111"/>
      <c r="L199" s="81"/>
      <c r="M199" s="111"/>
    </row>
    <row r="200" spans="1:13" s="525" customFormat="1" ht="16.5" customHeight="1">
      <c r="A200" s="81"/>
      <c r="B200" s="538"/>
      <c r="C200" s="540">
        <v>1</v>
      </c>
      <c r="D200" s="541" t="s">
        <v>265</v>
      </c>
      <c r="E200" s="556">
        <v>5</v>
      </c>
      <c r="F200" s="536">
        <v>1.8</v>
      </c>
      <c r="G200" s="113">
        <v>0.23</v>
      </c>
      <c r="H200" s="536">
        <v>0.15</v>
      </c>
      <c r="I200" s="523">
        <f>-ROUND(IF(AND(F200:H200),C200*E200*F200*G200*H200,IF(AND(F200,G200),C200*E200*F200*G200,IF(AND(F200,H200),C200*E200*F200*H200,IF(AND(G200,H200),C200*E200*G200*H200,IF(F200,C200*E200*F200,IF(G200,C200*E200*G200,IF(H200,C200*E200*H200,C200*E200))))))),2)</f>
        <v>-0.31</v>
      </c>
      <c r="J200" s="537" t="s">
        <v>5</v>
      </c>
      <c r="K200" s="111"/>
      <c r="L200" s="81"/>
      <c r="M200" s="111"/>
    </row>
    <row r="201" spans="1:13" s="525" customFormat="1" ht="16.5" customHeight="1">
      <c r="A201" s="81"/>
      <c r="B201" s="538"/>
      <c r="C201" s="540">
        <v>1</v>
      </c>
      <c r="D201" s="541" t="s">
        <v>265</v>
      </c>
      <c r="E201" s="556">
        <v>3</v>
      </c>
      <c r="F201" s="536">
        <v>1.2</v>
      </c>
      <c r="G201" s="113">
        <v>0.23</v>
      </c>
      <c r="H201" s="536">
        <v>0.15</v>
      </c>
      <c r="I201" s="523">
        <f>-ROUND(IF(AND(F201:H201),C201*E201*F201*G201*H201,IF(AND(F201,G201),C201*E201*F201*G201,IF(AND(F201,H201),C201*E201*F201*H201,IF(AND(G201,H201),C201*E201*G201*H201,IF(F201,C201*E201*F201,IF(G201,C201*E201*G201,IF(H201,C201*E201*H201,C201*E201))))))),2)</f>
        <v>-0.12</v>
      </c>
      <c r="J201" s="537" t="s">
        <v>5</v>
      </c>
      <c r="K201" s="111"/>
      <c r="L201" s="81"/>
      <c r="M201" s="111"/>
    </row>
    <row r="202" spans="1:13" s="525" customFormat="1" ht="16.5" customHeight="1">
      <c r="A202" s="81"/>
      <c r="B202" s="538" t="s">
        <v>2183</v>
      </c>
      <c r="C202" s="540">
        <v>1</v>
      </c>
      <c r="D202" s="541" t="s">
        <v>265</v>
      </c>
      <c r="E202" s="556">
        <v>7</v>
      </c>
      <c r="F202" s="536">
        <v>0.6</v>
      </c>
      <c r="G202" s="113">
        <v>0.23</v>
      </c>
      <c r="H202" s="536">
        <v>0.3</v>
      </c>
      <c r="I202" s="523">
        <f t="shared" ref="I202" si="29">-ROUND(IF(AND(F202:H202),C202*E202*F202*G202*H202,IF(AND(F202,G202),C202*E202*F202*G202,IF(AND(F202,H202),C202*E202*F202*H202,IF(AND(G202,H202),C202*E202*G202*H202,IF(F202,C202*E202*F202,IF(G202,C202*E202*G202,IF(H202,C202*E202*H202,C202*E202))))))),2)</f>
        <v>-0.28999999999999998</v>
      </c>
      <c r="J202" s="537" t="s">
        <v>5</v>
      </c>
      <c r="K202" s="111"/>
      <c r="L202" s="81"/>
      <c r="M202" s="111"/>
    </row>
    <row r="203" spans="1:13" s="525" customFormat="1" ht="16.5" customHeight="1">
      <c r="A203" s="81"/>
      <c r="B203" s="262" t="s">
        <v>754</v>
      </c>
      <c r="C203" s="515">
        <v>1</v>
      </c>
      <c r="D203" s="553" t="s">
        <v>265</v>
      </c>
      <c r="E203" s="534">
        <v>1</v>
      </c>
      <c r="F203" s="12">
        <v>1.2</v>
      </c>
      <c r="G203" s="12">
        <v>1.2</v>
      </c>
      <c r="H203" s="12">
        <v>0.15</v>
      </c>
      <c r="I203" s="523">
        <f>ROUND(IF(AND(F203:H203),C203*E203*F203*G203*H203,IF(AND(F203,G203),C203*E203*F203*G203,IF(AND(F203,H203),C203*E203*F203*H203,IF(AND(G203,H203),C203*E203*G203*H203,IF(F203,C203*E203*F203,IF(G203,C203*E203*G203,IF(H203,C203*E203*H203,C203*E203))))))),2)</f>
        <v>0.22</v>
      </c>
      <c r="J203" s="524" t="s">
        <v>5</v>
      </c>
      <c r="K203" s="111"/>
      <c r="L203" s="81"/>
      <c r="M203" s="111"/>
    </row>
    <row r="204" spans="1:13" s="525" customFormat="1" ht="16.5" customHeight="1">
      <c r="A204" s="81"/>
      <c r="B204" s="262" t="s">
        <v>755</v>
      </c>
      <c r="C204" s="515">
        <v>1</v>
      </c>
      <c r="D204" s="553" t="s">
        <v>265</v>
      </c>
      <c r="E204" s="534">
        <v>1</v>
      </c>
      <c r="F204" s="12">
        <v>1.2</v>
      </c>
      <c r="G204" s="12">
        <v>0.9</v>
      </c>
      <c r="H204" s="12">
        <v>0.15</v>
      </c>
      <c r="I204" s="523">
        <f>ROUND(IF(AND(F204:H204),C204*E204*F204*G204*H204,IF(AND(F204,G204),C204*E204*F204*G204,IF(AND(F204,H204),C204*E204*F204*H204,IF(AND(G204,H204),C204*E204*G204*H204,IF(F204,C204*E204*F204,IF(G204,C204*E204*G204,IF(H204,C204*E204*H204,C204*E204))))))),2)</f>
        <v>0.16</v>
      </c>
      <c r="J204" s="524" t="s">
        <v>5</v>
      </c>
      <c r="K204" s="111"/>
      <c r="L204" s="81"/>
      <c r="M204" s="111"/>
    </row>
    <row r="205" spans="1:13" s="525" customFormat="1" ht="16.5" customHeight="1">
      <c r="A205" s="81"/>
      <c r="B205" s="262" t="s">
        <v>2329</v>
      </c>
      <c r="C205" s="515">
        <v>1</v>
      </c>
      <c r="D205" s="553" t="s">
        <v>265</v>
      </c>
      <c r="E205" s="534">
        <v>1</v>
      </c>
      <c r="F205" s="12">
        <v>1.2</v>
      </c>
      <c r="G205" s="12">
        <v>0.6</v>
      </c>
      <c r="H205" s="12">
        <v>0.15</v>
      </c>
      <c r="I205" s="523">
        <f>ROUND(IF(AND(F205:H205),C205*E205*F205*G205*H205,IF(AND(F205,G205),C205*E205*F205*G205,IF(AND(F205,H205),C205*E205*F205*H205,IF(AND(G205,H205),C205*E205*G205*H205,IF(F205,C205*E205*F205,IF(G205,C205*E205*G205,IF(H205,C205*E205*H205,C205*E205))))))),2)</f>
        <v>0.11</v>
      </c>
      <c r="J205" s="524" t="s">
        <v>5</v>
      </c>
      <c r="K205" s="111"/>
      <c r="L205" s="81"/>
      <c r="M205" s="111"/>
    </row>
    <row r="206" spans="1:13" s="525" customFormat="1" ht="16.5" customHeight="1">
      <c r="A206" s="81"/>
      <c r="B206" s="262" t="s">
        <v>2330</v>
      </c>
      <c r="C206" s="515">
        <v>1</v>
      </c>
      <c r="D206" s="553" t="s">
        <v>265</v>
      </c>
      <c r="E206" s="534">
        <v>1</v>
      </c>
      <c r="F206" s="12">
        <v>1.2</v>
      </c>
      <c r="G206" s="12">
        <v>0.3</v>
      </c>
      <c r="H206" s="12">
        <v>0.15</v>
      </c>
      <c r="I206" s="523">
        <f t="shared" ref="I206:I209" si="30">ROUND(IF(AND(F206:H206),C206*E206*F206*G206*H206,IF(AND(F206,G206),C206*E206*F206*G206,IF(AND(F206,H206),C206*E206*F206*H206,IF(AND(G206,H206),C206*E206*G206*H206,IF(F206,C206*E206*F206,IF(G206,C206*E206*G206,IF(H206,C206*E206*H206,C206*E206))))))),2)</f>
        <v>0.05</v>
      </c>
      <c r="J206" s="524" t="s">
        <v>5</v>
      </c>
      <c r="K206" s="111"/>
      <c r="L206" s="81"/>
      <c r="M206" s="111"/>
    </row>
    <row r="207" spans="1:13" s="525" customFormat="1" ht="16.5" customHeight="1">
      <c r="A207" s="81"/>
      <c r="B207" s="262" t="s">
        <v>2331</v>
      </c>
      <c r="C207" s="515">
        <v>1</v>
      </c>
      <c r="D207" s="553" t="s">
        <v>265</v>
      </c>
      <c r="E207" s="534">
        <v>1</v>
      </c>
      <c r="F207" s="12">
        <v>8.4499999999999993</v>
      </c>
      <c r="G207" s="113">
        <v>0.115</v>
      </c>
      <c r="H207" s="12">
        <v>0.7</v>
      </c>
      <c r="I207" s="523">
        <f t="shared" si="30"/>
        <v>0.68</v>
      </c>
      <c r="J207" s="524" t="s">
        <v>5</v>
      </c>
      <c r="K207" s="111"/>
      <c r="L207" s="81"/>
      <c r="M207" s="111"/>
    </row>
    <row r="208" spans="1:13" s="525" customFormat="1" ht="16.5" customHeight="1">
      <c r="A208" s="81"/>
      <c r="B208" s="262" t="s">
        <v>2332</v>
      </c>
      <c r="C208" s="515">
        <v>1</v>
      </c>
      <c r="D208" s="553" t="s">
        <v>265</v>
      </c>
      <c r="E208" s="534">
        <v>1</v>
      </c>
      <c r="F208" s="12">
        <v>1.1499999999999999</v>
      </c>
      <c r="G208" s="12">
        <v>0.23</v>
      </c>
      <c r="H208" s="12">
        <v>0.75</v>
      </c>
      <c r="I208" s="523">
        <f t="shared" si="30"/>
        <v>0.2</v>
      </c>
      <c r="J208" s="524" t="s">
        <v>5</v>
      </c>
      <c r="K208" s="111"/>
      <c r="L208" s="81"/>
      <c r="M208" s="111"/>
    </row>
    <row r="209" spans="1:13" s="525" customFormat="1" ht="16.5" customHeight="1">
      <c r="A209" s="81"/>
      <c r="B209" s="262" t="s">
        <v>2333</v>
      </c>
      <c r="C209" s="515">
        <v>1</v>
      </c>
      <c r="D209" s="553" t="s">
        <v>265</v>
      </c>
      <c r="E209" s="534">
        <v>1</v>
      </c>
      <c r="F209" s="12">
        <v>2.9</v>
      </c>
      <c r="G209" s="12">
        <v>0.23</v>
      </c>
      <c r="H209" s="12">
        <f>0.75/2</f>
        <v>0.375</v>
      </c>
      <c r="I209" s="523">
        <f t="shared" si="30"/>
        <v>0.25</v>
      </c>
      <c r="J209" s="524" t="s">
        <v>5</v>
      </c>
      <c r="K209" s="111"/>
      <c r="L209" s="81"/>
      <c r="M209" s="111"/>
    </row>
    <row r="210" spans="1:13" s="525" customFormat="1" ht="16.5" customHeight="1">
      <c r="A210" s="81"/>
      <c r="B210" s="262" t="s">
        <v>2334</v>
      </c>
      <c r="C210" s="515">
        <v>1</v>
      </c>
      <c r="D210" s="553" t="s">
        <v>265</v>
      </c>
      <c r="E210" s="534">
        <v>2</v>
      </c>
      <c r="F210" s="12">
        <v>1.5</v>
      </c>
      <c r="G210" s="113">
        <v>0.115</v>
      </c>
      <c r="H210" s="12">
        <v>0.7</v>
      </c>
      <c r="I210" s="523">
        <f>ROUND(IF(AND(F210:H210),C210*E210*F210*G210*H210,IF(AND(F210,G210),C210*E210*F210*G210,IF(AND(F210,H210),C210*E210*F210*H210,IF(AND(G210,H210),C210*E210*G210*H210,IF(F210,C210*E210*F210,IF(G210,C210*E210*G210,IF(H210,C210*E210*H210,C210*E210))))))),2)</f>
        <v>0.24</v>
      </c>
      <c r="J210" s="524" t="s">
        <v>5</v>
      </c>
      <c r="K210" s="111"/>
      <c r="L210" s="517"/>
      <c r="M210" s="111"/>
    </row>
    <row r="211" spans="1:13" s="525" customFormat="1" ht="16.5" customHeight="1">
      <c r="A211" s="81"/>
      <c r="B211" s="262"/>
      <c r="C211" s="515"/>
      <c r="D211" s="553"/>
      <c r="E211" s="534"/>
      <c r="F211" s="12"/>
      <c r="G211" s="113"/>
      <c r="H211" s="12"/>
      <c r="I211" s="523"/>
      <c r="J211" s="524"/>
      <c r="K211" s="111"/>
      <c r="L211" s="517"/>
      <c r="M211" s="111"/>
    </row>
    <row r="212" spans="1:13">
      <c r="A212" s="81"/>
      <c r="B212" s="111"/>
      <c r="C212" s="112"/>
      <c r="D212" s="533"/>
      <c r="E212" s="534"/>
      <c r="F212" s="113"/>
      <c r="G212" s="539"/>
      <c r="H212" s="81"/>
      <c r="I212" s="531">
        <f>SUM(I187:I211)</f>
        <v>19.079999999999998</v>
      </c>
      <c r="J212" s="532" t="s">
        <v>5</v>
      </c>
      <c r="K212" s="12">
        <f>'DATA 2024-25'!E453</f>
        <v>8224.67</v>
      </c>
      <c r="L212" s="517" t="s">
        <v>266</v>
      </c>
      <c r="M212" s="11">
        <f>ROUND(I212*K212,0)</f>
        <v>156927</v>
      </c>
    </row>
    <row r="213" spans="1:13" s="817" customFormat="1" ht="69.75" hidden="1" customHeight="1">
      <c r="A213" s="818">
        <v>9</v>
      </c>
      <c r="B213" s="921" t="s">
        <v>633</v>
      </c>
      <c r="C213" s="921"/>
      <c r="D213" s="921"/>
      <c r="E213" s="921"/>
      <c r="F213" s="921"/>
      <c r="G213" s="921"/>
      <c r="H213" s="921"/>
      <c r="I213" s="819"/>
      <c r="J213" s="820"/>
      <c r="K213" s="818"/>
      <c r="L213" s="821"/>
      <c r="M213" s="822"/>
    </row>
    <row r="214" spans="1:13" s="826" customFormat="1" ht="16.5" hidden="1" customHeight="1">
      <c r="A214" s="818"/>
      <c r="B214" s="827" t="s">
        <v>1796</v>
      </c>
      <c r="C214" s="819">
        <v>1</v>
      </c>
      <c r="D214" s="828" t="s">
        <v>265</v>
      </c>
      <c r="E214" s="829">
        <v>3</v>
      </c>
      <c r="F214" s="830">
        <v>8.5399999999999991</v>
      </c>
      <c r="G214" s="839">
        <v>0.23</v>
      </c>
      <c r="H214" s="830">
        <v>0.75</v>
      </c>
      <c r="I214" s="823">
        <f>ROUND(IF(AND(F214:H214),C214*E214*F214*G214*H214,IF(AND(F214,G214),C214*E214*F214*G214,IF(AND(F214,H214),C214*E214*F214*H214,IF(AND(G214,H214),C214*E214*G214*H214,IF(F214,C214*E214*F214,IF(G214,C214*E214*G214,IF(H214,C214*E214*H214,C214*E214))))))),2)</f>
        <v>4.42</v>
      </c>
      <c r="J214" s="824" t="s">
        <v>5</v>
      </c>
      <c r="K214" s="825"/>
      <c r="L214" s="818"/>
      <c r="M214" s="825"/>
    </row>
    <row r="215" spans="1:13" s="826" customFormat="1" ht="16.5" hidden="1" customHeight="1">
      <c r="A215" s="818"/>
      <c r="B215" s="827" t="s">
        <v>1805</v>
      </c>
      <c r="C215" s="819">
        <v>1</v>
      </c>
      <c r="D215" s="828" t="s">
        <v>265</v>
      </c>
      <c r="E215" s="829">
        <v>3</v>
      </c>
      <c r="F215" s="830">
        <v>5</v>
      </c>
      <c r="G215" s="839">
        <v>0.23</v>
      </c>
      <c r="H215" s="830">
        <v>0.75</v>
      </c>
      <c r="I215" s="823">
        <f t="shared" ref="I215:I216" si="31">ROUND(IF(AND(F215:H215),C215*E215*F215*G215*H215,IF(AND(F215,G215),C215*E215*F215*G215,IF(AND(F215,H215),C215*E215*F215*H215,IF(AND(G215,H215),C215*E215*G215*H215,IF(F215,C215*E215*F215,IF(G215,C215*E215*G215,IF(H215,C215*E215*H215,C215*E215))))))),2)</f>
        <v>2.59</v>
      </c>
      <c r="J215" s="824" t="s">
        <v>5</v>
      </c>
      <c r="K215" s="825"/>
      <c r="L215" s="818"/>
      <c r="M215" s="825"/>
    </row>
    <row r="216" spans="1:13" s="826" customFormat="1" ht="16.5" hidden="1" customHeight="1">
      <c r="A216" s="818"/>
      <c r="B216" s="827" t="s">
        <v>2327</v>
      </c>
      <c r="C216" s="819">
        <v>1</v>
      </c>
      <c r="D216" s="828" t="s">
        <v>265</v>
      </c>
      <c r="E216" s="829">
        <v>2</v>
      </c>
      <c r="F216" s="830">
        <v>1.35</v>
      </c>
      <c r="G216" s="839">
        <v>0.23</v>
      </c>
      <c r="H216" s="830">
        <v>0.75</v>
      </c>
      <c r="I216" s="823">
        <f t="shared" si="31"/>
        <v>0.47</v>
      </c>
      <c r="J216" s="824" t="s">
        <v>5</v>
      </c>
      <c r="K216" s="825"/>
      <c r="L216" s="818"/>
      <c r="M216" s="825"/>
    </row>
    <row r="217" spans="1:13" s="826" customFormat="1" ht="16.5" hidden="1" customHeight="1">
      <c r="A217" s="818"/>
      <c r="B217" s="827" t="s">
        <v>276</v>
      </c>
      <c r="C217" s="819">
        <v>1</v>
      </c>
      <c r="D217" s="828" t="s">
        <v>265</v>
      </c>
      <c r="E217" s="829">
        <v>8</v>
      </c>
      <c r="F217" s="830">
        <v>0.23</v>
      </c>
      <c r="G217" s="839">
        <v>0.3</v>
      </c>
      <c r="H217" s="830">
        <v>0.75</v>
      </c>
      <c r="I217" s="823">
        <f>-ROUND(IF(AND(F217:H217),C217*E217*F217*G217*H217,IF(AND(F217,G217),C217*E217*F217*G217,IF(AND(F217,H217),C217*E217*F217*H217,IF(AND(G217,H217),C217*E217*G217*H217,IF(F217,C217*E217*F217,IF(G217,C217*E217*G217,IF(H217,C217*E217*H217,C217*E217))))))),2)</f>
        <v>-0.41</v>
      </c>
      <c r="J217" s="824" t="s">
        <v>5</v>
      </c>
      <c r="K217" s="825"/>
      <c r="L217" s="818"/>
      <c r="M217" s="825"/>
    </row>
    <row r="218" spans="1:13" s="826" customFormat="1" ht="16.5" hidden="1" customHeight="1">
      <c r="A218" s="818"/>
      <c r="B218" s="827" t="s">
        <v>276</v>
      </c>
      <c r="C218" s="819">
        <v>1</v>
      </c>
      <c r="D218" s="828" t="s">
        <v>265</v>
      </c>
      <c r="E218" s="829">
        <v>4</v>
      </c>
      <c r="F218" s="830">
        <v>0.23</v>
      </c>
      <c r="G218" s="839">
        <v>0.3</v>
      </c>
      <c r="H218" s="830">
        <v>0.75</v>
      </c>
      <c r="I218" s="823">
        <f>-ROUND(IF(AND(F218:H218),C218*E218*F218*G218*H218,IF(AND(F218,G218),C218*E218*F218*G218,IF(AND(F218,H218),C218*E218*F218*H218,IF(AND(G218,H218),C218*E218*G218*H218,IF(F218,C218*E218*F218,IF(G218,C218*E218*G218,IF(H218,C218*E218*H218,C218*E218))))))),2)</f>
        <v>-0.21</v>
      </c>
      <c r="J218" s="824" t="s">
        <v>5</v>
      </c>
      <c r="K218" s="825"/>
      <c r="L218" s="818"/>
      <c r="M218" s="825"/>
    </row>
    <row r="219" spans="1:13" s="826" customFormat="1" ht="16.5" hidden="1" customHeight="1">
      <c r="A219" s="818"/>
      <c r="B219" s="831"/>
      <c r="C219" s="832"/>
      <c r="D219" s="833"/>
      <c r="E219" s="834"/>
      <c r="F219" s="835"/>
      <c r="G219" s="835"/>
      <c r="H219" s="835"/>
      <c r="I219" s="836"/>
      <c r="J219" s="841"/>
      <c r="K219" s="825"/>
      <c r="L219" s="821"/>
      <c r="M219" s="825"/>
    </row>
    <row r="220" spans="1:13" s="817" customFormat="1" hidden="1">
      <c r="A220" s="818"/>
      <c r="B220" s="825"/>
      <c r="C220" s="837"/>
      <c r="D220" s="838"/>
      <c r="E220" s="829"/>
      <c r="F220" s="839"/>
      <c r="G220" s="840"/>
      <c r="H220" s="818"/>
      <c r="I220" s="836"/>
      <c r="J220" s="841" t="s">
        <v>5</v>
      </c>
      <c r="K220" s="830">
        <f>'DATA 2024-25'!E435</f>
        <v>8282.18</v>
      </c>
      <c r="L220" s="821" t="s">
        <v>266</v>
      </c>
      <c r="M220" s="842">
        <f>ROUND(I220*K220,0)</f>
        <v>0</v>
      </c>
    </row>
    <row r="221" spans="1:13" ht="60.75" hidden="1" customHeight="1">
      <c r="A221" s="81">
        <v>18</v>
      </c>
      <c r="B221" s="910" t="s">
        <v>1822</v>
      </c>
      <c r="C221" s="910"/>
      <c r="D221" s="910"/>
      <c r="E221" s="910"/>
      <c r="F221" s="910"/>
      <c r="G221" s="910"/>
      <c r="H221" s="910"/>
      <c r="I221" s="515"/>
      <c r="J221" s="516"/>
      <c r="K221" s="81"/>
      <c r="L221" s="517"/>
      <c r="M221" s="110"/>
    </row>
    <row r="222" spans="1:13" s="525" customFormat="1" ht="16.5" hidden="1" customHeight="1">
      <c r="A222" s="81"/>
      <c r="B222" s="111" t="s">
        <v>1827</v>
      </c>
      <c r="C222" s="515"/>
      <c r="D222" s="553"/>
      <c r="E222" s="534"/>
      <c r="F222" s="113"/>
      <c r="G222" s="113"/>
      <c r="H222" s="113"/>
      <c r="I222" s="554"/>
      <c r="J222" s="532"/>
      <c r="K222" s="111"/>
      <c r="L222" s="81"/>
      <c r="M222" s="111"/>
    </row>
    <row r="223" spans="1:13" s="525" customFormat="1" ht="16.5" hidden="1" customHeight="1">
      <c r="A223" s="81"/>
      <c r="B223" s="111"/>
      <c r="C223" s="515">
        <v>1</v>
      </c>
      <c r="D223" s="553" t="s">
        <v>265</v>
      </c>
      <c r="E223" s="534">
        <v>1</v>
      </c>
      <c r="F223" s="113">
        <v>5.3</v>
      </c>
      <c r="G223" s="113">
        <v>0</v>
      </c>
      <c r="H223" s="113">
        <v>3.1</v>
      </c>
      <c r="I223" s="523">
        <f t="shared" ref="I223" si="32">ROUND(IF(AND(F223:H223),C223*E223*F223*G223*H223,IF(AND(F223,G223),C223*E223*F223*G223,IF(AND(F223,H223),C223*E223*F223*H223,IF(AND(G223,H223),C223*E223*G223*H223,IF(F223,C223*E223*F223,IF(G223,C223*E223*G223,IF(H223,C223*E223*H223,C223*E223))))))),2)</f>
        <v>16.43</v>
      </c>
      <c r="J223" s="532" t="s">
        <v>102</v>
      </c>
      <c r="K223" s="111"/>
      <c r="L223" s="81"/>
      <c r="M223" s="111"/>
    </row>
    <row r="224" spans="1:13" s="525" customFormat="1" ht="16.5" hidden="1" customHeight="1">
      <c r="A224" s="81"/>
      <c r="B224" s="111" t="s">
        <v>575</v>
      </c>
      <c r="C224" s="515">
        <v>1</v>
      </c>
      <c r="D224" s="553" t="s">
        <v>265</v>
      </c>
      <c r="E224" s="534">
        <v>1</v>
      </c>
      <c r="F224" s="113">
        <v>0.38</v>
      </c>
      <c r="G224" s="113">
        <v>0</v>
      </c>
      <c r="H224" s="113">
        <v>3.1</v>
      </c>
      <c r="I224" s="523">
        <f>-ROUND(IF(AND(F224:H224),C224*E224*F224*G224*H224,IF(AND(F224,G224),C224*E224*F224*G224,IF(AND(F224,H224),C224*E224*F224*H224,IF(AND(G224,H224),C224*E224*G224*H224,IF(F224,C224*E224*F224,IF(G224,C224*E224*G224,IF(H224,C224*E224*H224,C224*E224))))))),2)</f>
        <v>-1.18</v>
      </c>
      <c r="J224" s="532" t="s">
        <v>102</v>
      </c>
      <c r="K224" s="111"/>
      <c r="L224" s="81"/>
      <c r="M224" s="111"/>
    </row>
    <row r="225" spans="1:13" s="525" customFormat="1" ht="16.5" hidden="1" customHeight="1">
      <c r="A225" s="81"/>
      <c r="B225" s="111"/>
      <c r="C225" s="515"/>
      <c r="D225" s="553"/>
      <c r="E225" s="534"/>
      <c r="F225" s="113"/>
      <c r="G225" s="113"/>
      <c r="H225" s="113"/>
      <c r="I225" s="523"/>
      <c r="J225" s="532"/>
      <c r="K225" s="111"/>
      <c r="L225" s="517"/>
      <c r="M225" s="111"/>
    </row>
    <row r="226" spans="1:13" hidden="1">
      <c r="A226" s="81"/>
      <c r="B226" s="111"/>
      <c r="C226" s="112"/>
      <c r="D226" s="533"/>
      <c r="E226" s="534"/>
      <c r="F226" s="113"/>
      <c r="G226" s="539"/>
      <c r="H226" s="81"/>
      <c r="I226" s="531"/>
      <c r="J226" s="532" t="s">
        <v>102</v>
      </c>
      <c r="K226" s="12">
        <f>'DATA 2024-25'!E471</f>
        <v>926.11</v>
      </c>
      <c r="L226" s="517" t="s">
        <v>267</v>
      </c>
      <c r="M226" s="11">
        <f>ROUND(I226*K226/1,0)</f>
        <v>0</v>
      </c>
    </row>
    <row r="227" spans="1:13" ht="79.5" hidden="1" customHeight="1">
      <c r="A227" s="81">
        <v>18</v>
      </c>
      <c r="B227" s="910" t="s">
        <v>967</v>
      </c>
      <c r="C227" s="910"/>
      <c r="D227" s="910"/>
      <c r="E227" s="910"/>
      <c r="F227" s="910"/>
      <c r="G227" s="910"/>
      <c r="H227" s="910"/>
      <c r="I227" s="515"/>
      <c r="J227" s="516"/>
      <c r="K227" s="81"/>
      <c r="L227" s="517"/>
      <c r="M227" s="110"/>
    </row>
    <row r="228" spans="1:13" s="525" customFormat="1" ht="16.5" hidden="1" customHeight="1">
      <c r="A228" s="81"/>
      <c r="B228" s="111" t="s">
        <v>1252</v>
      </c>
      <c r="C228" s="515"/>
      <c r="D228" s="553"/>
      <c r="E228" s="534"/>
      <c r="F228" s="113"/>
      <c r="G228" s="113"/>
      <c r="H228" s="113"/>
      <c r="I228" s="554"/>
      <c r="J228" s="532"/>
      <c r="K228" s="111"/>
      <c r="L228" s="517"/>
      <c r="M228" s="111"/>
    </row>
    <row r="229" spans="1:13" s="525" customFormat="1" ht="16.5" hidden="1" customHeight="1">
      <c r="A229" s="81"/>
      <c r="B229" s="111"/>
      <c r="C229" s="515">
        <v>1</v>
      </c>
      <c r="D229" s="553" t="s">
        <v>265</v>
      </c>
      <c r="E229" s="534">
        <v>1</v>
      </c>
      <c r="F229" s="113">
        <v>1.02</v>
      </c>
      <c r="G229" s="113">
        <v>0.115</v>
      </c>
      <c r="H229" s="113">
        <v>0.83</v>
      </c>
      <c r="I229" s="523">
        <f t="shared" ref="I229:I232" si="33">ROUND(IF(AND(F229:H229),C229*E229*F229*G229*H229,IF(AND(F229,G229),C229*E229*F229*G229,IF(AND(F229,H229),C229*E229*F229*H229,IF(AND(G229,H229),C229*E229*G229*H229,IF(F229,C229*E229*F229,IF(G229,C229*E229*G229,IF(H229,C229*E229*H229,C229*E229))))))),2)</f>
        <v>0.1</v>
      </c>
      <c r="J229" s="532" t="s">
        <v>5</v>
      </c>
      <c r="K229" s="111"/>
      <c r="L229" s="517"/>
      <c r="M229" s="111"/>
    </row>
    <row r="230" spans="1:13" s="525" customFormat="1" ht="16.5" hidden="1" customHeight="1">
      <c r="A230" s="81"/>
      <c r="B230" s="111"/>
      <c r="C230" s="515">
        <v>1</v>
      </c>
      <c r="D230" s="553" t="s">
        <v>265</v>
      </c>
      <c r="E230" s="534">
        <v>1</v>
      </c>
      <c r="F230" s="113">
        <v>3.09</v>
      </c>
      <c r="G230" s="113">
        <v>0.115</v>
      </c>
      <c r="H230" s="113">
        <v>0.56000000000000005</v>
      </c>
      <c r="I230" s="523">
        <f t="shared" si="33"/>
        <v>0.2</v>
      </c>
      <c r="J230" s="532" t="s">
        <v>5</v>
      </c>
      <c r="K230" s="111"/>
      <c r="L230" s="517"/>
      <c r="M230" s="111"/>
    </row>
    <row r="231" spans="1:13" s="525" customFormat="1" ht="16.5" hidden="1" customHeight="1">
      <c r="A231" s="81"/>
      <c r="B231" s="111"/>
      <c r="C231" s="515">
        <v>1</v>
      </c>
      <c r="D231" s="553" t="s">
        <v>265</v>
      </c>
      <c r="E231" s="534">
        <v>1</v>
      </c>
      <c r="F231" s="113">
        <v>0.79</v>
      </c>
      <c r="G231" s="113">
        <v>0.115</v>
      </c>
      <c r="H231" s="113">
        <v>0.64</v>
      </c>
      <c r="I231" s="523">
        <f t="shared" si="33"/>
        <v>0.06</v>
      </c>
      <c r="J231" s="532" t="s">
        <v>5</v>
      </c>
      <c r="K231" s="111"/>
      <c r="L231" s="517"/>
      <c r="M231" s="111"/>
    </row>
    <row r="232" spans="1:13" s="525" customFormat="1" ht="16.5" hidden="1" customHeight="1">
      <c r="A232" s="81"/>
      <c r="B232" s="111"/>
      <c r="C232" s="515">
        <v>1</v>
      </c>
      <c r="D232" s="553" t="s">
        <v>265</v>
      </c>
      <c r="E232" s="534">
        <v>1</v>
      </c>
      <c r="F232" s="113">
        <v>3.09</v>
      </c>
      <c r="G232" s="113">
        <v>0.115</v>
      </c>
      <c r="H232" s="113">
        <v>0.54</v>
      </c>
      <c r="I232" s="523">
        <f t="shared" si="33"/>
        <v>0.19</v>
      </c>
      <c r="J232" s="532" t="s">
        <v>5</v>
      </c>
      <c r="K232" s="111"/>
      <c r="L232" s="517"/>
      <c r="M232" s="111"/>
    </row>
    <row r="233" spans="1:13" s="525" customFormat="1" ht="16.5" hidden="1" customHeight="1">
      <c r="A233" s="81"/>
      <c r="B233" s="526"/>
      <c r="C233" s="527"/>
      <c r="D233" s="528"/>
      <c r="E233" s="529"/>
      <c r="F233" s="530"/>
      <c r="G233" s="530"/>
      <c r="H233" s="530"/>
      <c r="I233" s="531"/>
      <c r="J233" s="532"/>
      <c r="K233" s="111"/>
      <c r="L233" s="517"/>
      <c r="M233" s="111"/>
    </row>
    <row r="234" spans="1:13" hidden="1">
      <c r="A234" s="81"/>
      <c r="B234" s="111"/>
      <c r="C234" s="112"/>
      <c r="D234" s="533"/>
      <c r="E234" s="534"/>
      <c r="F234" s="113"/>
      <c r="G234" s="539"/>
      <c r="H234" s="81"/>
      <c r="I234" s="531"/>
      <c r="J234" s="532" t="s">
        <v>5</v>
      </c>
      <c r="K234" s="12">
        <f>'DATA 2024-25'!E488</f>
        <v>6487.56</v>
      </c>
      <c r="L234" s="517" t="s">
        <v>266</v>
      </c>
      <c r="M234" s="11">
        <f>ROUND(I234*K234,0)</f>
        <v>0</v>
      </c>
    </row>
    <row r="235" spans="1:13" ht="103.5" hidden="1" customHeight="1">
      <c r="A235" s="81">
        <v>17</v>
      </c>
      <c r="B235" s="910" t="s">
        <v>943</v>
      </c>
      <c r="C235" s="910"/>
      <c r="D235" s="910"/>
      <c r="E235" s="910"/>
      <c r="F235" s="910"/>
      <c r="G235" s="910"/>
      <c r="H235" s="910"/>
      <c r="I235" s="515"/>
      <c r="J235" s="516"/>
      <c r="K235" s="81"/>
      <c r="L235" s="517"/>
      <c r="M235" s="110"/>
    </row>
    <row r="236" spans="1:13" s="525" customFormat="1" ht="16.5" hidden="1" customHeight="1">
      <c r="A236" s="81"/>
      <c r="B236" s="111" t="s">
        <v>1328</v>
      </c>
      <c r="C236" s="515"/>
      <c r="D236" s="553"/>
      <c r="E236" s="534"/>
      <c r="F236" s="113"/>
      <c r="G236" s="113"/>
      <c r="H236" s="113"/>
      <c r="I236" s="554"/>
      <c r="J236" s="532"/>
      <c r="K236" s="111"/>
      <c r="L236" s="517"/>
      <c r="M236" s="111"/>
    </row>
    <row r="237" spans="1:13" s="525" customFormat="1" ht="16.5" hidden="1" customHeight="1">
      <c r="A237" s="81"/>
      <c r="B237" s="111"/>
      <c r="C237" s="515">
        <v>1</v>
      </c>
      <c r="D237" s="553" t="s">
        <v>265</v>
      </c>
      <c r="E237" s="534">
        <v>1</v>
      </c>
      <c r="F237" s="113">
        <v>24</v>
      </c>
      <c r="G237" s="113">
        <v>0</v>
      </c>
      <c r="H237" s="113">
        <v>0.15</v>
      </c>
      <c r="I237" s="523">
        <f t="shared" ref="I237" si="34">ROUND(IF(AND(F237:H237),C237*E237*F237*G237*H237,IF(AND(F237,G237),C237*E237*F237*G237,IF(AND(F237,H237),C237*E237*F237*H237,IF(AND(G237,H237),C237*E237*G237*H237,IF(F237,C237*E237*F237,IF(G237,C237*E237*G237,IF(H237,C237*E237*H237,C237*E237))))))),2)</f>
        <v>3.6</v>
      </c>
      <c r="J237" s="532" t="s">
        <v>102</v>
      </c>
      <c r="K237" s="111"/>
      <c r="L237" s="517"/>
      <c r="M237" s="111"/>
    </row>
    <row r="238" spans="1:13" s="525" customFormat="1" ht="16.5" hidden="1" customHeight="1">
      <c r="A238" s="81"/>
      <c r="B238" s="111"/>
      <c r="C238" s="515"/>
      <c r="D238" s="553"/>
      <c r="E238" s="534"/>
      <c r="F238" s="113"/>
      <c r="G238" s="113"/>
      <c r="H238" s="113"/>
      <c r="I238" s="523"/>
      <c r="J238" s="532"/>
      <c r="K238" s="111"/>
      <c r="L238" s="517"/>
      <c r="M238" s="111"/>
    </row>
    <row r="239" spans="1:13" hidden="1">
      <c r="A239" s="81"/>
      <c r="B239" s="111"/>
      <c r="C239" s="112"/>
      <c r="D239" s="533"/>
      <c r="E239" s="534"/>
      <c r="F239" s="113"/>
      <c r="G239" s="539"/>
      <c r="H239" s="81"/>
      <c r="I239" s="531"/>
      <c r="J239" s="532" t="s">
        <v>102</v>
      </c>
      <c r="K239" s="12">
        <f>'DATA 2024-25'!E617</f>
        <v>2479.09</v>
      </c>
      <c r="L239" s="517" t="s">
        <v>267</v>
      </c>
      <c r="M239" s="11">
        <f>ROUND(I239*K239/1,0)</f>
        <v>0</v>
      </c>
    </row>
    <row r="240" spans="1:13" ht="54.75" customHeight="1">
      <c r="A240" s="81">
        <v>10</v>
      </c>
      <c r="B240" s="910" t="s">
        <v>123</v>
      </c>
      <c r="C240" s="910"/>
      <c r="D240" s="910"/>
      <c r="E240" s="910"/>
      <c r="F240" s="910"/>
      <c r="G240" s="910"/>
      <c r="H240" s="910"/>
      <c r="I240" s="515"/>
      <c r="J240" s="516"/>
      <c r="K240" s="81"/>
      <c r="L240" s="517"/>
      <c r="M240" s="110"/>
    </row>
    <row r="241" spans="1:13" s="525" customFormat="1" ht="16.5" customHeight="1">
      <c r="A241" s="81"/>
      <c r="B241" s="538" t="s">
        <v>741</v>
      </c>
      <c r="C241" s="540">
        <v>1</v>
      </c>
      <c r="D241" s="541" t="s">
        <v>265</v>
      </c>
      <c r="E241" s="556">
        <v>1</v>
      </c>
      <c r="F241" s="536">
        <v>6.25</v>
      </c>
      <c r="G241" s="536">
        <v>5</v>
      </c>
      <c r="H241" s="536">
        <v>0</v>
      </c>
      <c r="I241" s="523">
        <f t="shared" ref="I241:I254" si="35">ROUND(IF(AND(F241:H241),C241*E241*F241*G241*H241,IF(AND(F241,G241),C241*E241*F241*G241,IF(AND(F241,H241),C241*E241*F241*H241,IF(AND(G241,H241),C241*E241*G241*H241,IF(F241,C241*E241*F241,IF(G241,C241*E241*G241,IF(H241,C241*E241*H241,C241*E241))))))),2)</f>
        <v>31.25</v>
      </c>
      <c r="J241" s="537" t="s">
        <v>102</v>
      </c>
      <c r="K241" s="111"/>
      <c r="L241" s="81"/>
      <c r="M241" s="111"/>
    </row>
    <row r="242" spans="1:13" s="525" customFormat="1" ht="16.5" customHeight="1">
      <c r="A242" s="81"/>
      <c r="B242" s="538" t="s">
        <v>2158</v>
      </c>
      <c r="C242" s="540">
        <v>1</v>
      </c>
      <c r="D242" s="541" t="s">
        <v>265</v>
      </c>
      <c r="E242" s="556">
        <v>1</v>
      </c>
      <c r="F242" s="536">
        <v>1.6</v>
      </c>
      <c r="G242" s="536">
        <v>1.85</v>
      </c>
      <c r="H242" s="536">
        <v>0</v>
      </c>
      <c r="I242" s="523">
        <f t="shared" si="35"/>
        <v>2.96</v>
      </c>
      <c r="J242" s="537" t="s">
        <v>102</v>
      </c>
      <c r="K242" s="111"/>
      <c r="L242" s="81"/>
      <c r="M242" s="111"/>
    </row>
    <row r="243" spans="1:13" s="525" customFormat="1" ht="16.5" customHeight="1">
      <c r="A243" s="81"/>
      <c r="B243" s="538" t="s">
        <v>2185</v>
      </c>
      <c r="C243" s="540">
        <v>1</v>
      </c>
      <c r="D243" s="541" t="s">
        <v>265</v>
      </c>
      <c r="E243" s="556">
        <v>1</v>
      </c>
      <c r="F243" s="536">
        <v>1.6</v>
      </c>
      <c r="G243" s="536">
        <v>1.6</v>
      </c>
      <c r="H243" s="536">
        <v>0</v>
      </c>
      <c r="I243" s="523">
        <f t="shared" si="35"/>
        <v>2.56</v>
      </c>
      <c r="J243" s="537" t="s">
        <v>102</v>
      </c>
      <c r="K243" s="111"/>
      <c r="L243" s="81"/>
      <c r="M243" s="111"/>
    </row>
    <row r="244" spans="1:13" s="525" customFormat="1" ht="16.5" customHeight="1">
      <c r="A244" s="81"/>
      <c r="B244" s="538" t="s">
        <v>2335</v>
      </c>
      <c r="C244" s="540">
        <v>1</v>
      </c>
      <c r="D244" s="541" t="s">
        <v>265</v>
      </c>
      <c r="E244" s="556">
        <v>1</v>
      </c>
      <c r="F244" s="536">
        <v>1.6</v>
      </c>
      <c r="G244" s="536">
        <v>1.32</v>
      </c>
      <c r="H244" s="536">
        <v>0</v>
      </c>
      <c r="I244" s="523">
        <f t="shared" si="35"/>
        <v>2.11</v>
      </c>
      <c r="J244" s="537" t="s">
        <v>102</v>
      </c>
      <c r="K244" s="111"/>
      <c r="L244" s="81"/>
      <c r="M244" s="111"/>
    </row>
    <row r="245" spans="1:13" s="525" customFormat="1" ht="16.5" customHeight="1">
      <c r="A245" s="81"/>
      <c r="B245" s="538" t="s">
        <v>2336</v>
      </c>
      <c r="C245" s="540">
        <v>1</v>
      </c>
      <c r="D245" s="541" t="s">
        <v>265</v>
      </c>
      <c r="E245" s="556">
        <v>2</v>
      </c>
      <c r="F245" s="536">
        <v>5</v>
      </c>
      <c r="G245" s="536">
        <v>0</v>
      </c>
      <c r="H245" s="536">
        <v>0.3</v>
      </c>
      <c r="I245" s="523">
        <f t="shared" si="35"/>
        <v>3</v>
      </c>
      <c r="J245" s="537" t="s">
        <v>102</v>
      </c>
      <c r="K245" s="111"/>
      <c r="L245" s="81"/>
      <c r="M245" s="111"/>
    </row>
    <row r="246" spans="1:13" s="525" customFormat="1" ht="16.5" customHeight="1">
      <c r="A246" s="81"/>
      <c r="B246" s="538" t="s">
        <v>564</v>
      </c>
      <c r="C246" s="540">
        <v>1</v>
      </c>
      <c r="D246" s="541" t="s">
        <v>265</v>
      </c>
      <c r="E246" s="556">
        <v>1</v>
      </c>
      <c r="F246" s="536">
        <v>8.65</v>
      </c>
      <c r="G246" s="536">
        <v>1.6</v>
      </c>
      <c r="H246" s="536">
        <v>0</v>
      </c>
      <c r="I246" s="523">
        <f t="shared" si="35"/>
        <v>13.84</v>
      </c>
      <c r="J246" s="537" t="s">
        <v>102</v>
      </c>
      <c r="K246" s="111"/>
      <c r="L246" s="81"/>
      <c r="M246" s="111"/>
    </row>
    <row r="247" spans="1:13" s="525" customFormat="1" ht="16.5" customHeight="1">
      <c r="A247" s="81"/>
      <c r="B247" s="538" t="s">
        <v>2337</v>
      </c>
      <c r="C247" s="540">
        <v>4</v>
      </c>
      <c r="D247" s="541" t="s">
        <v>265</v>
      </c>
      <c r="E247" s="556">
        <v>2</v>
      </c>
      <c r="F247" s="536">
        <v>1.35</v>
      </c>
      <c r="G247" s="536">
        <v>0</v>
      </c>
      <c r="H247" s="536">
        <v>0.3</v>
      </c>
      <c r="I247" s="523">
        <f t="shared" si="35"/>
        <v>3.24</v>
      </c>
      <c r="J247" s="537" t="s">
        <v>102</v>
      </c>
      <c r="K247" s="111"/>
      <c r="L247" s="81"/>
      <c r="M247" s="111"/>
    </row>
    <row r="248" spans="1:13" s="525" customFormat="1" ht="16.5" customHeight="1">
      <c r="A248" s="81"/>
      <c r="B248" s="538" t="s">
        <v>2338</v>
      </c>
      <c r="C248" s="540">
        <v>1</v>
      </c>
      <c r="D248" s="541" t="s">
        <v>265</v>
      </c>
      <c r="E248" s="556">
        <v>2</v>
      </c>
      <c r="F248" s="536">
        <v>8.65</v>
      </c>
      <c r="G248" s="536">
        <v>0</v>
      </c>
      <c r="H248" s="536">
        <v>0.3</v>
      </c>
      <c r="I248" s="523">
        <f t="shared" si="35"/>
        <v>5.19</v>
      </c>
      <c r="J248" s="537" t="s">
        <v>102</v>
      </c>
      <c r="K248" s="111"/>
      <c r="L248" s="81"/>
      <c r="M248" s="111"/>
    </row>
    <row r="249" spans="1:13" s="525" customFormat="1" ht="16.5" customHeight="1">
      <c r="A249" s="81"/>
      <c r="B249" s="538" t="s">
        <v>2339</v>
      </c>
      <c r="C249" s="540">
        <v>1</v>
      </c>
      <c r="D249" s="541" t="s">
        <v>265</v>
      </c>
      <c r="E249" s="556">
        <v>1</v>
      </c>
      <c r="F249" s="536">
        <v>9.25</v>
      </c>
      <c r="G249" s="536">
        <v>0</v>
      </c>
      <c r="H249" s="536">
        <v>0.3</v>
      </c>
      <c r="I249" s="523">
        <f t="shared" si="35"/>
        <v>2.78</v>
      </c>
      <c r="J249" s="537" t="s">
        <v>102</v>
      </c>
      <c r="K249" s="111"/>
      <c r="L249" s="81"/>
      <c r="M249" s="111"/>
    </row>
    <row r="250" spans="1:13" s="525" customFormat="1" ht="16.5" customHeight="1">
      <c r="A250" s="81"/>
      <c r="B250" s="538" t="s">
        <v>2340</v>
      </c>
      <c r="C250" s="540">
        <v>1</v>
      </c>
      <c r="D250" s="541" t="s">
        <v>265</v>
      </c>
      <c r="E250" s="556">
        <v>2</v>
      </c>
      <c r="F250" s="536">
        <v>6.8</v>
      </c>
      <c r="G250" s="536">
        <v>0</v>
      </c>
      <c r="H250" s="536">
        <v>0.3</v>
      </c>
      <c r="I250" s="523">
        <f t="shared" si="35"/>
        <v>4.08</v>
      </c>
      <c r="J250" s="537" t="s">
        <v>102</v>
      </c>
      <c r="K250" s="111"/>
      <c r="L250" s="81"/>
      <c r="M250" s="111"/>
    </row>
    <row r="251" spans="1:13" s="525" customFormat="1" ht="16.5" customHeight="1">
      <c r="A251" s="81"/>
      <c r="B251" s="538" t="s">
        <v>2341</v>
      </c>
      <c r="C251" s="540">
        <v>1</v>
      </c>
      <c r="D251" s="541" t="s">
        <v>265</v>
      </c>
      <c r="E251" s="556">
        <v>1</v>
      </c>
      <c r="F251" s="536">
        <v>9.25</v>
      </c>
      <c r="G251" s="536">
        <v>0</v>
      </c>
      <c r="H251" s="569">
        <v>0.125</v>
      </c>
      <c r="I251" s="523">
        <f t="shared" si="35"/>
        <v>1.1599999999999999</v>
      </c>
      <c r="J251" s="537" t="s">
        <v>102</v>
      </c>
      <c r="K251" s="111"/>
      <c r="L251" s="81"/>
      <c r="M251" s="111"/>
    </row>
    <row r="252" spans="1:13" s="525" customFormat="1" ht="16.5" customHeight="1">
      <c r="A252" s="81"/>
      <c r="B252" s="538" t="s">
        <v>2340</v>
      </c>
      <c r="C252" s="540">
        <v>1</v>
      </c>
      <c r="D252" s="541" t="s">
        <v>265</v>
      </c>
      <c r="E252" s="556">
        <v>2</v>
      </c>
      <c r="F252" s="536">
        <v>6.8</v>
      </c>
      <c r="G252" s="536">
        <v>0</v>
      </c>
      <c r="H252" s="569">
        <v>0.125</v>
      </c>
      <c r="I252" s="523">
        <f t="shared" si="35"/>
        <v>1.7</v>
      </c>
      <c r="J252" s="537" t="s">
        <v>102</v>
      </c>
      <c r="K252" s="111"/>
      <c r="L252" s="81"/>
      <c r="M252" s="111"/>
    </row>
    <row r="253" spans="1:13" s="525" customFormat="1" ht="16.5" customHeight="1">
      <c r="A253" s="81"/>
      <c r="B253" s="538" t="s">
        <v>1880</v>
      </c>
      <c r="C253" s="540">
        <v>1</v>
      </c>
      <c r="D253" s="541" t="s">
        <v>265</v>
      </c>
      <c r="E253" s="556">
        <v>2</v>
      </c>
      <c r="F253" s="536">
        <v>1.2</v>
      </c>
      <c r="G253" s="536">
        <v>0.6</v>
      </c>
      <c r="H253" s="536">
        <v>0</v>
      </c>
      <c r="I253" s="523">
        <f t="shared" si="35"/>
        <v>1.44</v>
      </c>
      <c r="J253" s="537" t="s">
        <v>102</v>
      </c>
      <c r="K253" s="111"/>
      <c r="L253" s="81"/>
      <c r="M253" s="111"/>
    </row>
    <row r="254" spans="1:13" s="525" customFormat="1" ht="16.5" customHeight="1">
      <c r="A254" s="81"/>
      <c r="B254" s="538"/>
      <c r="C254" s="540">
        <v>1</v>
      </c>
      <c r="D254" s="541" t="s">
        <v>265</v>
      </c>
      <c r="E254" s="556">
        <v>4</v>
      </c>
      <c r="F254" s="536">
        <v>1.8</v>
      </c>
      <c r="G254" s="536">
        <v>0.6</v>
      </c>
      <c r="H254" s="536">
        <v>0</v>
      </c>
      <c r="I254" s="523">
        <f t="shared" si="35"/>
        <v>4.32</v>
      </c>
      <c r="J254" s="537" t="s">
        <v>102</v>
      </c>
      <c r="K254" s="111"/>
      <c r="L254" s="81"/>
      <c r="M254" s="111"/>
    </row>
    <row r="255" spans="1:13" s="525" customFormat="1" ht="16.5" customHeight="1">
      <c r="A255" s="81"/>
      <c r="B255" s="526"/>
      <c r="C255" s="527"/>
      <c r="D255" s="528"/>
      <c r="E255" s="529"/>
      <c r="F255" s="530"/>
      <c r="G255" s="530"/>
      <c r="H255" s="530"/>
      <c r="I255" s="531"/>
      <c r="J255" s="532"/>
      <c r="K255" s="111"/>
      <c r="L255" s="517"/>
      <c r="M255" s="111"/>
    </row>
    <row r="256" spans="1:13">
      <c r="A256" s="81"/>
      <c r="B256" s="111"/>
      <c r="C256" s="112"/>
      <c r="D256" s="533"/>
      <c r="E256" s="534"/>
      <c r="F256" s="113"/>
      <c r="G256" s="539"/>
      <c r="H256" s="81"/>
      <c r="I256" s="531">
        <f>SUM(I241:I255)</f>
        <v>79.63</v>
      </c>
      <c r="J256" s="532" t="s">
        <v>102</v>
      </c>
      <c r="K256" s="12">
        <f>'DATA 2024-25'!E505</f>
        <v>378.77</v>
      </c>
      <c r="L256" s="517" t="s">
        <v>267</v>
      </c>
      <c r="M256" s="11">
        <f>ROUND(I256*K256,0)</f>
        <v>30161</v>
      </c>
    </row>
    <row r="257" spans="1:13" ht="42" hidden="1" customHeight="1">
      <c r="A257" s="81">
        <v>5</v>
      </c>
      <c r="B257" s="910" t="s">
        <v>124</v>
      </c>
      <c r="C257" s="910"/>
      <c r="D257" s="910"/>
      <c r="E257" s="910"/>
      <c r="F257" s="910"/>
      <c r="G257" s="910"/>
      <c r="H257" s="910"/>
      <c r="I257" s="515"/>
      <c r="J257" s="516"/>
      <c r="K257" s="81"/>
      <c r="L257" s="517"/>
      <c r="M257" s="110"/>
    </row>
    <row r="258" spans="1:13" s="525" customFormat="1" ht="16.5" hidden="1" customHeight="1">
      <c r="A258" s="81"/>
      <c r="B258" s="568" t="s">
        <v>2205</v>
      </c>
      <c r="C258" s="540">
        <v>1</v>
      </c>
      <c r="D258" s="541" t="s">
        <v>265</v>
      </c>
      <c r="E258" s="556">
        <v>1</v>
      </c>
      <c r="F258" s="536">
        <v>21.9</v>
      </c>
      <c r="G258" s="536">
        <v>0</v>
      </c>
      <c r="H258" s="536">
        <v>3.1</v>
      </c>
      <c r="I258" s="523">
        <f t="shared" ref="I258:I264" si="36">ROUND(IF(AND(F258:H258),C258*E258*F258*G258*H258,IF(AND(F258,G258),C258*E258*F258*G258,IF(AND(F258,H258),C258*E258*F258*H258,IF(AND(G258,H258),C258*E258*G258*H258,IF(F258,C258*E258*F258,IF(G258,C258*E258*G258,IF(H258,C258*E258*H258,C258*E258))))))),2)</f>
        <v>67.89</v>
      </c>
      <c r="J258" s="537" t="s">
        <v>102</v>
      </c>
      <c r="K258" s="111"/>
      <c r="L258" s="81"/>
      <c r="M258" s="111"/>
    </row>
    <row r="259" spans="1:13" s="525" customFormat="1" ht="16.5" hidden="1" customHeight="1">
      <c r="A259" s="81"/>
      <c r="B259" s="568" t="s">
        <v>2158</v>
      </c>
      <c r="C259" s="540">
        <v>1</v>
      </c>
      <c r="D259" s="541" t="s">
        <v>265</v>
      </c>
      <c r="E259" s="556">
        <v>1</v>
      </c>
      <c r="F259" s="536">
        <v>7</v>
      </c>
      <c r="G259" s="536">
        <v>0</v>
      </c>
      <c r="H259" s="536">
        <v>3.1</v>
      </c>
      <c r="I259" s="523">
        <f t="shared" si="36"/>
        <v>21.7</v>
      </c>
      <c r="J259" s="537" t="s">
        <v>102</v>
      </c>
      <c r="K259" s="111"/>
      <c r="L259" s="81"/>
      <c r="M259" s="111"/>
    </row>
    <row r="260" spans="1:13" s="525" customFormat="1" ht="16.5" hidden="1" customHeight="1">
      <c r="A260" s="81"/>
      <c r="B260" s="568" t="s">
        <v>2185</v>
      </c>
      <c r="C260" s="540">
        <v>1</v>
      </c>
      <c r="D260" s="541" t="s">
        <v>265</v>
      </c>
      <c r="E260" s="556">
        <v>1</v>
      </c>
      <c r="F260" s="536">
        <v>7</v>
      </c>
      <c r="G260" s="536">
        <v>0</v>
      </c>
      <c r="H260" s="536">
        <v>3.1</v>
      </c>
      <c r="I260" s="523">
        <f t="shared" si="36"/>
        <v>21.7</v>
      </c>
      <c r="J260" s="537" t="s">
        <v>102</v>
      </c>
      <c r="K260" s="111"/>
      <c r="L260" s="81"/>
      <c r="M260" s="111"/>
    </row>
    <row r="261" spans="1:13" s="525" customFormat="1" ht="16.5" hidden="1" customHeight="1">
      <c r="A261" s="81"/>
      <c r="B261" s="568" t="s">
        <v>2186</v>
      </c>
      <c r="C261" s="540">
        <v>1</v>
      </c>
      <c r="D261" s="541" t="s">
        <v>265</v>
      </c>
      <c r="E261" s="556">
        <v>2</v>
      </c>
      <c r="F261" s="536">
        <v>2.1</v>
      </c>
      <c r="G261" s="536">
        <v>0</v>
      </c>
      <c r="H261" s="536">
        <v>3.1</v>
      </c>
      <c r="I261" s="523">
        <f t="shared" si="36"/>
        <v>13.02</v>
      </c>
      <c r="J261" s="537" t="s">
        <v>102</v>
      </c>
      <c r="K261" s="111"/>
      <c r="L261" s="81"/>
      <c r="M261" s="111"/>
    </row>
    <row r="262" spans="1:13" s="525" customFormat="1" ht="16.5" hidden="1" customHeight="1">
      <c r="A262" s="81"/>
      <c r="B262" s="568" t="s">
        <v>2206</v>
      </c>
      <c r="C262" s="540">
        <v>1</v>
      </c>
      <c r="D262" s="541" t="s">
        <v>265</v>
      </c>
      <c r="E262" s="556">
        <v>1</v>
      </c>
      <c r="F262" s="536">
        <v>8.65</v>
      </c>
      <c r="G262" s="536">
        <v>1.2</v>
      </c>
      <c r="H262" s="536">
        <v>0</v>
      </c>
      <c r="I262" s="523">
        <f t="shared" si="36"/>
        <v>10.38</v>
      </c>
      <c r="J262" s="537" t="s">
        <v>102</v>
      </c>
      <c r="K262" s="111"/>
      <c r="L262" s="81"/>
      <c r="M262" s="111"/>
    </row>
    <row r="263" spans="1:13" s="525" customFormat="1" ht="16.5" hidden="1" customHeight="1">
      <c r="A263" s="81"/>
      <c r="B263" s="568" t="s">
        <v>2207</v>
      </c>
      <c r="C263" s="540">
        <v>2</v>
      </c>
      <c r="D263" s="541" t="s">
        <v>265</v>
      </c>
      <c r="E263" s="556">
        <v>2</v>
      </c>
      <c r="F263" s="536">
        <v>0.35</v>
      </c>
      <c r="G263" s="536">
        <v>0</v>
      </c>
      <c r="H263" s="536">
        <v>0.15</v>
      </c>
      <c r="I263" s="523">
        <f t="shared" si="36"/>
        <v>0.21</v>
      </c>
      <c r="J263" s="537" t="s">
        <v>102</v>
      </c>
      <c r="K263" s="111"/>
      <c r="L263" s="81"/>
      <c r="M263" s="111"/>
    </row>
    <row r="264" spans="1:13" s="525" customFormat="1" ht="16.5" hidden="1" customHeight="1">
      <c r="A264" s="81"/>
      <c r="B264" s="568" t="s">
        <v>2208</v>
      </c>
      <c r="C264" s="540">
        <v>1</v>
      </c>
      <c r="D264" s="541" t="s">
        <v>265</v>
      </c>
      <c r="E264" s="556">
        <v>2</v>
      </c>
      <c r="F264" s="536">
        <v>1.65</v>
      </c>
      <c r="G264" s="536">
        <v>0</v>
      </c>
      <c r="H264" s="536">
        <v>0.6</v>
      </c>
      <c r="I264" s="523">
        <f t="shared" si="36"/>
        <v>1.98</v>
      </c>
      <c r="J264" s="537" t="s">
        <v>102</v>
      </c>
      <c r="K264" s="111"/>
      <c r="L264" s="81"/>
      <c r="M264" s="111"/>
    </row>
    <row r="265" spans="1:13" s="525" customFormat="1" ht="16.5" hidden="1" customHeight="1">
      <c r="A265" s="81"/>
      <c r="B265" s="568" t="s">
        <v>2168</v>
      </c>
      <c r="C265" s="540"/>
      <c r="D265" s="541"/>
      <c r="E265" s="556"/>
      <c r="F265" s="536"/>
      <c r="G265" s="536"/>
      <c r="H265" s="536"/>
      <c r="I265" s="523"/>
      <c r="J265" s="537"/>
      <c r="K265" s="111"/>
      <c r="L265" s="81"/>
      <c r="M265" s="111"/>
    </row>
    <row r="266" spans="1:13" s="525" customFormat="1" ht="16.5" hidden="1" customHeight="1">
      <c r="A266" s="81"/>
      <c r="B266" s="568" t="s">
        <v>2184</v>
      </c>
      <c r="C266" s="540">
        <v>1</v>
      </c>
      <c r="D266" s="541" t="s">
        <v>265</v>
      </c>
      <c r="E266" s="556">
        <v>1</v>
      </c>
      <c r="F266" s="569">
        <v>1.2</v>
      </c>
      <c r="G266" s="536">
        <v>0</v>
      </c>
      <c r="H266" s="536">
        <v>2.1</v>
      </c>
      <c r="I266" s="523">
        <f>-ROUND(IF(AND(F266:H266),C266*E266*F266*G266*H266,IF(AND(F266,G266),C266*E266*F266*G266,IF(AND(F266,H266),C266*E266*F266*H266,IF(AND(G266,H266),C266*E266*G266*H266,IF(F266,C266*E266*F266,IF(G266,C266*E266*G266,IF(H266,C266*E266*H266,C266*E266))))))),2)</f>
        <v>-2.52</v>
      </c>
      <c r="J266" s="537" t="s">
        <v>102</v>
      </c>
      <c r="K266" s="111"/>
      <c r="L266" s="81"/>
      <c r="M266" s="111"/>
    </row>
    <row r="267" spans="1:13" s="525" customFormat="1" ht="16.5" hidden="1" customHeight="1">
      <c r="A267" s="81"/>
      <c r="B267" s="568" t="s">
        <v>2184</v>
      </c>
      <c r="C267" s="540">
        <v>1</v>
      </c>
      <c r="D267" s="541" t="s">
        <v>265</v>
      </c>
      <c r="E267" s="556">
        <v>3</v>
      </c>
      <c r="F267" s="536">
        <v>0.75</v>
      </c>
      <c r="G267" s="536">
        <v>0</v>
      </c>
      <c r="H267" s="536">
        <v>2.1</v>
      </c>
      <c r="I267" s="523">
        <f>-ROUND(IF(AND(F267:H267),C267*E267*F267*G267*H267,IF(AND(F267,G267),C267*E267*F267*G267,IF(AND(F267,H267),C267*E267*F267*H267,IF(AND(G267,H267),C267*E267*G267*H267,IF(F267,C267*E267*F267,IF(G267,C267*E267*G267,IF(H267,C267*E267*H267,C267*E267))))))),2)</f>
        <v>-4.7300000000000004</v>
      </c>
      <c r="J267" s="537" t="s">
        <v>102</v>
      </c>
      <c r="K267" s="111"/>
      <c r="L267" s="81"/>
      <c r="M267" s="111"/>
    </row>
    <row r="268" spans="1:13" s="525" customFormat="1" ht="16.5" hidden="1" customHeight="1">
      <c r="A268" s="81"/>
      <c r="B268" s="568" t="s">
        <v>2209</v>
      </c>
      <c r="C268" s="540">
        <v>1</v>
      </c>
      <c r="D268" s="541" t="s">
        <v>265</v>
      </c>
      <c r="E268" s="556">
        <v>5</v>
      </c>
      <c r="F268" s="536">
        <v>1.5</v>
      </c>
      <c r="G268" s="536">
        <v>0</v>
      </c>
      <c r="H268" s="536">
        <v>1.35</v>
      </c>
      <c r="I268" s="523">
        <f>-ROUND(IF(AND(F268:H268),C268*E268*F268*G268*H268,IF(AND(F268,G268),C268*E268*F268*G268,IF(AND(F268,H268),C268*E268*F268*H268,IF(AND(G268,H268),C268*E268*G268*H268,IF(F268,C268*E268*F268,IF(G268,C268*E268*G268,IF(H268,C268*E268*H268,C268*E268))))))),2)</f>
        <v>-10.130000000000001</v>
      </c>
      <c r="J268" s="537" t="s">
        <v>102</v>
      </c>
      <c r="K268" s="111"/>
      <c r="L268" s="81"/>
      <c r="M268" s="111"/>
    </row>
    <row r="269" spans="1:13" s="525" customFormat="1" ht="16.5" hidden="1" customHeight="1">
      <c r="A269" s="81"/>
      <c r="B269" s="568" t="s">
        <v>2209</v>
      </c>
      <c r="C269" s="540">
        <v>1</v>
      </c>
      <c r="D269" s="541" t="s">
        <v>265</v>
      </c>
      <c r="E269" s="556">
        <v>3</v>
      </c>
      <c r="F269" s="536">
        <v>0.9</v>
      </c>
      <c r="G269" s="536">
        <v>0</v>
      </c>
      <c r="H269" s="536">
        <v>1.35</v>
      </c>
      <c r="I269" s="523">
        <f>-ROUND(IF(AND(F269:H269),C269*E269*F269*G269*H269,IF(AND(F269,G269),C269*E269*F269*G269,IF(AND(F269,H269),C269*E269*F269*H269,IF(AND(G269,H269),C269*E269*G269*H269,IF(F269,C269*E269*F269,IF(G269,C269*E269*G269,IF(H269,C269*E269*H269,C269*E269))))))),2)</f>
        <v>-3.65</v>
      </c>
      <c r="J269" s="537" t="s">
        <v>102</v>
      </c>
      <c r="K269" s="111"/>
      <c r="L269" s="81"/>
      <c r="M269" s="111"/>
    </row>
    <row r="270" spans="1:13" s="525" customFormat="1" ht="16.5" hidden="1" customHeight="1">
      <c r="A270" s="81"/>
      <c r="B270" s="568" t="s">
        <v>2183</v>
      </c>
      <c r="C270" s="540">
        <v>1</v>
      </c>
      <c r="D270" s="541" t="s">
        <v>265</v>
      </c>
      <c r="E270" s="556">
        <v>14</v>
      </c>
      <c r="F270" s="536">
        <v>0.6</v>
      </c>
      <c r="G270" s="536">
        <v>0</v>
      </c>
      <c r="H270" s="536">
        <v>0.3</v>
      </c>
      <c r="I270" s="523">
        <f>-ROUND(IF(AND(F270:H270),C270*E270*F270*G270*H270,IF(AND(F270,G270),C270*E270*F270*G270,IF(AND(F270,H270),C270*E270*F270*H270,IF(AND(G270,H270),C270*E270*G270*H270,IF(F270,C270*E270*F270,IF(G270,C270*E270*G270,IF(H270,C270*E270*H270,C270*E270))))))),2)</f>
        <v>-2.52</v>
      </c>
      <c r="J270" s="537" t="s">
        <v>102</v>
      </c>
      <c r="K270" s="111"/>
      <c r="L270" s="81"/>
      <c r="M270" s="111"/>
    </row>
    <row r="271" spans="1:13" s="525" customFormat="1" ht="16.5" hidden="1" customHeight="1">
      <c r="A271" s="81"/>
      <c r="B271" s="526"/>
      <c r="C271" s="527"/>
      <c r="D271" s="528"/>
      <c r="E271" s="529"/>
      <c r="F271" s="530"/>
      <c r="G271" s="530"/>
      <c r="H271" s="530"/>
      <c r="I271" s="531"/>
      <c r="J271" s="532"/>
      <c r="K271" s="111"/>
      <c r="L271" s="517"/>
      <c r="M271" s="111"/>
    </row>
    <row r="272" spans="1:13" hidden="1">
      <c r="A272" s="81"/>
      <c r="B272" s="111"/>
      <c r="C272" s="112"/>
      <c r="D272" s="533"/>
      <c r="E272" s="534"/>
      <c r="F272" s="113"/>
      <c r="G272" s="539"/>
      <c r="H272" s="81"/>
      <c r="I272" s="531"/>
      <c r="J272" s="532" t="s">
        <v>102</v>
      </c>
      <c r="K272" s="12">
        <f>'DATA 2024-25'!E522</f>
        <v>311.27</v>
      </c>
      <c r="L272" s="517" t="s">
        <v>267</v>
      </c>
      <c r="M272" s="11">
        <f>ROUND(I272*K272,0)</f>
        <v>0</v>
      </c>
    </row>
    <row r="273" spans="1:13" ht="52.5" hidden="1" customHeight="1">
      <c r="A273" s="81">
        <v>6</v>
      </c>
      <c r="B273" s="910" t="s">
        <v>583</v>
      </c>
      <c r="C273" s="910"/>
      <c r="D273" s="910"/>
      <c r="E273" s="910"/>
      <c r="F273" s="910"/>
      <c r="G273" s="910"/>
      <c r="H273" s="910"/>
      <c r="I273" s="515"/>
      <c r="J273" s="516"/>
      <c r="K273" s="81"/>
      <c r="L273" s="517"/>
      <c r="M273" s="110"/>
    </row>
    <row r="274" spans="1:13" s="525" customFormat="1" ht="16.5" hidden="1" customHeight="1">
      <c r="A274" s="81"/>
      <c r="B274" s="568" t="s">
        <v>1796</v>
      </c>
      <c r="C274" s="540">
        <v>1</v>
      </c>
      <c r="D274" s="541" t="s">
        <v>265</v>
      </c>
      <c r="E274" s="556">
        <v>2</v>
      </c>
      <c r="F274" s="536">
        <v>8.65</v>
      </c>
      <c r="G274" s="536">
        <v>0</v>
      </c>
      <c r="H274" s="536">
        <v>3.9</v>
      </c>
      <c r="I274" s="523">
        <f t="shared" ref="I274:I275" si="37">ROUND(IF(AND(F274:H274),C274*E274*F274*G274*H274,IF(AND(F274,G274),C274*E274*F274*G274,IF(AND(F274,H274),C274*E274*F274*H274,IF(AND(G274,H274),C274*E274*G274*H274,IF(F274,C274*E274*F274,IF(G274,C274*E274*G274,IF(H274,C274*E274*H274,C274*E274))))))),2)</f>
        <v>67.47</v>
      </c>
      <c r="J274" s="537" t="s">
        <v>102</v>
      </c>
      <c r="K274" s="111"/>
      <c r="L274" s="81"/>
      <c r="M274" s="111"/>
    </row>
    <row r="275" spans="1:13" s="525" customFormat="1" ht="16.5" hidden="1" customHeight="1">
      <c r="A275" s="81"/>
      <c r="B275" s="568" t="s">
        <v>1805</v>
      </c>
      <c r="C275" s="540">
        <v>1</v>
      </c>
      <c r="D275" s="541" t="s">
        <v>265</v>
      </c>
      <c r="E275" s="556">
        <v>2</v>
      </c>
      <c r="F275" s="536">
        <v>5.35</v>
      </c>
      <c r="G275" s="536">
        <v>0</v>
      </c>
      <c r="H275" s="536">
        <v>3.9</v>
      </c>
      <c r="I275" s="523">
        <f t="shared" si="37"/>
        <v>41.73</v>
      </c>
      <c r="J275" s="537" t="s">
        <v>102</v>
      </c>
      <c r="K275" s="111"/>
      <c r="L275" s="81"/>
      <c r="M275" s="111"/>
    </row>
    <row r="276" spans="1:13" s="525" customFormat="1" ht="16.5" hidden="1" customHeight="1">
      <c r="A276" s="81"/>
      <c r="B276" s="526"/>
      <c r="C276" s="527"/>
      <c r="D276" s="528"/>
      <c r="E276" s="529"/>
      <c r="F276" s="530"/>
      <c r="G276" s="530"/>
      <c r="H276" s="530"/>
      <c r="I276" s="531"/>
      <c r="J276" s="532"/>
      <c r="K276" s="111"/>
      <c r="L276" s="517"/>
      <c r="M276" s="111"/>
    </row>
    <row r="277" spans="1:13" hidden="1">
      <c r="A277" s="81"/>
      <c r="B277" s="111"/>
      <c r="C277" s="112"/>
      <c r="D277" s="533"/>
      <c r="E277" s="534"/>
      <c r="F277" s="113"/>
      <c r="G277" s="539"/>
      <c r="H277" s="81"/>
      <c r="I277" s="531"/>
      <c r="J277" s="532" t="s">
        <v>102</v>
      </c>
      <c r="K277" s="12">
        <f>'DATA 2024-25'!E539</f>
        <v>325.66000000000003</v>
      </c>
      <c r="L277" s="517" t="s">
        <v>267</v>
      </c>
      <c r="M277" s="11">
        <f>ROUND(I277*K277,0)</f>
        <v>0</v>
      </c>
    </row>
    <row r="278" spans="1:13" ht="71.25" customHeight="1">
      <c r="A278" s="81">
        <v>11</v>
      </c>
      <c r="B278" s="910" t="s">
        <v>747</v>
      </c>
      <c r="C278" s="910"/>
      <c r="D278" s="910"/>
      <c r="E278" s="910"/>
      <c r="F278" s="910"/>
      <c r="G278" s="910"/>
      <c r="H278" s="910"/>
      <c r="I278" s="515"/>
      <c r="J278" s="516"/>
      <c r="K278" s="81"/>
      <c r="L278" s="517"/>
      <c r="M278" s="110"/>
    </row>
    <row r="279" spans="1:13" s="525" customFormat="1" ht="16.5" customHeight="1">
      <c r="A279" s="81"/>
      <c r="B279" s="568" t="s">
        <v>741</v>
      </c>
      <c r="C279" s="540">
        <v>1</v>
      </c>
      <c r="D279" s="541" t="s">
        <v>265</v>
      </c>
      <c r="E279" s="556">
        <v>1</v>
      </c>
      <c r="F279" s="536">
        <v>22.5</v>
      </c>
      <c r="G279" s="536">
        <v>0</v>
      </c>
      <c r="H279" s="536">
        <v>3.1</v>
      </c>
      <c r="I279" s="523">
        <f t="shared" ref="I279:I282" si="38">ROUND(IF(AND(F279:H279),C279*E279*F279*G279*H279,IF(AND(F279,G279),C279*E279*F279*G279,IF(AND(F279,H279),C279*E279*F279*H279,IF(AND(G279,H279),C279*E279*G279*H279,IF(F279,C279*E279*F279,IF(G279,C279*E279*G279,IF(H279,C279*E279*H279,C279*E279))))))),2)</f>
        <v>69.75</v>
      </c>
      <c r="J279" s="537" t="s">
        <v>102</v>
      </c>
      <c r="K279" s="111"/>
      <c r="L279" s="81"/>
      <c r="M279" s="111"/>
    </row>
    <row r="280" spans="1:13" s="525" customFormat="1" ht="16.5" customHeight="1">
      <c r="A280" s="81"/>
      <c r="B280" s="568" t="s">
        <v>2158</v>
      </c>
      <c r="C280" s="540">
        <v>1</v>
      </c>
      <c r="D280" s="541" t="s">
        <v>265</v>
      </c>
      <c r="E280" s="556">
        <v>1</v>
      </c>
      <c r="F280" s="536">
        <v>6.9</v>
      </c>
      <c r="G280" s="536">
        <v>0</v>
      </c>
      <c r="H280" s="536">
        <v>3.1</v>
      </c>
      <c r="I280" s="523">
        <f t="shared" si="38"/>
        <v>21.39</v>
      </c>
      <c r="J280" s="537" t="s">
        <v>102</v>
      </c>
      <c r="K280" s="111"/>
      <c r="L280" s="81"/>
      <c r="M280" s="111"/>
    </row>
    <row r="281" spans="1:13" s="525" customFormat="1" ht="16.5" customHeight="1">
      <c r="A281" s="81"/>
      <c r="B281" s="568" t="s">
        <v>2185</v>
      </c>
      <c r="C281" s="540">
        <v>1</v>
      </c>
      <c r="D281" s="541" t="s">
        <v>265</v>
      </c>
      <c r="E281" s="556">
        <v>1</v>
      </c>
      <c r="F281" s="536">
        <v>6.4</v>
      </c>
      <c r="G281" s="536">
        <v>0</v>
      </c>
      <c r="H281" s="536">
        <v>3.1</v>
      </c>
      <c r="I281" s="523">
        <f t="shared" si="38"/>
        <v>19.84</v>
      </c>
      <c r="J281" s="537" t="s">
        <v>102</v>
      </c>
      <c r="K281" s="111"/>
      <c r="L281" s="81"/>
      <c r="M281" s="111"/>
    </row>
    <row r="282" spans="1:13" s="525" customFormat="1" ht="16.5" customHeight="1">
      <c r="A282" s="81"/>
      <c r="B282" s="568" t="s">
        <v>2335</v>
      </c>
      <c r="C282" s="540">
        <v>1</v>
      </c>
      <c r="D282" s="541" t="s">
        <v>265</v>
      </c>
      <c r="E282" s="556">
        <v>1</v>
      </c>
      <c r="F282" s="536">
        <v>5.84</v>
      </c>
      <c r="G282" s="536">
        <v>0</v>
      </c>
      <c r="H282" s="536">
        <v>3.1</v>
      </c>
      <c r="I282" s="523">
        <f t="shared" si="38"/>
        <v>18.100000000000001</v>
      </c>
      <c r="J282" s="537" t="s">
        <v>102</v>
      </c>
      <c r="K282" s="111"/>
      <c r="L282" s="81"/>
      <c r="M282" s="111"/>
    </row>
    <row r="283" spans="1:13" s="525" customFormat="1" ht="16.5" customHeight="1">
      <c r="A283" s="81"/>
      <c r="B283" s="568" t="s">
        <v>2168</v>
      </c>
      <c r="C283" s="540"/>
      <c r="D283" s="541"/>
      <c r="E283" s="556"/>
      <c r="F283" s="536"/>
      <c r="G283" s="536"/>
      <c r="H283" s="536"/>
      <c r="I283" s="523"/>
      <c r="J283" s="537"/>
      <c r="K283" s="111"/>
      <c r="L283" s="81"/>
      <c r="M283" s="111"/>
    </row>
    <row r="284" spans="1:13" s="525" customFormat="1" ht="16.5" customHeight="1">
      <c r="A284" s="81"/>
      <c r="B284" s="568" t="s">
        <v>2252</v>
      </c>
      <c r="C284" s="540">
        <v>1</v>
      </c>
      <c r="D284" s="541" t="s">
        <v>265</v>
      </c>
      <c r="E284" s="556">
        <v>1</v>
      </c>
      <c r="F284" s="536">
        <v>1.2</v>
      </c>
      <c r="G284" s="536">
        <v>0</v>
      </c>
      <c r="H284" s="536">
        <v>2.1</v>
      </c>
      <c r="I284" s="523">
        <f>-ROUND(IF(AND(F284:H284),C284*E284*F284*G284*H284,IF(AND(F284,G284),C284*E284*F284*G284,IF(AND(F284,H284),C284*E284*F284*H284,IF(AND(G284,H284),C284*E284*G284*H284,IF(F284,C284*E284*F284,IF(G284,C284*E284*G284,IF(H284,C284*E284*H284,C284*E284))))))),2)</f>
        <v>-2.52</v>
      </c>
      <c r="J284" s="537" t="s">
        <v>102</v>
      </c>
      <c r="K284" s="111"/>
      <c r="L284" s="81"/>
      <c r="M284" s="111"/>
    </row>
    <row r="285" spans="1:13" s="525" customFormat="1" ht="16.5" customHeight="1">
      <c r="A285" s="81"/>
      <c r="B285" s="568"/>
      <c r="C285" s="540">
        <v>2</v>
      </c>
      <c r="D285" s="541" t="s">
        <v>265</v>
      </c>
      <c r="E285" s="556">
        <v>3</v>
      </c>
      <c r="F285" s="536">
        <v>0.9</v>
      </c>
      <c r="G285" s="536">
        <v>0</v>
      </c>
      <c r="H285" s="536">
        <v>2.1</v>
      </c>
      <c r="I285" s="523">
        <f t="shared" ref="I285:I287" si="39">-ROUND(IF(AND(F285:H285),C285*E285*F285*G285*H285,IF(AND(F285,G285),C285*E285*F285*G285,IF(AND(F285,H285),C285*E285*F285*H285,IF(AND(G285,H285),C285*E285*G285*H285,IF(F285,C285*E285*F285,IF(G285,C285*E285*G285,IF(H285,C285*E285*H285,C285*E285))))))),2)</f>
        <v>-11.34</v>
      </c>
      <c r="J285" s="537" t="s">
        <v>102</v>
      </c>
      <c r="K285" s="111"/>
      <c r="L285" s="81"/>
      <c r="M285" s="111"/>
    </row>
    <row r="286" spans="1:13" s="525" customFormat="1" ht="16.5" customHeight="1">
      <c r="A286" s="81"/>
      <c r="B286" s="568" t="s">
        <v>2251</v>
      </c>
      <c r="C286" s="540">
        <v>1</v>
      </c>
      <c r="D286" s="541" t="s">
        <v>265</v>
      </c>
      <c r="E286" s="556">
        <v>5</v>
      </c>
      <c r="F286" s="536">
        <v>1.5</v>
      </c>
      <c r="G286" s="536">
        <v>0</v>
      </c>
      <c r="H286" s="536">
        <v>1.35</v>
      </c>
      <c r="I286" s="523">
        <f t="shared" si="39"/>
        <v>-10.130000000000001</v>
      </c>
      <c r="J286" s="537" t="s">
        <v>102</v>
      </c>
      <c r="K286" s="111"/>
      <c r="L286" s="81"/>
      <c r="M286" s="111"/>
    </row>
    <row r="287" spans="1:13" s="525" customFormat="1" ht="16.5" customHeight="1">
      <c r="A287" s="81"/>
      <c r="B287" s="568"/>
      <c r="C287" s="540">
        <v>1</v>
      </c>
      <c r="D287" s="541" t="s">
        <v>265</v>
      </c>
      <c r="E287" s="556">
        <v>3</v>
      </c>
      <c r="F287" s="536">
        <v>0.9</v>
      </c>
      <c r="G287" s="536">
        <v>0</v>
      </c>
      <c r="H287" s="536">
        <v>1.35</v>
      </c>
      <c r="I287" s="523">
        <f t="shared" si="39"/>
        <v>-3.65</v>
      </c>
      <c r="J287" s="537" t="s">
        <v>102</v>
      </c>
      <c r="K287" s="111"/>
      <c r="L287" s="81"/>
      <c r="M287" s="111"/>
    </row>
    <row r="288" spans="1:13" s="525" customFormat="1" ht="16.5" customHeight="1">
      <c r="A288" s="81"/>
      <c r="B288" s="568" t="s">
        <v>2183</v>
      </c>
      <c r="C288" s="540">
        <v>1</v>
      </c>
      <c r="D288" s="541" t="s">
        <v>265</v>
      </c>
      <c r="E288" s="556">
        <v>7</v>
      </c>
      <c r="F288" s="536">
        <v>0.6</v>
      </c>
      <c r="G288" s="536">
        <v>0</v>
      </c>
      <c r="H288" s="536">
        <v>0.3</v>
      </c>
      <c r="I288" s="523">
        <f>-ROUND(IF(AND(F288:H288),C288*E288*F288*G288*H288,IF(AND(F288,G288),C288*E288*F288*G288,IF(AND(F288,H288),C288*E288*F288*H288,IF(AND(G288,H288),C288*E288*G288*H288,IF(F288,C288*E288*F288,IF(G288,C288*E288*G288,IF(H288,C288*E288*H288,C288*E288))))))),2)</f>
        <v>-1.26</v>
      </c>
      <c r="J288" s="537" t="s">
        <v>102</v>
      </c>
      <c r="K288" s="111"/>
      <c r="L288" s="81"/>
      <c r="M288" s="111"/>
    </row>
    <row r="289" spans="1:13" s="525" customFormat="1" ht="16.5" customHeight="1">
      <c r="A289" s="81"/>
      <c r="B289" s="526"/>
      <c r="C289" s="527"/>
      <c r="D289" s="528"/>
      <c r="E289" s="529"/>
      <c r="F289" s="530"/>
      <c r="G289" s="530"/>
      <c r="H289" s="530"/>
      <c r="I289" s="531"/>
      <c r="J289" s="532"/>
      <c r="K289" s="111"/>
      <c r="L289" s="517"/>
      <c r="M289" s="111"/>
    </row>
    <row r="290" spans="1:13">
      <c r="A290" s="81"/>
      <c r="B290" s="111"/>
      <c r="C290" s="112"/>
      <c r="D290" s="533"/>
      <c r="E290" s="534"/>
      <c r="F290" s="113"/>
      <c r="G290" s="539"/>
      <c r="H290" s="81"/>
      <c r="I290" s="531">
        <f>SUM(I279:I289)</f>
        <v>100.18</v>
      </c>
      <c r="J290" s="532" t="s">
        <v>102</v>
      </c>
      <c r="K290" s="12">
        <f>'DATA 2024-25'!E576</f>
        <v>473.87</v>
      </c>
      <c r="L290" s="517" t="s">
        <v>267</v>
      </c>
      <c r="M290" s="11">
        <f>ROUND(I290*K290,0)</f>
        <v>47472</v>
      </c>
    </row>
    <row r="291" spans="1:13" ht="71.25" customHeight="1">
      <c r="A291" s="81">
        <v>12</v>
      </c>
      <c r="B291" s="910" t="s">
        <v>307</v>
      </c>
      <c r="C291" s="910"/>
      <c r="D291" s="910"/>
      <c r="E291" s="910"/>
      <c r="F291" s="910"/>
      <c r="G291" s="910"/>
      <c r="H291" s="910"/>
      <c r="I291" s="515"/>
      <c r="J291" s="516"/>
      <c r="K291" s="81"/>
      <c r="L291" s="517"/>
      <c r="M291" s="110"/>
    </row>
    <row r="292" spans="1:13" s="525" customFormat="1" ht="16.5" customHeight="1">
      <c r="A292" s="81"/>
      <c r="B292" s="538" t="s">
        <v>2250</v>
      </c>
      <c r="C292" s="540">
        <v>1</v>
      </c>
      <c r="D292" s="541" t="s">
        <v>265</v>
      </c>
      <c r="E292" s="556">
        <v>1</v>
      </c>
      <c r="F292" s="536">
        <v>8.6</v>
      </c>
      <c r="G292" s="536">
        <v>0</v>
      </c>
      <c r="H292" s="536">
        <v>3.55</v>
      </c>
      <c r="I292" s="523">
        <f t="shared" ref="I292:I305" si="40">ROUND(IF(AND(F292:H292),C292*E292*F292*G292*H292,IF(AND(F292,G292),C292*E292*F292*G292,IF(AND(F292,H292),C292*E292*F292*H292,IF(AND(G292,H292),C292*E292*G292*H292,IF(F292,C292*E292*F292,IF(G292,C292*E292*G292,IF(H292,C292*E292*H292,C292*E292))))))),2)</f>
        <v>30.53</v>
      </c>
      <c r="J292" s="524" t="s">
        <v>102</v>
      </c>
      <c r="K292" s="111"/>
      <c r="L292" s="81"/>
      <c r="M292" s="111"/>
    </row>
    <row r="293" spans="1:13" s="525" customFormat="1" ht="16.5" customHeight="1">
      <c r="A293" s="81"/>
      <c r="B293" s="538" t="s">
        <v>2342</v>
      </c>
      <c r="C293" s="540">
        <v>1</v>
      </c>
      <c r="D293" s="541" t="s">
        <v>265</v>
      </c>
      <c r="E293" s="556">
        <v>1</v>
      </c>
      <c r="F293" s="536">
        <v>8.6</v>
      </c>
      <c r="G293" s="536">
        <v>0</v>
      </c>
      <c r="H293" s="536">
        <v>4.1500000000000004</v>
      </c>
      <c r="I293" s="523">
        <f t="shared" si="40"/>
        <v>35.69</v>
      </c>
      <c r="J293" s="524" t="s">
        <v>102</v>
      </c>
      <c r="K293" s="111"/>
      <c r="L293" s="81"/>
      <c r="M293" s="111"/>
    </row>
    <row r="294" spans="1:13" s="525" customFormat="1" ht="16.5" customHeight="1">
      <c r="A294" s="81"/>
      <c r="B294" s="538" t="s">
        <v>2340</v>
      </c>
      <c r="C294" s="540">
        <v>1</v>
      </c>
      <c r="D294" s="541" t="s">
        <v>265</v>
      </c>
      <c r="E294" s="556">
        <v>1</v>
      </c>
      <c r="F294" s="536">
        <v>6.8</v>
      </c>
      <c r="G294" s="536">
        <v>0</v>
      </c>
      <c r="H294" s="536">
        <v>4.1500000000000004</v>
      </c>
      <c r="I294" s="523">
        <f t="shared" si="40"/>
        <v>28.22</v>
      </c>
      <c r="J294" s="524" t="s">
        <v>102</v>
      </c>
      <c r="K294" s="111"/>
      <c r="L294" s="81"/>
      <c r="M294" s="111"/>
    </row>
    <row r="295" spans="1:13" s="525" customFormat="1" ht="16.5" customHeight="1">
      <c r="A295" s="81"/>
      <c r="B295" s="538" t="s">
        <v>2343</v>
      </c>
      <c r="C295" s="540">
        <v>1</v>
      </c>
      <c r="D295" s="541" t="s">
        <v>265</v>
      </c>
      <c r="E295" s="556">
        <v>1</v>
      </c>
      <c r="F295" s="536">
        <v>1.2</v>
      </c>
      <c r="G295" s="536">
        <v>1.8</v>
      </c>
      <c r="H295" s="536">
        <v>0</v>
      </c>
      <c r="I295" s="523">
        <f t="shared" si="40"/>
        <v>2.16</v>
      </c>
      <c r="J295" s="524" t="s">
        <v>102</v>
      </c>
      <c r="K295" s="111"/>
      <c r="L295" s="81"/>
      <c r="M295" s="111"/>
    </row>
    <row r="296" spans="1:13" s="525" customFormat="1" ht="16.5" customHeight="1">
      <c r="A296" s="81"/>
      <c r="B296" s="538" t="s">
        <v>2344</v>
      </c>
      <c r="C296" s="540">
        <v>1</v>
      </c>
      <c r="D296" s="541" t="s">
        <v>265</v>
      </c>
      <c r="E296" s="556">
        <v>1</v>
      </c>
      <c r="F296" s="536">
        <v>1.2</v>
      </c>
      <c r="G296" s="536">
        <v>1.1499999999999999</v>
      </c>
      <c r="H296" s="536">
        <v>0</v>
      </c>
      <c r="I296" s="523">
        <f t="shared" si="40"/>
        <v>1.38</v>
      </c>
      <c r="J296" s="524" t="s">
        <v>102</v>
      </c>
      <c r="K296" s="111"/>
      <c r="L296" s="81"/>
      <c r="M296" s="111"/>
    </row>
    <row r="297" spans="1:13" s="525" customFormat="1" ht="16.5" customHeight="1">
      <c r="A297" s="81"/>
      <c r="B297" s="538" t="s">
        <v>2345</v>
      </c>
      <c r="C297" s="540">
        <v>1</v>
      </c>
      <c r="D297" s="541" t="s">
        <v>265</v>
      </c>
      <c r="E297" s="556">
        <v>1</v>
      </c>
      <c r="F297" s="536">
        <v>2.95</v>
      </c>
      <c r="G297" s="536">
        <v>1.2</v>
      </c>
      <c r="H297" s="536">
        <v>0</v>
      </c>
      <c r="I297" s="523">
        <f t="shared" si="40"/>
        <v>3.54</v>
      </c>
      <c r="J297" s="524" t="s">
        <v>102</v>
      </c>
      <c r="K297" s="111"/>
      <c r="L297" s="81"/>
      <c r="M297" s="111"/>
    </row>
    <row r="298" spans="1:13" s="525" customFormat="1" ht="16.5" customHeight="1">
      <c r="A298" s="81"/>
      <c r="B298" s="538"/>
      <c r="C298" s="540">
        <v>1</v>
      </c>
      <c r="D298" s="541" t="s">
        <v>265</v>
      </c>
      <c r="E298" s="556">
        <v>1</v>
      </c>
      <c r="F298" s="536">
        <v>1.2</v>
      </c>
      <c r="G298" s="536">
        <v>0</v>
      </c>
      <c r="H298" s="536">
        <v>0.15</v>
      </c>
      <c r="I298" s="523">
        <f t="shared" si="40"/>
        <v>0.18</v>
      </c>
      <c r="J298" s="524" t="s">
        <v>102</v>
      </c>
      <c r="K298" s="111"/>
      <c r="L298" s="81"/>
      <c r="M298" s="111"/>
    </row>
    <row r="299" spans="1:13" s="525" customFormat="1" ht="16.5" customHeight="1">
      <c r="A299" s="81"/>
      <c r="B299" s="538"/>
      <c r="C299" s="540">
        <v>1</v>
      </c>
      <c r="D299" s="541" t="s">
        <v>265</v>
      </c>
      <c r="E299" s="556">
        <v>1</v>
      </c>
      <c r="F299" s="536">
        <v>0.9</v>
      </c>
      <c r="G299" s="536">
        <v>0</v>
      </c>
      <c r="H299" s="536">
        <v>0.15</v>
      </c>
      <c r="I299" s="523">
        <f t="shared" si="40"/>
        <v>0.14000000000000001</v>
      </c>
      <c r="J299" s="524" t="s">
        <v>102</v>
      </c>
      <c r="K299" s="111"/>
      <c r="L299" s="81"/>
      <c r="M299" s="111"/>
    </row>
    <row r="300" spans="1:13" s="525" customFormat="1" ht="16.5" customHeight="1">
      <c r="A300" s="81"/>
      <c r="B300" s="538"/>
      <c r="C300" s="540">
        <v>1</v>
      </c>
      <c r="D300" s="541" t="s">
        <v>265</v>
      </c>
      <c r="E300" s="556">
        <v>1</v>
      </c>
      <c r="F300" s="536">
        <v>0.6</v>
      </c>
      <c r="G300" s="536">
        <v>0</v>
      </c>
      <c r="H300" s="536">
        <v>0.15</v>
      </c>
      <c r="I300" s="523">
        <f t="shared" si="40"/>
        <v>0.09</v>
      </c>
      <c r="J300" s="524" t="s">
        <v>102</v>
      </c>
      <c r="K300" s="111"/>
      <c r="L300" s="81"/>
      <c r="M300" s="111"/>
    </row>
    <row r="301" spans="1:13" s="525" customFormat="1" ht="16.5" customHeight="1">
      <c r="A301" s="81"/>
      <c r="B301" s="538"/>
      <c r="C301" s="540">
        <v>1</v>
      </c>
      <c r="D301" s="541" t="s">
        <v>265</v>
      </c>
      <c r="E301" s="556">
        <v>1</v>
      </c>
      <c r="F301" s="536">
        <v>0.3</v>
      </c>
      <c r="G301" s="536">
        <v>0</v>
      </c>
      <c r="H301" s="536">
        <v>0.15</v>
      </c>
      <c r="I301" s="523">
        <f t="shared" si="40"/>
        <v>0.05</v>
      </c>
      <c r="J301" s="524" t="s">
        <v>102</v>
      </c>
      <c r="K301" s="111"/>
      <c r="L301" s="81"/>
      <c r="M301" s="111"/>
    </row>
    <row r="302" spans="1:13" s="525" customFormat="1" ht="16.5" customHeight="1">
      <c r="A302" s="81"/>
      <c r="B302" s="538" t="s">
        <v>2346</v>
      </c>
      <c r="C302" s="540">
        <v>1</v>
      </c>
      <c r="D302" s="541" t="s">
        <v>265</v>
      </c>
      <c r="E302" s="556">
        <v>1</v>
      </c>
      <c r="F302" s="536">
        <v>1.1499999999999999</v>
      </c>
      <c r="G302" s="536">
        <v>0</v>
      </c>
      <c r="H302" s="536">
        <v>0.75</v>
      </c>
      <c r="I302" s="523">
        <f t="shared" si="40"/>
        <v>0.86</v>
      </c>
      <c r="J302" s="524" t="s">
        <v>102</v>
      </c>
      <c r="K302" s="111"/>
      <c r="L302" s="81"/>
      <c r="M302" s="111"/>
    </row>
    <row r="303" spans="1:13" s="525" customFormat="1" ht="16.5" customHeight="1">
      <c r="A303" s="81"/>
      <c r="B303" s="538" t="s">
        <v>2347</v>
      </c>
      <c r="C303" s="540">
        <v>1</v>
      </c>
      <c r="D303" s="541" t="s">
        <v>265</v>
      </c>
      <c r="E303" s="556">
        <v>1</v>
      </c>
      <c r="F303" s="536">
        <v>2.95</v>
      </c>
      <c r="G303" s="536">
        <v>0</v>
      </c>
      <c r="H303" s="569">
        <f>0.75/2</f>
        <v>0.375</v>
      </c>
      <c r="I303" s="523">
        <f t="shared" si="40"/>
        <v>1.1100000000000001</v>
      </c>
      <c r="J303" s="524" t="s">
        <v>102</v>
      </c>
      <c r="K303" s="111"/>
      <c r="L303" s="81"/>
      <c r="M303" s="111"/>
    </row>
    <row r="304" spans="1:13" s="525" customFormat="1" ht="16.5" customHeight="1">
      <c r="A304" s="81"/>
      <c r="B304" s="538" t="s">
        <v>2331</v>
      </c>
      <c r="C304" s="540">
        <v>1</v>
      </c>
      <c r="D304" s="541" t="s">
        <v>265</v>
      </c>
      <c r="E304" s="556">
        <v>2</v>
      </c>
      <c r="F304" s="536">
        <v>8.4499999999999993</v>
      </c>
      <c r="G304" s="536">
        <v>0</v>
      </c>
      <c r="H304" s="536">
        <v>0.7</v>
      </c>
      <c r="I304" s="523">
        <f t="shared" si="40"/>
        <v>11.83</v>
      </c>
      <c r="J304" s="524" t="s">
        <v>102</v>
      </c>
      <c r="K304" s="111"/>
      <c r="L304" s="81"/>
      <c r="M304" s="111"/>
    </row>
    <row r="305" spans="1:13" s="525" customFormat="1" ht="16.5" customHeight="1">
      <c r="A305" s="81"/>
      <c r="B305" s="538"/>
      <c r="C305" s="540">
        <v>2</v>
      </c>
      <c r="D305" s="541" t="s">
        <v>265</v>
      </c>
      <c r="E305" s="556">
        <v>2</v>
      </c>
      <c r="F305" s="536">
        <v>1.5</v>
      </c>
      <c r="G305" s="536">
        <v>0</v>
      </c>
      <c r="H305" s="536">
        <v>0.7</v>
      </c>
      <c r="I305" s="523">
        <f t="shared" si="40"/>
        <v>4.2</v>
      </c>
      <c r="J305" s="524" t="s">
        <v>102</v>
      </c>
      <c r="K305" s="111"/>
      <c r="L305" s="81"/>
      <c r="M305" s="111"/>
    </row>
    <row r="306" spans="1:13" s="525" customFormat="1" ht="15">
      <c r="A306" s="81"/>
      <c r="B306" s="526"/>
      <c r="C306" s="527"/>
      <c r="D306" s="528"/>
      <c r="E306" s="529"/>
      <c r="F306" s="530"/>
      <c r="G306" s="530"/>
      <c r="H306" s="530"/>
      <c r="I306" s="531"/>
      <c r="J306" s="532"/>
      <c r="K306" s="111"/>
      <c r="L306" s="517"/>
      <c r="M306" s="111"/>
    </row>
    <row r="307" spans="1:13">
      <c r="A307" s="81"/>
      <c r="B307" s="111"/>
      <c r="C307" s="112"/>
      <c r="D307" s="533"/>
      <c r="E307" s="534"/>
      <c r="F307" s="113"/>
      <c r="G307" s="539"/>
      <c r="H307" s="81"/>
      <c r="I307" s="531">
        <f>SUM(I292:I306)</f>
        <v>119.98</v>
      </c>
      <c r="J307" s="532" t="s">
        <v>102</v>
      </c>
      <c r="K307" s="12">
        <f>'DATA 2024-25'!E597</f>
        <v>485.1</v>
      </c>
      <c r="L307" s="517" t="s">
        <v>267</v>
      </c>
      <c r="M307" s="11">
        <f>ROUND(I307*K307,0)</f>
        <v>58202</v>
      </c>
    </row>
    <row r="308" spans="1:13" ht="92.25" hidden="1" customHeight="1">
      <c r="A308" s="81">
        <v>2</v>
      </c>
      <c r="B308" s="910" t="s">
        <v>2243</v>
      </c>
      <c r="C308" s="910"/>
      <c r="D308" s="910"/>
      <c r="E308" s="910"/>
      <c r="F308" s="910"/>
      <c r="G308" s="910"/>
      <c r="H308" s="910"/>
      <c r="I308" s="515"/>
      <c r="J308" s="516"/>
      <c r="K308" s="81"/>
      <c r="L308" s="517"/>
      <c r="M308" s="110"/>
    </row>
    <row r="309" spans="1:13" s="525" customFormat="1" ht="16.5" hidden="1" customHeight="1">
      <c r="A309" s="81"/>
      <c r="B309" s="526" t="s">
        <v>2155</v>
      </c>
      <c r="C309" s="527">
        <v>1</v>
      </c>
      <c r="D309" s="528" t="s">
        <v>265</v>
      </c>
      <c r="E309" s="529">
        <v>1</v>
      </c>
      <c r="F309" s="530">
        <v>2.9</v>
      </c>
      <c r="G309" s="530">
        <v>2.85</v>
      </c>
      <c r="H309" s="530">
        <v>7.4999999999999997E-2</v>
      </c>
      <c r="I309" s="531">
        <f t="shared" ref="I309:I322" si="41">ROUND(IF(AND(F309:H309),C309*E309*F309*G309*H309,IF(AND(F309,G309),C309*E309*F309*G309,IF(AND(F309,H309),C309*E309*F309*H309,IF(AND(G309,H309),C309*E309*G309*H309,IF(F309,C309*E309*F309,IF(G309,C309*E309*G309,IF(H309,C309*E309*H309,C309*E309))))))),2)</f>
        <v>0.62</v>
      </c>
      <c r="J309" s="532" t="s">
        <v>5</v>
      </c>
      <c r="K309" s="111"/>
      <c r="L309" s="517"/>
      <c r="M309" s="111"/>
    </row>
    <row r="310" spans="1:13" s="525" customFormat="1" ht="16.5" hidden="1" customHeight="1">
      <c r="A310" s="81"/>
      <c r="B310" s="526" t="s">
        <v>1883</v>
      </c>
      <c r="C310" s="527">
        <v>1</v>
      </c>
      <c r="D310" s="528" t="s">
        <v>265</v>
      </c>
      <c r="E310" s="529">
        <v>1</v>
      </c>
      <c r="F310" s="530">
        <v>1.35</v>
      </c>
      <c r="G310" s="530">
        <v>1.6</v>
      </c>
      <c r="H310" s="530">
        <v>7.4999999999999997E-2</v>
      </c>
      <c r="I310" s="531">
        <f t="shared" si="41"/>
        <v>0.16</v>
      </c>
      <c r="J310" s="532" t="s">
        <v>5</v>
      </c>
      <c r="K310" s="111"/>
      <c r="L310" s="517"/>
      <c r="M310" s="111"/>
    </row>
    <row r="311" spans="1:13" s="525" customFormat="1" ht="16.5" hidden="1" customHeight="1">
      <c r="A311" s="81"/>
      <c r="B311" s="526"/>
      <c r="C311" s="527">
        <v>1</v>
      </c>
      <c r="D311" s="528" t="s">
        <v>265</v>
      </c>
      <c r="E311" s="529">
        <v>1</v>
      </c>
      <c r="F311" s="530">
        <v>1.35</v>
      </c>
      <c r="G311" s="530">
        <v>0.95</v>
      </c>
      <c r="H311" s="530">
        <v>7.4999999999999997E-2</v>
      </c>
      <c r="I311" s="531">
        <f t="shared" si="41"/>
        <v>0.1</v>
      </c>
      <c r="J311" s="532" t="s">
        <v>5</v>
      </c>
      <c r="K311" s="111"/>
      <c r="L311" s="517"/>
      <c r="M311" s="111"/>
    </row>
    <row r="312" spans="1:13" s="525" customFormat="1" ht="16.5" hidden="1" customHeight="1">
      <c r="A312" s="81"/>
      <c r="B312" s="526" t="s">
        <v>2156</v>
      </c>
      <c r="C312" s="527">
        <v>1</v>
      </c>
      <c r="D312" s="528" t="s">
        <v>265</v>
      </c>
      <c r="E312" s="529">
        <v>1</v>
      </c>
      <c r="F312" s="530">
        <v>2.25</v>
      </c>
      <c r="G312" s="530">
        <v>2.85</v>
      </c>
      <c r="H312" s="530">
        <v>7.4999999999999997E-2</v>
      </c>
      <c r="I312" s="531">
        <f t="shared" si="41"/>
        <v>0.48</v>
      </c>
      <c r="J312" s="532" t="s">
        <v>5</v>
      </c>
      <c r="K312" s="111"/>
      <c r="L312" s="517"/>
      <c r="M312" s="111"/>
    </row>
    <row r="313" spans="1:13" s="525" customFormat="1" ht="16.5" hidden="1" customHeight="1">
      <c r="A313" s="81"/>
      <c r="B313" s="526" t="s">
        <v>2157</v>
      </c>
      <c r="C313" s="527">
        <v>1</v>
      </c>
      <c r="D313" s="528" t="s">
        <v>265</v>
      </c>
      <c r="E313" s="529">
        <v>1</v>
      </c>
      <c r="F313" s="530">
        <v>2.72</v>
      </c>
      <c r="G313" s="530">
        <v>2.85</v>
      </c>
      <c r="H313" s="530">
        <v>7.4999999999999997E-2</v>
      </c>
      <c r="I313" s="531">
        <f t="shared" si="41"/>
        <v>0.57999999999999996</v>
      </c>
      <c r="J313" s="532" t="s">
        <v>5</v>
      </c>
      <c r="K313" s="111"/>
      <c r="L313" s="517"/>
      <c r="M313" s="111"/>
    </row>
    <row r="314" spans="1:13" s="525" customFormat="1" ht="16.5" hidden="1" customHeight="1">
      <c r="A314" s="81"/>
      <c r="B314" s="526" t="s">
        <v>1841</v>
      </c>
      <c r="C314" s="527">
        <v>1</v>
      </c>
      <c r="D314" s="528" t="s">
        <v>265</v>
      </c>
      <c r="E314" s="529">
        <v>1</v>
      </c>
      <c r="F314" s="530">
        <v>1.42</v>
      </c>
      <c r="G314" s="530">
        <v>1.8</v>
      </c>
      <c r="H314" s="530">
        <v>7.4999999999999997E-2</v>
      </c>
      <c r="I314" s="531">
        <f t="shared" si="41"/>
        <v>0.19</v>
      </c>
      <c r="J314" s="532" t="s">
        <v>5</v>
      </c>
      <c r="K314" s="111"/>
      <c r="L314" s="517"/>
      <c r="M314" s="111"/>
    </row>
    <row r="315" spans="1:13" s="525" customFormat="1" ht="16.5" hidden="1" customHeight="1">
      <c r="A315" s="81"/>
      <c r="B315" s="526"/>
      <c r="C315" s="527">
        <v>1</v>
      </c>
      <c r="D315" s="528" t="s">
        <v>265</v>
      </c>
      <c r="E315" s="529">
        <v>1</v>
      </c>
      <c r="F315" s="530">
        <v>1.42</v>
      </c>
      <c r="G315" s="530">
        <v>1.05</v>
      </c>
      <c r="H315" s="530">
        <v>7.4999999999999997E-2</v>
      </c>
      <c r="I315" s="531">
        <f t="shared" si="41"/>
        <v>0.11</v>
      </c>
      <c r="J315" s="532" t="s">
        <v>5</v>
      </c>
      <c r="K315" s="111"/>
      <c r="L315" s="517"/>
      <c r="M315" s="111"/>
    </row>
    <row r="316" spans="1:13" s="525" customFormat="1" ht="16.5" hidden="1" customHeight="1">
      <c r="A316" s="81"/>
      <c r="B316" s="526" t="s">
        <v>2158</v>
      </c>
      <c r="C316" s="527">
        <v>1</v>
      </c>
      <c r="D316" s="528" t="s">
        <v>265</v>
      </c>
      <c r="E316" s="529">
        <v>1</v>
      </c>
      <c r="F316" s="530">
        <v>1.82</v>
      </c>
      <c r="G316" s="530">
        <v>2.8</v>
      </c>
      <c r="H316" s="530">
        <v>7.4999999999999997E-2</v>
      </c>
      <c r="I316" s="531">
        <f t="shared" si="41"/>
        <v>0.38</v>
      </c>
      <c r="J316" s="532" t="s">
        <v>5</v>
      </c>
      <c r="K316" s="111"/>
      <c r="L316" s="517"/>
      <c r="M316" s="111"/>
    </row>
    <row r="317" spans="1:13" s="525" customFormat="1" ht="16.5" hidden="1" customHeight="1">
      <c r="A317" s="81"/>
      <c r="B317" s="526" t="s">
        <v>2159</v>
      </c>
      <c r="C317" s="527">
        <v>1</v>
      </c>
      <c r="D317" s="528" t="s">
        <v>265</v>
      </c>
      <c r="E317" s="529">
        <v>1</v>
      </c>
      <c r="F317" s="530">
        <v>6.78</v>
      </c>
      <c r="G317" s="530">
        <v>2.96</v>
      </c>
      <c r="H317" s="530">
        <v>7.4999999999999997E-2</v>
      </c>
      <c r="I317" s="531">
        <f t="shared" si="41"/>
        <v>1.51</v>
      </c>
      <c r="J317" s="532" t="s">
        <v>5</v>
      </c>
      <c r="K317" s="111"/>
      <c r="L317" s="517"/>
      <c r="M317" s="111"/>
    </row>
    <row r="318" spans="1:13" s="525" customFormat="1" ht="16.5" hidden="1" customHeight="1">
      <c r="A318" s="81"/>
      <c r="B318" s="526" t="s">
        <v>2160</v>
      </c>
      <c r="C318" s="527">
        <v>1</v>
      </c>
      <c r="D318" s="528" t="s">
        <v>265</v>
      </c>
      <c r="E318" s="529">
        <v>1</v>
      </c>
      <c r="F318" s="530">
        <v>6.22</v>
      </c>
      <c r="G318" s="530">
        <v>2.96</v>
      </c>
      <c r="H318" s="530">
        <v>7.4999999999999997E-2</v>
      </c>
      <c r="I318" s="531">
        <f t="shared" si="41"/>
        <v>1.38</v>
      </c>
      <c r="J318" s="532" t="s">
        <v>5</v>
      </c>
      <c r="K318" s="111"/>
      <c r="L318" s="517"/>
      <c r="M318" s="111"/>
    </row>
    <row r="319" spans="1:13" s="525" customFormat="1" ht="16.5" hidden="1" customHeight="1">
      <c r="A319" s="81"/>
      <c r="B319" s="526" t="s">
        <v>2161</v>
      </c>
      <c r="C319" s="527">
        <v>1</v>
      </c>
      <c r="D319" s="528" t="s">
        <v>265</v>
      </c>
      <c r="E319" s="529">
        <v>1</v>
      </c>
      <c r="F319" s="530">
        <v>12</v>
      </c>
      <c r="G319" s="530">
        <v>1.2</v>
      </c>
      <c r="H319" s="530">
        <v>7.4999999999999997E-2</v>
      </c>
      <c r="I319" s="531">
        <f t="shared" si="41"/>
        <v>1.08</v>
      </c>
      <c r="J319" s="532" t="s">
        <v>5</v>
      </c>
      <c r="K319" s="111"/>
      <c r="L319" s="517"/>
      <c r="M319" s="111"/>
    </row>
    <row r="320" spans="1:13" s="525" customFormat="1" ht="16.5" hidden="1" customHeight="1">
      <c r="A320" s="81"/>
      <c r="B320" s="526"/>
      <c r="C320" s="527">
        <v>1</v>
      </c>
      <c r="D320" s="528" t="s">
        <v>265</v>
      </c>
      <c r="E320" s="529">
        <v>1</v>
      </c>
      <c r="F320" s="530">
        <v>6.1</v>
      </c>
      <c r="G320" s="530">
        <v>1.2</v>
      </c>
      <c r="H320" s="530">
        <v>7.4999999999999997E-2</v>
      </c>
      <c r="I320" s="531">
        <f t="shared" si="41"/>
        <v>0.55000000000000004</v>
      </c>
      <c r="J320" s="532" t="s">
        <v>5</v>
      </c>
      <c r="K320" s="111"/>
      <c r="L320" s="517"/>
      <c r="M320" s="111"/>
    </row>
    <row r="321" spans="1:13" s="525" customFormat="1" ht="16.5" hidden="1" customHeight="1">
      <c r="A321" s="81"/>
      <c r="B321" s="526" t="s">
        <v>2162</v>
      </c>
      <c r="C321" s="527">
        <v>1</v>
      </c>
      <c r="D321" s="528" t="s">
        <v>265</v>
      </c>
      <c r="E321" s="529">
        <v>1</v>
      </c>
      <c r="F321" s="530">
        <v>2.5499999999999998</v>
      </c>
      <c r="G321" s="530">
        <v>1.2</v>
      </c>
      <c r="H321" s="530">
        <v>7.4999999999999997E-2</v>
      </c>
      <c r="I321" s="531">
        <f t="shared" si="41"/>
        <v>0.23</v>
      </c>
      <c r="J321" s="532" t="s">
        <v>5</v>
      </c>
      <c r="K321" s="111"/>
      <c r="L321" s="517"/>
      <c r="M321" s="111"/>
    </row>
    <row r="322" spans="1:13" s="525" customFormat="1" ht="16.5" hidden="1" customHeight="1">
      <c r="A322" s="81"/>
      <c r="B322" s="526" t="s">
        <v>2163</v>
      </c>
      <c r="C322" s="527">
        <v>1</v>
      </c>
      <c r="D322" s="528" t="s">
        <v>265</v>
      </c>
      <c r="E322" s="529">
        <v>1</v>
      </c>
      <c r="F322" s="530">
        <v>1.2</v>
      </c>
      <c r="G322" s="530">
        <v>0.9</v>
      </c>
      <c r="H322" s="530">
        <v>7.4999999999999997E-2</v>
      </c>
      <c r="I322" s="531">
        <f t="shared" si="41"/>
        <v>0.08</v>
      </c>
      <c r="J322" s="532" t="s">
        <v>5</v>
      </c>
      <c r="K322" s="111"/>
      <c r="L322" s="517"/>
      <c r="M322" s="111"/>
    </row>
    <row r="323" spans="1:13" s="525" customFormat="1" ht="16.5" hidden="1" customHeight="1">
      <c r="A323" s="81"/>
      <c r="B323" s="526"/>
      <c r="C323" s="527"/>
      <c r="D323" s="528"/>
      <c r="E323" s="570"/>
      <c r="F323" s="530"/>
      <c r="G323" s="530"/>
      <c r="H323" s="530"/>
      <c r="I323" s="531"/>
      <c r="J323" s="532"/>
      <c r="K323" s="111"/>
      <c r="L323" s="517"/>
      <c r="M323" s="111"/>
    </row>
    <row r="324" spans="1:13" hidden="1">
      <c r="A324" s="81"/>
      <c r="B324" s="111"/>
      <c r="C324" s="112"/>
      <c r="D324" s="533"/>
      <c r="E324" s="534"/>
      <c r="F324" s="113"/>
      <c r="G324" s="539"/>
      <c r="H324" s="81"/>
      <c r="I324" s="531"/>
      <c r="J324" s="532" t="s">
        <v>5</v>
      </c>
      <c r="K324" s="12">
        <f>'DATA 2024-25'!E320</f>
        <v>6819.9000000000005</v>
      </c>
      <c r="L324" s="517" t="s">
        <v>266</v>
      </c>
      <c r="M324" s="11">
        <f>ROUND(I324*K324,0)</f>
        <v>0</v>
      </c>
    </row>
    <row r="325" spans="1:13" ht="106.5" customHeight="1">
      <c r="A325" s="81">
        <v>13</v>
      </c>
      <c r="B325" s="910" t="s">
        <v>212</v>
      </c>
      <c r="C325" s="910"/>
      <c r="D325" s="910"/>
      <c r="E325" s="910"/>
      <c r="F325" s="910"/>
      <c r="G325" s="910"/>
      <c r="H325" s="910"/>
      <c r="I325" s="515"/>
      <c r="J325" s="516"/>
      <c r="K325" s="81"/>
      <c r="L325" s="517"/>
      <c r="M325" s="110"/>
    </row>
    <row r="326" spans="1:13" s="525" customFormat="1" ht="16.5" customHeight="1">
      <c r="A326" s="81"/>
      <c r="B326" s="538" t="s">
        <v>741</v>
      </c>
      <c r="C326" s="540">
        <v>1</v>
      </c>
      <c r="D326" s="541" t="s">
        <v>265</v>
      </c>
      <c r="E326" s="556">
        <v>1</v>
      </c>
      <c r="F326" s="536">
        <v>6.25</v>
      </c>
      <c r="G326" s="536">
        <v>5</v>
      </c>
      <c r="H326" s="536">
        <v>0</v>
      </c>
      <c r="I326" s="523">
        <f t="shared" ref="I326:I330" si="42">ROUND(IF(AND(F326:H326),C326*E326*F326*G326*H326,IF(AND(F326,G326),C326*E326*F326*G326,IF(AND(F326,H326),C326*E326*F326*H326,IF(AND(G326,H326),C326*E326*G326*H326,IF(F326,C326*E326*F326,IF(G326,C326*E326*G326,IF(H326,C326*E326*H326,C326*E326))))))),2)</f>
        <v>31.25</v>
      </c>
      <c r="J326" s="537" t="s">
        <v>102</v>
      </c>
      <c r="K326" s="111"/>
      <c r="L326" s="81"/>
      <c r="M326" s="111"/>
    </row>
    <row r="327" spans="1:13" s="525" customFormat="1" ht="16.5" customHeight="1">
      <c r="A327" s="81"/>
      <c r="B327" s="538" t="s">
        <v>2158</v>
      </c>
      <c r="C327" s="540">
        <v>1</v>
      </c>
      <c r="D327" s="541" t="s">
        <v>265</v>
      </c>
      <c r="E327" s="556">
        <v>1</v>
      </c>
      <c r="F327" s="536">
        <v>1.6</v>
      </c>
      <c r="G327" s="536">
        <v>1.85</v>
      </c>
      <c r="H327" s="536">
        <v>0</v>
      </c>
      <c r="I327" s="523">
        <f t="shared" si="42"/>
        <v>2.96</v>
      </c>
      <c r="J327" s="537" t="s">
        <v>102</v>
      </c>
      <c r="K327" s="111"/>
      <c r="L327" s="81"/>
      <c r="M327" s="111"/>
    </row>
    <row r="328" spans="1:13" s="525" customFormat="1" ht="16.5" customHeight="1">
      <c r="A328" s="81"/>
      <c r="B328" s="538" t="s">
        <v>2185</v>
      </c>
      <c r="C328" s="540">
        <v>1</v>
      </c>
      <c r="D328" s="541" t="s">
        <v>265</v>
      </c>
      <c r="E328" s="556">
        <v>1</v>
      </c>
      <c r="F328" s="536">
        <v>1.6</v>
      </c>
      <c r="G328" s="536">
        <v>1.6</v>
      </c>
      <c r="H328" s="536">
        <v>0</v>
      </c>
      <c r="I328" s="523">
        <f t="shared" si="42"/>
        <v>2.56</v>
      </c>
      <c r="J328" s="537" t="s">
        <v>102</v>
      </c>
      <c r="K328" s="111"/>
      <c r="L328" s="81"/>
      <c r="M328" s="111"/>
    </row>
    <row r="329" spans="1:13" s="525" customFormat="1" ht="16.5" customHeight="1">
      <c r="A329" s="81"/>
      <c r="B329" s="538" t="s">
        <v>2335</v>
      </c>
      <c r="C329" s="540">
        <v>1</v>
      </c>
      <c r="D329" s="541" t="s">
        <v>265</v>
      </c>
      <c r="E329" s="556">
        <v>1</v>
      </c>
      <c r="F329" s="536">
        <v>1.6</v>
      </c>
      <c r="G329" s="536">
        <v>1.32</v>
      </c>
      <c r="H329" s="536">
        <v>0</v>
      </c>
      <c r="I329" s="523">
        <f t="shared" si="42"/>
        <v>2.11</v>
      </c>
      <c r="J329" s="537" t="s">
        <v>102</v>
      </c>
      <c r="K329" s="111"/>
      <c r="L329" s="81"/>
      <c r="M329" s="111"/>
    </row>
    <row r="330" spans="1:13" s="525" customFormat="1" ht="16.5" customHeight="1">
      <c r="A330" s="81"/>
      <c r="B330" s="538" t="s">
        <v>564</v>
      </c>
      <c r="C330" s="540">
        <v>1</v>
      </c>
      <c r="D330" s="541" t="s">
        <v>265</v>
      </c>
      <c r="E330" s="556">
        <v>1</v>
      </c>
      <c r="F330" s="536">
        <v>8.4499999999999993</v>
      </c>
      <c r="G330" s="536">
        <v>1.35</v>
      </c>
      <c r="H330" s="536">
        <v>0</v>
      </c>
      <c r="I330" s="523">
        <f t="shared" si="42"/>
        <v>11.41</v>
      </c>
      <c r="J330" s="537" t="s">
        <v>102</v>
      </c>
      <c r="K330" s="111"/>
      <c r="L330" s="81"/>
      <c r="M330" s="111"/>
    </row>
    <row r="331" spans="1:13" s="525" customFormat="1" ht="16.5" customHeight="1">
      <c r="A331" s="81"/>
      <c r="B331" s="538" t="s">
        <v>2168</v>
      </c>
      <c r="C331" s="540">
        <v>1</v>
      </c>
      <c r="D331" s="541" t="s">
        <v>265</v>
      </c>
      <c r="E331" s="556">
        <v>2</v>
      </c>
      <c r="F331" s="536">
        <v>0.23</v>
      </c>
      <c r="G331" s="569">
        <v>0.125</v>
      </c>
      <c r="H331" s="536">
        <v>0</v>
      </c>
      <c r="I331" s="523">
        <f>-ROUND(IF(AND(F331:H331),C331*E331*F331*G331*H331,IF(AND(F331,G331),C331*E331*F331*G331,IF(AND(F331,H331),C331*E331*F331*H331,IF(AND(G331,H331),C331*E331*G331*H331,IF(F331,C331*E331*F331,IF(G331,C331*E331*G331,IF(H331,C331*E331*H331,C331*E331))))))),2)</f>
        <v>-0.06</v>
      </c>
      <c r="J331" s="537" t="s">
        <v>102</v>
      </c>
      <c r="K331" s="111"/>
      <c r="L331" s="81"/>
      <c r="M331" s="111"/>
    </row>
    <row r="332" spans="1:13" s="525" customFormat="1" ht="16.5" customHeight="1">
      <c r="A332" s="81"/>
      <c r="B332" s="526"/>
      <c r="C332" s="527"/>
      <c r="D332" s="528"/>
      <c r="E332" s="529"/>
      <c r="F332" s="530"/>
      <c r="G332" s="530"/>
      <c r="H332" s="530"/>
      <c r="I332" s="531"/>
      <c r="J332" s="532"/>
      <c r="K332" s="111"/>
      <c r="L332" s="517"/>
      <c r="M332" s="111"/>
    </row>
    <row r="333" spans="1:13">
      <c r="A333" s="81"/>
      <c r="B333" s="111"/>
      <c r="C333" s="112"/>
      <c r="D333" s="533"/>
      <c r="E333" s="534"/>
      <c r="F333" s="113"/>
      <c r="G333" s="539"/>
      <c r="H333" s="81"/>
      <c r="I333" s="531">
        <f>SUM(I326:I332)</f>
        <v>50.230000000000004</v>
      </c>
      <c r="J333" s="532" t="s">
        <v>102</v>
      </c>
      <c r="K333" s="12">
        <f>'DATA 2024-25'!E748</f>
        <v>1238.02</v>
      </c>
      <c r="L333" s="517" t="s">
        <v>267</v>
      </c>
      <c r="M333" s="11">
        <f>ROUND(I333*K333,0)</f>
        <v>62186</v>
      </c>
    </row>
    <row r="334" spans="1:13" ht="79.5" customHeight="1">
      <c r="A334" s="81">
        <v>14</v>
      </c>
      <c r="B334" s="910" t="s">
        <v>213</v>
      </c>
      <c r="C334" s="910"/>
      <c r="D334" s="910"/>
      <c r="E334" s="910"/>
      <c r="F334" s="910"/>
      <c r="G334" s="910"/>
      <c r="H334" s="910"/>
      <c r="I334" s="515"/>
      <c r="J334" s="516"/>
      <c r="K334" s="81"/>
      <c r="L334" s="517"/>
      <c r="M334" s="110"/>
    </row>
    <row r="335" spans="1:13" s="525" customFormat="1" ht="16.5" customHeight="1">
      <c r="A335" s="81"/>
      <c r="B335" s="538" t="s">
        <v>766</v>
      </c>
      <c r="C335" s="547">
        <v>1</v>
      </c>
      <c r="D335" s="548" t="s">
        <v>265</v>
      </c>
      <c r="E335" s="556">
        <v>1</v>
      </c>
      <c r="F335" s="208">
        <v>22.5</v>
      </c>
      <c r="G335" s="551">
        <v>0</v>
      </c>
      <c r="H335" s="208">
        <v>0.1</v>
      </c>
      <c r="I335" s="552">
        <f t="shared" ref="I335:I340" si="43">ROUND(IF(AND(F335:H335),C335*E335*F335*G335*H335,IF(AND(F335,G335),C335*E335*F335*G335,IF(AND(F335,H335),C335*E335*F335*H335,IF(AND(G335,H335),C335*E335*G335*H335,IF(F335,C335*E335*F335,IF(G335,C335*E335*G335,IF(H335,C335*E335*H335,C335*E335))))))),2)</f>
        <v>2.25</v>
      </c>
      <c r="J335" s="524" t="s">
        <v>102</v>
      </c>
      <c r="K335" s="111"/>
      <c r="L335" s="81"/>
      <c r="M335" s="111"/>
    </row>
    <row r="336" spans="1:13" s="525" customFormat="1" ht="16.5" customHeight="1">
      <c r="A336" s="81"/>
      <c r="B336" s="538" t="s">
        <v>2348</v>
      </c>
      <c r="C336" s="547">
        <v>1</v>
      </c>
      <c r="D336" s="548" t="s">
        <v>265</v>
      </c>
      <c r="E336" s="556">
        <v>1</v>
      </c>
      <c r="F336" s="208">
        <v>6.9</v>
      </c>
      <c r="G336" s="551">
        <v>0</v>
      </c>
      <c r="H336" s="208">
        <v>0.1</v>
      </c>
      <c r="I336" s="552">
        <f t="shared" si="43"/>
        <v>0.69</v>
      </c>
      <c r="J336" s="524" t="s">
        <v>102</v>
      </c>
      <c r="K336" s="111"/>
      <c r="L336" s="81"/>
      <c r="M336" s="111"/>
    </row>
    <row r="337" spans="1:17" s="525" customFormat="1" ht="16.5" customHeight="1">
      <c r="A337" s="81"/>
      <c r="B337" s="538" t="s">
        <v>2185</v>
      </c>
      <c r="C337" s="547">
        <v>1</v>
      </c>
      <c r="D337" s="548" t="s">
        <v>265</v>
      </c>
      <c r="E337" s="556">
        <v>1</v>
      </c>
      <c r="F337" s="208">
        <v>6.4</v>
      </c>
      <c r="G337" s="551">
        <v>0</v>
      </c>
      <c r="H337" s="208">
        <v>0.1</v>
      </c>
      <c r="I337" s="552">
        <f t="shared" si="43"/>
        <v>0.64</v>
      </c>
      <c r="J337" s="524" t="s">
        <v>102</v>
      </c>
      <c r="K337" s="111"/>
      <c r="L337" s="81"/>
      <c r="M337" s="111"/>
    </row>
    <row r="338" spans="1:17" s="525" customFormat="1" ht="16.5" customHeight="1">
      <c r="A338" s="81"/>
      <c r="B338" s="538" t="s">
        <v>2335</v>
      </c>
      <c r="C338" s="547">
        <v>1</v>
      </c>
      <c r="D338" s="548" t="s">
        <v>265</v>
      </c>
      <c r="E338" s="556">
        <v>1</v>
      </c>
      <c r="F338" s="208">
        <v>5.84</v>
      </c>
      <c r="G338" s="551">
        <v>0</v>
      </c>
      <c r="H338" s="208">
        <v>0.1</v>
      </c>
      <c r="I338" s="552">
        <f t="shared" si="43"/>
        <v>0.57999999999999996</v>
      </c>
      <c r="J338" s="524" t="s">
        <v>102</v>
      </c>
      <c r="K338" s="111"/>
      <c r="L338" s="81"/>
      <c r="M338" s="111"/>
    </row>
    <row r="339" spans="1:17" s="525" customFormat="1" ht="16.5" customHeight="1">
      <c r="A339" s="81"/>
      <c r="B339" s="538" t="s">
        <v>564</v>
      </c>
      <c r="C339" s="547">
        <v>1</v>
      </c>
      <c r="D339" s="548" t="s">
        <v>265</v>
      </c>
      <c r="E339" s="556">
        <v>2</v>
      </c>
      <c r="F339" s="208">
        <v>8.4499999999999993</v>
      </c>
      <c r="G339" s="551">
        <v>0</v>
      </c>
      <c r="H339" s="208">
        <v>0.1</v>
      </c>
      <c r="I339" s="552">
        <f t="shared" si="43"/>
        <v>1.69</v>
      </c>
      <c r="J339" s="524" t="s">
        <v>102</v>
      </c>
      <c r="K339" s="111"/>
      <c r="L339" s="81"/>
      <c r="M339" s="111"/>
    </row>
    <row r="340" spans="1:17" s="525" customFormat="1" ht="16.5" customHeight="1">
      <c r="A340" s="81"/>
      <c r="B340" s="538" t="s">
        <v>2349</v>
      </c>
      <c r="C340" s="547">
        <v>1</v>
      </c>
      <c r="D340" s="548" t="s">
        <v>265</v>
      </c>
      <c r="E340" s="556">
        <v>2</v>
      </c>
      <c r="F340" s="208">
        <v>1.5</v>
      </c>
      <c r="G340" s="551">
        <v>0</v>
      </c>
      <c r="H340" s="208">
        <v>0.1</v>
      </c>
      <c r="I340" s="552">
        <f t="shared" si="43"/>
        <v>0.3</v>
      </c>
      <c r="J340" s="524" t="s">
        <v>102</v>
      </c>
      <c r="K340" s="111"/>
      <c r="L340" s="81"/>
      <c r="M340" s="111"/>
    </row>
    <row r="341" spans="1:17" s="525" customFormat="1" ht="16.5" customHeight="1">
      <c r="A341" s="81"/>
      <c r="B341" s="538" t="s">
        <v>2168</v>
      </c>
      <c r="C341" s="547"/>
      <c r="D341" s="548"/>
      <c r="E341" s="556"/>
      <c r="F341" s="208"/>
      <c r="G341" s="551"/>
      <c r="H341" s="208"/>
      <c r="I341" s="552"/>
      <c r="J341" s="524"/>
      <c r="K341" s="111"/>
      <c r="L341" s="81"/>
      <c r="M341" s="111"/>
    </row>
    <row r="342" spans="1:17" s="525" customFormat="1" ht="16.5" customHeight="1">
      <c r="A342" s="81"/>
      <c r="B342" s="538" t="s">
        <v>2252</v>
      </c>
      <c r="C342" s="547">
        <v>1</v>
      </c>
      <c r="D342" s="548" t="s">
        <v>265</v>
      </c>
      <c r="E342" s="556">
        <v>2</v>
      </c>
      <c r="F342" s="208">
        <v>1.2</v>
      </c>
      <c r="G342" s="551">
        <v>0</v>
      </c>
      <c r="H342" s="208">
        <v>0.1</v>
      </c>
      <c r="I342" s="552">
        <f>-ROUND(IF(AND(F342:H342),C342*E342*F342*G342*H342,IF(AND(F342,G342),C342*E342*F342*G342,IF(AND(F342,H342),C342*E342*F342*H342,IF(AND(G342,H342),C342*E342*G342*H342,IF(F342,C342*E342*F342,IF(G342,C342*E342*G342,IF(H342,C342*E342*H342,C342*E342))))))),2)</f>
        <v>-0.24</v>
      </c>
      <c r="J342" s="524" t="s">
        <v>102</v>
      </c>
      <c r="K342" s="111"/>
      <c r="L342" s="81"/>
      <c r="M342" s="111"/>
    </row>
    <row r="343" spans="1:17" s="525" customFormat="1" ht="16.5" customHeight="1">
      <c r="A343" s="81"/>
      <c r="B343" s="538" t="s">
        <v>2252</v>
      </c>
      <c r="C343" s="547">
        <v>3</v>
      </c>
      <c r="D343" s="548" t="s">
        <v>265</v>
      </c>
      <c r="E343" s="556">
        <v>2</v>
      </c>
      <c r="F343" s="208">
        <v>0.9</v>
      </c>
      <c r="G343" s="551">
        <v>0</v>
      </c>
      <c r="H343" s="208">
        <v>0.1</v>
      </c>
      <c r="I343" s="552">
        <f>-ROUND(IF(AND(F343:H343),C343*E343*F343*G343*H343,IF(AND(F343,G343),C343*E343*F343*G343,IF(AND(F343,H343),C343*E343*F343*H343,IF(AND(G343,H343),C343*E343*G343*H343,IF(F343,C343*E343*F343,IF(G343,C343*E343*G343,IF(H343,C343*E343*H343,C343*E343))))))),2)</f>
        <v>-0.54</v>
      </c>
      <c r="J343" s="524" t="s">
        <v>102</v>
      </c>
      <c r="K343" s="111"/>
      <c r="L343" s="81"/>
      <c r="M343" s="111"/>
    </row>
    <row r="344" spans="1:17" s="525" customFormat="1" ht="16.5" customHeight="1">
      <c r="A344" s="81"/>
      <c r="B344" s="538" t="s">
        <v>2350</v>
      </c>
      <c r="C344" s="547">
        <v>1</v>
      </c>
      <c r="D344" s="548" t="s">
        <v>265</v>
      </c>
      <c r="E344" s="556">
        <v>1</v>
      </c>
      <c r="F344" s="208">
        <v>1.2</v>
      </c>
      <c r="G344" s="551">
        <v>0</v>
      </c>
      <c r="H344" s="208">
        <v>0.1</v>
      </c>
      <c r="I344" s="552">
        <f>-ROUND(IF(AND(F344:H344),C344*E344*F344*G344*H344,IF(AND(F344,G344),C344*E344*F344*G344,IF(AND(F344,H344),C344*E344*F344*H344,IF(AND(G344,H344),C344*E344*G344*H344,IF(F344,C344*E344*F344,IF(G344,C344*E344*G344,IF(H344,C344*E344*H344,C344*E344))))))),2)</f>
        <v>-0.12</v>
      </c>
      <c r="J344" s="524" t="s">
        <v>102</v>
      </c>
      <c r="K344" s="111"/>
      <c r="L344" s="81"/>
      <c r="M344" s="111"/>
    </row>
    <row r="345" spans="1:17" s="525" customFormat="1" ht="16.5" customHeight="1">
      <c r="A345" s="81"/>
      <c r="B345" s="526"/>
      <c r="C345" s="527"/>
      <c r="D345" s="528"/>
      <c r="E345" s="529"/>
      <c r="F345" s="530"/>
      <c r="G345" s="530"/>
      <c r="H345" s="530"/>
      <c r="I345" s="531"/>
      <c r="J345" s="532"/>
      <c r="K345" s="111"/>
      <c r="L345" s="517"/>
      <c r="M345" s="111"/>
    </row>
    <row r="346" spans="1:17">
      <c r="A346" s="81"/>
      <c r="B346" s="111"/>
      <c r="C346" s="112"/>
      <c r="D346" s="533"/>
      <c r="E346" s="534"/>
      <c r="F346" s="113"/>
      <c r="G346" s="539"/>
      <c r="H346" s="81"/>
      <c r="I346" s="531">
        <f>SUM(I335:I345)</f>
        <v>5.2499999999999991</v>
      </c>
      <c r="J346" s="532" t="s">
        <v>102</v>
      </c>
      <c r="K346" s="12">
        <f>'DATA 2024-25'!E767</f>
        <v>1233.1500000000001</v>
      </c>
      <c r="L346" s="517" t="s">
        <v>267</v>
      </c>
      <c r="M346" s="11">
        <f>ROUND(I346*K346,0)</f>
        <v>6474</v>
      </c>
    </row>
    <row r="347" spans="1:17" ht="108" hidden="1" customHeight="1">
      <c r="A347" s="81">
        <v>7</v>
      </c>
      <c r="B347" s="910" t="s">
        <v>650</v>
      </c>
      <c r="C347" s="910"/>
      <c r="D347" s="910"/>
      <c r="E347" s="910"/>
      <c r="F347" s="910"/>
      <c r="G347" s="910"/>
      <c r="H347" s="910"/>
      <c r="I347" s="515"/>
      <c r="J347" s="516"/>
      <c r="K347" s="81"/>
      <c r="L347" s="517"/>
      <c r="M347" s="110"/>
    </row>
    <row r="348" spans="1:17" s="525" customFormat="1" ht="16.5" hidden="1" customHeight="1">
      <c r="A348" s="81"/>
      <c r="B348" s="538"/>
      <c r="C348" s="515">
        <v>1</v>
      </c>
      <c r="D348" s="553" t="s">
        <v>265</v>
      </c>
      <c r="E348" s="534">
        <v>1</v>
      </c>
      <c r="F348" s="12">
        <v>6.08</v>
      </c>
      <c r="G348" s="12">
        <v>4.8</v>
      </c>
      <c r="H348" s="536">
        <v>0</v>
      </c>
      <c r="I348" s="523">
        <f t="shared" ref="I348:I351" si="44">ROUND(IF(AND(F348:H348),C348*E348*F348*G348*H348,IF(AND(F348,G348),C348*E348*F348*G348,IF(AND(F348,H348),C348*E348*F348*H348,IF(AND(G348,H348),C348*E348*G348*H348,IF(F348,C348*E348*F348,IF(G348,C348*E348*G348,IF(H348,C348*E348*H348,C348*E348))))))),2)</f>
        <v>29.18</v>
      </c>
      <c r="J348" s="524" t="s">
        <v>102</v>
      </c>
      <c r="K348" s="111"/>
      <c r="L348" s="81"/>
      <c r="M348" s="111"/>
      <c r="O348" s="525">
        <f>F348*2</f>
        <v>12.16</v>
      </c>
      <c r="P348" s="525">
        <f>G348*2</f>
        <v>9.6</v>
      </c>
      <c r="Q348" s="525">
        <f>SUBTOTAL(9,O348:P348)</f>
        <v>0</v>
      </c>
    </row>
    <row r="349" spans="1:17" s="525" customFormat="1" ht="16.5" hidden="1" customHeight="1">
      <c r="A349" s="81"/>
      <c r="B349" s="538"/>
      <c r="C349" s="515">
        <v>1</v>
      </c>
      <c r="D349" s="553" t="s">
        <v>265</v>
      </c>
      <c r="E349" s="534">
        <v>1</v>
      </c>
      <c r="F349" s="12">
        <v>1.8</v>
      </c>
      <c r="G349" s="12">
        <v>1.65</v>
      </c>
      <c r="H349" s="536">
        <v>0</v>
      </c>
      <c r="I349" s="523">
        <f t="shared" si="44"/>
        <v>2.97</v>
      </c>
      <c r="J349" s="524" t="s">
        <v>102</v>
      </c>
      <c r="K349" s="111"/>
      <c r="L349" s="81"/>
      <c r="M349" s="111"/>
      <c r="O349" s="525">
        <f t="shared" ref="O349:O351" si="45">F349*2</f>
        <v>3.6</v>
      </c>
      <c r="P349" s="525">
        <f t="shared" ref="P349:P351" si="46">G349*2</f>
        <v>3.3</v>
      </c>
      <c r="Q349" s="525">
        <f t="shared" ref="Q349:Q351" si="47">SUBTOTAL(9,O349:P349)</f>
        <v>0</v>
      </c>
    </row>
    <row r="350" spans="1:17" s="525" customFormat="1" ht="16.5" hidden="1" customHeight="1">
      <c r="A350" s="81"/>
      <c r="B350" s="538"/>
      <c r="C350" s="515">
        <v>1</v>
      </c>
      <c r="D350" s="553" t="s">
        <v>265</v>
      </c>
      <c r="E350" s="534">
        <v>1</v>
      </c>
      <c r="F350" s="12">
        <v>1.8</v>
      </c>
      <c r="G350" s="12">
        <v>1.5</v>
      </c>
      <c r="H350" s="536">
        <v>0</v>
      </c>
      <c r="I350" s="523">
        <f t="shared" si="44"/>
        <v>2.7</v>
      </c>
      <c r="J350" s="524" t="s">
        <v>102</v>
      </c>
      <c r="K350" s="111"/>
      <c r="L350" s="81"/>
      <c r="M350" s="111"/>
      <c r="O350" s="525">
        <f t="shared" si="45"/>
        <v>3.6</v>
      </c>
      <c r="P350" s="525">
        <f t="shared" si="46"/>
        <v>3</v>
      </c>
      <c r="Q350" s="525">
        <f t="shared" si="47"/>
        <v>0</v>
      </c>
    </row>
    <row r="351" spans="1:17" s="525" customFormat="1" ht="16.5" hidden="1" customHeight="1">
      <c r="A351" s="81"/>
      <c r="B351" s="538"/>
      <c r="C351" s="515">
        <v>1</v>
      </c>
      <c r="D351" s="553" t="s">
        <v>265</v>
      </c>
      <c r="E351" s="534">
        <v>1</v>
      </c>
      <c r="F351" s="12">
        <v>1.8</v>
      </c>
      <c r="G351" s="12">
        <v>1.2</v>
      </c>
      <c r="H351" s="536">
        <v>0</v>
      </c>
      <c r="I351" s="523">
        <f t="shared" si="44"/>
        <v>2.16</v>
      </c>
      <c r="J351" s="524" t="s">
        <v>102</v>
      </c>
      <c r="K351" s="111"/>
      <c r="L351" s="81"/>
      <c r="M351" s="111"/>
      <c r="O351" s="525">
        <f t="shared" si="45"/>
        <v>3.6</v>
      </c>
      <c r="P351" s="525">
        <f t="shared" si="46"/>
        <v>2.4</v>
      </c>
      <c r="Q351" s="525">
        <f t="shared" si="47"/>
        <v>0</v>
      </c>
    </row>
    <row r="352" spans="1:17" s="525" customFormat="1" ht="16.5" hidden="1" customHeight="1">
      <c r="A352" s="81"/>
      <c r="B352" s="526"/>
      <c r="C352" s="527"/>
      <c r="D352" s="528"/>
      <c r="E352" s="529"/>
      <c r="F352" s="530"/>
      <c r="G352" s="530"/>
      <c r="H352" s="530"/>
      <c r="I352" s="531"/>
      <c r="J352" s="524"/>
      <c r="K352" s="111"/>
      <c r="L352" s="517"/>
      <c r="M352" s="111"/>
    </row>
    <row r="353" spans="1:13" hidden="1">
      <c r="A353" s="81"/>
      <c r="B353" s="111"/>
      <c r="C353" s="112"/>
      <c r="D353" s="533"/>
      <c r="E353" s="534"/>
      <c r="F353" s="113"/>
      <c r="G353" s="539"/>
      <c r="H353" s="81"/>
      <c r="I353" s="531"/>
      <c r="J353" s="532" t="s">
        <v>102</v>
      </c>
      <c r="K353" s="12">
        <f>'DATA 2024-25'!E668</f>
        <v>3203.54</v>
      </c>
      <c r="L353" s="517" t="s">
        <v>267</v>
      </c>
      <c r="M353" s="11">
        <f>ROUND(I353*K353,0)</f>
        <v>0</v>
      </c>
    </row>
    <row r="354" spans="1:13" ht="93.75" hidden="1" customHeight="1">
      <c r="A354" s="81">
        <v>8</v>
      </c>
      <c r="B354" s="910" t="s">
        <v>656</v>
      </c>
      <c r="C354" s="910"/>
      <c r="D354" s="910"/>
      <c r="E354" s="910"/>
      <c r="F354" s="910"/>
      <c r="G354" s="910"/>
      <c r="H354" s="910"/>
      <c r="I354" s="515"/>
      <c r="J354" s="516"/>
      <c r="K354" s="81"/>
      <c r="L354" s="517"/>
      <c r="M354" s="110"/>
    </row>
    <row r="355" spans="1:13" s="525" customFormat="1" ht="16.5" hidden="1" customHeight="1">
      <c r="A355" s="81"/>
      <c r="B355" s="538"/>
      <c r="C355" s="540">
        <v>1</v>
      </c>
      <c r="D355" s="541" t="s">
        <v>265</v>
      </c>
      <c r="E355" s="556">
        <v>1</v>
      </c>
      <c r="F355" s="536">
        <v>21.76</v>
      </c>
      <c r="G355" s="536">
        <v>0</v>
      </c>
      <c r="H355" s="536">
        <v>0.1</v>
      </c>
      <c r="I355" s="523">
        <f t="shared" ref="I355:I358" si="48">ROUND(IF(AND(F355:H355),C355*E355*F355*G355*H355,IF(AND(F355,G355),C355*E355*F355*G355,IF(AND(F355,H355),C355*E355*F355*H355,IF(AND(G355,H355),C355*E355*G355*H355,IF(F355,C355*E355*F355,IF(G355,C355*E355*G355,IF(H355,C355*E355*H355,C355*E355))))))),2)</f>
        <v>2.1800000000000002</v>
      </c>
      <c r="J355" s="524" t="s">
        <v>102</v>
      </c>
      <c r="K355" s="111"/>
      <c r="L355" s="81"/>
      <c r="M355" s="111"/>
    </row>
    <row r="356" spans="1:13" s="525" customFormat="1" ht="16.5" hidden="1" customHeight="1">
      <c r="A356" s="81"/>
      <c r="B356" s="538"/>
      <c r="C356" s="540">
        <v>1</v>
      </c>
      <c r="D356" s="541" t="s">
        <v>265</v>
      </c>
      <c r="E356" s="556">
        <v>1</v>
      </c>
      <c r="F356" s="536">
        <v>6.9</v>
      </c>
      <c r="G356" s="536">
        <v>0</v>
      </c>
      <c r="H356" s="536">
        <v>0.1</v>
      </c>
      <c r="I356" s="523">
        <f t="shared" si="48"/>
        <v>0.69</v>
      </c>
      <c r="J356" s="524" t="s">
        <v>102</v>
      </c>
      <c r="K356" s="111"/>
      <c r="L356" s="81"/>
      <c r="M356" s="111"/>
    </row>
    <row r="357" spans="1:13" s="525" customFormat="1" ht="16.5" hidden="1" customHeight="1">
      <c r="A357" s="81"/>
      <c r="B357" s="538"/>
      <c r="C357" s="540">
        <v>1</v>
      </c>
      <c r="D357" s="541" t="s">
        <v>265</v>
      </c>
      <c r="E357" s="556">
        <v>1</v>
      </c>
      <c r="F357" s="536">
        <v>6.6</v>
      </c>
      <c r="G357" s="536">
        <v>0</v>
      </c>
      <c r="H357" s="536">
        <v>0.1</v>
      </c>
      <c r="I357" s="523">
        <f t="shared" si="48"/>
        <v>0.66</v>
      </c>
      <c r="J357" s="524" t="s">
        <v>102</v>
      </c>
      <c r="K357" s="111"/>
      <c r="L357" s="81"/>
      <c r="M357" s="111"/>
    </row>
    <row r="358" spans="1:13" s="525" customFormat="1" ht="16.5" hidden="1" customHeight="1">
      <c r="A358" s="81"/>
      <c r="B358" s="262"/>
      <c r="C358" s="540">
        <v>1</v>
      </c>
      <c r="D358" s="541" t="s">
        <v>265</v>
      </c>
      <c r="E358" s="556">
        <v>2</v>
      </c>
      <c r="F358" s="536">
        <v>6</v>
      </c>
      <c r="G358" s="536">
        <v>0</v>
      </c>
      <c r="H358" s="536">
        <v>0.1</v>
      </c>
      <c r="I358" s="523">
        <f t="shared" si="48"/>
        <v>1.2</v>
      </c>
      <c r="J358" s="524" t="s">
        <v>102</v>
      </c>
      <c r="K358" s="111"/>
      <c r="L358" s="81"/>
      <c r="M358" s="111"/>
    </row>
    <row r="359" spans="1:13" s="525" customFormat="1" ht="16.5" hidden="1" customHeight="1">
      <c r="A359" s="81"/>
      <c r="B359" s="526"/>
      <c r="C359" s="527"/>
      <c r="D359" s="528"/>
      <c r="E359" s="529"/>
      <c r="F359" s="530"/>
      <c r="G359" s="530"/>
      <c r="H359" s="530"/>
      <c r="I359" s="531"/>
      <c r="J359" s="532"/>
      <c r="K359" s="111"/>
      <c r="L359" s="517"/>
      <c r="M359" s="111"/>
    </row>
    <row r="360" spans="1:13" hidden="1">
      <c r="A360" s="81"/>
      <c r="B360" s="111"/>
      <c r="C360" s="112"/>
      <c r="D360" s="533"/>
      <c r="E360" s="534"/>
      <c r="F360" s="113"/>
      <c r="G360" s="539"/>
      <c r="H360" s="81"/>
      <c r="I360" s="531"/>
      <c r="J360" s="532" t="s">
        <v>102</v>
      </c>
      <c r="K360" s="12">
        <f>'DATA 2024-25'!E688</f>
        <v>2970.99</v>
      </c>
      <c r="L360" s="517" t="s">
        <v>267</v>
      </c>
      <c r="M360" s="11">
        <f>ROUND(I360*K360,0)</f>
        <v>0</v>
      </c>
    </row>
    <row r="361" spans="1:13" ht="31.5" hidden="1" customHeight="1">
      <c r="A361" s="81">
        <v>2</v>
      </c>
      <c r="B361" s="910" t="s">
        <v>2165</v>
      </c>
      <c r="C361" s="910"/>
      <c r="D361" s="910"/>
      <c r="E361" s="910"/>
      <c r="F361" s="910"/>
      <c r="G361" s="910"/>
      <c r="H361" s="910"/>
      <c r="I361" s="515"/>
      <c r="J361" s="516"/>
      <c r="K361" s="81"/>
      <c r="L361" s="517"/>
      <c r="M361" s="110"/>
    </row>
    <row r="362" spans="1:13" s="525" customFormat="1" ht="16.5" hidden="1" customHeight="1">
      <c r="A362" s="81"/>
      <c r="B362" s="526" t="s">
        <v>2155</v>
      </c>
      <c r="C362" s="527">
        <v>1</v>
      </c>
      <c r="D362" s="528" t="s">
        <v>265</v>
      </c>
      <c r="E362" s="529">
        <v>1</v>
      </c>
      <c r="F362" s="530">
        <v>1.45</v>
      </c>
      <c r="G362" s="530">
        <v>0.45</v>
      </c>
      <c r="H362" s="530">
        <v>0</v>
      </c>
      <c r="I362" s="531">
        <f t="shared" ref="I362" si="49">ROUND(IF(AND(F362:H362),C362*E362*F362*G362*H362,IF(AND(F362,G362),C362*E362*F362*G362,IF(AND(F362,H362),C362*E362*F362*H362,IF(AND(G362,H362),C362*E362*G362*H362,IF(F362,C362*E362*F362,IF(G362,C362*E362*G362,IF(H362,C362*E362*H362,C362*E362))))))),2)</f>
        <v>0.65</v>
      </c>
      <c r="J362" s="532" t="s">
        <v>102</v>
      </c>
      <c r="K362" s="111"/>
      <c r="L362" s="81"/>
      <c r="M362" s="111"/>
    </row>
    <row r="363" spans="1:13" s="525" customFormat="1" ht="16.5" hidden="1" customHeight="1">
      <c r="A363" s="81"/>
      <c r="B363" s="526" t="s">
        <v>2156</v>
      </c>
      <c r="C363" s="527">
        <v>1</v>
      </c>
      <c r="D363" s="528" t="s">
        <v>265</v>
      </c>
      <c r="E363" s="529">
        <v>1</v>
      </c>
      <c r="F363" s="530">
        <v>1.75</v>
      </c>
      <c r="G363" s="530">
        <v>0.45</v>
      </c>
      <c r="H363" s="530">
        <v>0</v>
      </c>
      <c r="I363" s="531">
        <f t="shared" ref="I363:I365" si="50">ROUND(IF(AND(F363:H363),C363*E363*F363*G363*H363,IF(AND(F363,G363),C363*E363*F363*G363,IF(AND(F363,H363),C363*E363*F363*H363,IF(AND(G363,H363),C363*E363*G363*H363,IF(F363,C363*E363*F363,IF(G363,C363*E363*G363,IF(H363,C363*E363*H363,C363*E363))))))),2)</f>
        <v>0.79</v>
      </c>
      <c r="J363" s="532" t="s">
        <v>102</v>
      </c>
      <c r="K363" s="111"/>
      <c r="L363" s="81"/>
      <c r="M363" s="111"/>
    </row>
    <row r="364" spans="1:13" s="525" customFormat="1" ht="16.5" hidden="1" customHeight="1">
      <c r="A364" s="81"/>
      <c r="B364" s="526" t="s">
        <v>2167</v>
      </c>
      <c r="C364" s="527">
        <v>1</v>
      </c>
      <c r="D364" s="528" t="s">
        <v>265</v>
      </c>
      <c r="E364" s="529">
        <v>1</v>
      </c>
      <c r="F364" s="530">
        <v>0.55000000000000004</v>
      </c>
      <c r="G364" s="530">
        <v>0.35</v>
      </c>
      <c r="H364" s="530">
        <v>0</v>
      </c>
      <c r="I364" s="531">
        <f>-ROUND(IF(AND(F364:H364),C364*E364*F364*G364*H364,IF(AND(F364,G364),C364*E364*F364*G364,IF(AND(F364,H364),C364*E364*F364*H364,IF(AND(G364,H364),C364*E364*G364*H364,IF(F364,C364*E364*F364,IF(G364,C364*E364*G364,IF(H364,C364*E364*H364,C364*E364))))))),2)</f>
        <v>-0.19</v>
      </c>
      <c r="J364" s="532" t="s">
        <v>102</v>
      </c>
      <c r="K364" s="111"/>
      <c r="L364" s="81"/>
      <c r="M364" s="111"/>
    </row>
    <row r="365" spans="1:13" s="525" customFormat="1" ht="16.5" hidden="1" customHeight="1">
      <c r="A365" s="81"/>
      <c r="B365" s="526" t="s">
        <v>2158</v>
      </c>
      <c r="C365" s="527">
        <v>1</v>
      </c>
      <c r="D365" s="528" t="s">
        <v>265</v>
      </c>
      <c r="E365" s="529">
        <v>1</v>
      </c>
      <c r="F365" s="530">
        <v>2.8</v>
      </c>
      <c r="G365" s="530">
        <v>0.45</v>
      </c>
      <c r="H365" s="530">
        <v>0</v>
      </c>
      <c r="I365" s="531">
        <f t="shared" si="50"/>
        <v>1.26</v>
      </c>
      <c r="J365" s="532" t="s">
        <v>102</v>
      </c>
      <c r="K365" s="111"/>
      <c r="L365" s="81"/>
      <c r="M365" s="111"/>
    </row>
    <row r="366" spans="1:13" s="525" customFormat="1" ht="16.5" hidden="1" customHeight="1">
      <c r="A366" s="81"/>
      <c r="B366" s="526" t="s">
        <v>2168</v>
      </c>
      <c r="C366" s="527">
        <v>1</v>
      </c>
      <c r="D366" s="528" t="s">
        <v>265</v>
      </c>
      <c r="E366" s="529">
        <v>1</v>
      </c>
      <c r="F366" s="530">
        <v>0.55000000000000004</v>
      </c>
      <c r="G366" s="530">
        <v>0.35</v>
      </c>
      <c r="H366" s="530">
        <v>0</v>
      </c>
      <c r="I366" s="531">
        <f>-ROUND(IF(AND(F366:H366),C366*E366*F366*G366*H366,IF(AND(F366,G366),C366*E366*F366*G366,IF(AND(F366,H366),C366*E366*F366*H366,IF(AND(G366,H366),C366*E366*G366*H366,IF(F366,C366*E366*F366,IF(G366,C366*E366*G366,IF(H366,C366*E366*H366,C366*E366))))))),2)</f>
        <v>-0.19</v>
      </c>
      <c r="J366" s="532" t="s">
        <v>102</v>
      </c>
      <c r="K366" s="111"/>
      <c r="L366" s="81"/>
      <c r="M366" s="111"/>
    </row>
    <row r="367" spans="1:13" s="525" customFormat="1" ht="16.5" hidden="1" customHeight="1">
      <c r="A367" s="81"/>
      <c r="B367" s="526"/>
      <c r="C367" s="527"/>
      <c r="D367" s="528"/>
      <c r="E367" s="529"/>
      <c r="F367" s="530"/>
      <c r="G367" s="530"/>
      <c r="H367" s="530"/>
      <c r="I367" s="531"/>
      <c r="J367" s="532"/>
      <c r="K367" s="111"/>
      <c r="L367" s="517"/>
      <c r="M367" s="111"/>
    </row>
    <row r="368" spans="1:13" hidden="1">
      <c r="A368" s="81"/>
      <c r="B368" s="111"/>
      <c r="C368" s="112"/>
      <c r="D368" s="533"/>
      <c r="E368" s="534"/>
      <c r="F368" s="113"/>
      <c r="G368" s="539"/>
      <c r="H368" s="81"/>
      <c r="I368" s="531"/>
      <c r="J368" s="532" t="s">
        <v>102</v>
      </c>
      <c r="K368" s="12">
        <f>'lead 24-25'!L23</f>
        <v>2366.9152000000004</v>
      </c>
      <c r="L368" s="517" t="s">
        <v>2166</v>
      </c>
      <c r="M368" s="11">
        <f>ROUND(I368*K368/10,0)</f>
        <v>0</v>
      </c>
    </row>
    <row r="369" spans="1:13" ht="90" hidden="1" customHeight="1">
      <c r="A369" s="81">
        <v>6</v>
      </c>
      <c r="B369" s="910" t="s">
        <v>657</v>
      </c>
      <c r="C369" s="910"/>
      <c r="D369" s="910"/>
      <c r="E369" s="910"/>
      <c r="F369" s="910"/>
      <c r="G369" s="910"/>
      <c r="H369" s="910"/>
      <c r="I369" s="515"/>
      <c r="J369" s="516"/>
      <c r="K369" s="81"/>
      <c r="L369" s="517"/>
      <c r="M369" s="110"/>
    </row>
    <row r="370" spans="1:13" s="525" customFormat="1" ht="16.5" hidden="1" customHeight="1">
      <c r="A370" s="81"/>
      <c r="B370" s="526"/>
      <c r="C370" s="527">
        <v>1</v>
      </c>
      <c r="D370" s="528" t="s">
        <v>265</v>
      </c>
      <c r="E370" s="529">
        <v>1</v>
      </c>
      <c r="F370" s="530">
        <v>2.9</v>
      </c>
      <c r="G370" s="530">
        <v>5.3</v>
      </c>
      <c r="H370" s="530">
        <v>0</v>
      </c>
      <c r="I370" s="531">
        <f t="shared" ref="I370" si="51">ROUND(IF(AND(F370:H370),C370*E370*F370*G370*H370,IF(AND(F370,G370),C370*E370*F370*G370,IF(AND(F370,H370),C370*E370*F370*H370,IF(AND(G370,H370),C370*E370*G370*H370,IF(F370,C370*E370*F370,IF(G370,C370*E370*G370,IF(H370,C370*E370*H370,C370*E370))))))),2)</f>
        <v>15.37</v>
      </c>
      <c r="J370" s="532" t="s">
        <v>102</v>
      </c>
      <c r="K370" s="111"/>
      <c r="L370" s="517"/>
      <c r="M370" s="111"/>
    </row>
    <row r="371" spans="1:13" s="525" customFormat="1" ht="16.5" hidden="1" customHeight="1">
      <c r="A371" s="81"/>
      <c r="B371" s="526"/>
      <c r="C371" s="527"/>
      <c r="D371" s="528"/>
      <c r="E371" s="529"/>
      <c r="F371" s="530"/>
      <c r="G371" s="530"/>
      <c r="H371" s="530"/>
      <c r="I371" s="531"/>
      <c r="J371" s="532"/>
      <c r="K371" s="111"/>
      <c r="L371" s="517"/>
      <c r="M371" s="111"/>
    </row>
    <row r="372" spans="1:13" hidden="1">
      <c r="A372" s="81"/>
      <c r="B372" s="111"/>
      <c r="C372" s="112"/>
      <c r="D372" s="533"/>
      <c r="E372" s="534"/>
      <c r="F372" s="113"/>
      <c r="G372" s="539"/>
      <c r="H372" s="81"/>
      <c r="I372" s="531"/>
      <c r="J372" s="532" t="s">
        <v>102</v>
      </c>
      <c r="K372" s="12">
        <f>'DATA 2024-25'!E709</f>
        <v>748.41</v>
      </c>
      <c r="L372" s="517" t="s">
        <v>267</v>
      </c>
      <c r="M372" s="11">
        <f>ROUND(I372*K372,0)</f>
        <v>0</v>
      </c>
    </row>
    <row r="373" spans="1:13" ht="96" hidden="1" customHeight="1">
      <c r="A373" s="81">
        <v>27</v>
      </c>
      <c r="B373" s="910" t="s">
        <v>663</v>
      </c>
      <c r="C373" s="910"/>
      <c r="D373" s="910"/>
      <c r="E373" s="910"/>
      <c r="F373" s="910"/>
      <c r="G373" s="910"/>
      <c r="H373" s="910"/>
      <c r="I373" s="515"/>
      <c r="J373" s="516"/>
      <c r="K373" s="81"/>
      <c r="L373" s="517"/>
      <c r="M373" s="110"/>
    </row>
    <row r="374" spans="1:13" s="525" customFormat="1" ht="16.5" hidden="1" customHeight="1">
      <c r="A374" s="81"/>
      <c r="B374" s="111" t="s">
        <v>1012</v>
      </c>
      <c r="C374" s="547"/>
      <c r="D374" s="548"/>
      <c r="E374" s="549"/>
      <c r="F374" s="550"/>
      <c r="G374" s="550"/>
      <c r="H374" s="551"/>
      <c r="I374" s="552"/>
      <c r="J374" s="532"/>
      <c r="K374" s="111"/>
      <c r="L374" s="517"/>
      <c r="M374" s="111"/>
    </row>
    <row r="375" spans="1:13" s="525" customFormat="1" ht="16.5" hidden="1" customHeight="1">
      <c r="A375" s="81"/>
      <c r="B375" s="526" t="s">
        <v>1030</v>
      </c>
      <c r="C375" s="527">
        <v>1</v>
      </c>
      <c r="D375" s="528" t="s">
        <v>265</v>
      </c>
      <c r="E375" s="529">
        <v>2</v>
      </c>
      <c r="F375" s="530">
        <v>5.25</v>
      </c>
      <c r="G375" s="530">
        <v>0</v>
      </c>
      <c r="H375" s="530">
        <v>0.1</v>
      </c>
      <c r="I375" s="531">
        <f t="shared" ref="I375" si="52">ROUND(IF(AND(F375:H375),C375*E375*F375*G375*H375,IF(AND(F375,G375),C375*E375*F375*G375,IF(AND(F375,H375),C375*E375*F375*H375,IF(AND(G375,H375),C375*E375*G375*H375,IF(F375,C375*E375*F375,IF(G375,C375*E375*G375,IF(H375,C375*E375*H375,C375*E375))))))),2)</f>
        <v>1.05</v>
      </c>
      <c r="J375" s="532" t="s">
        <v>102</v>
      </c>
      <c r="K375" s="111"/>
      <c r="L375" s="517"/>
      <c r="M375" s="111"/>
    </row>
    <row r="376" spans="1:13" s="525" customFormat="1" ht="16.5" hidden="1" customHeight="1">
      <c r="A376" s="81"/>
      <c r="B376" s="526" t="s">
        <v>564</v>
      </c>
      <c r="C376" s="527">
        <v>1</v>
      </c>
      <c r="D376" s="528" t="s">
        <v>265</v>
      </c>
      <c r="E376" s="529">
        <v>1</v>
      </c>
      <c r="F376" s="530">
        <v>9.8699999999999992</v>
      </c>
      <c r="G376" s="530">
        <v>0</v>
      </c>
      <c r="H376" s="530">
        <v>0.1</v>
      </c>
      <c r="I376" s="531">
        <f t="shared" ref="I376:I380" si="53">ROUND(IF(AND(F376:H376),C376*E376*F376*G376*H376,IF(AND(F376,G376),C376*E376*F376*G376,IF(AND(F376,H376),C376*E376*F376*H376,IF(AND(G376,H376),C376*E376*G376*H376,IF(F376,C376*E376*F376,IF(G376,C376*E376*G376,IF(H376,C376*E376*H376,C376*E376))))))),2)</f>
        <v>0.99</v>
      </c>
      <c r="J376" s="532" t="s">
        <v>102</v>
      </c>
      <c r="K376" s="111"/>
      <c r="L376" s="517"/>
      <c r="M376" s="111"/>
    </row>
    <row r="377" spans="1:13" s="525" customFormat="1" ht="16.5" hidden="1" customHeight="1">
      <c r="A377" s="81"/>
      <c r="B377" s="526" t="s">
        <v>1034</v>
      </c>
      <c r="C377" s="527">
        <v>1</v>
      </c>
      <c r="D377" s="528" t="s">
        <v>265</v>
      </c>
      <c r="E377" s="529">
        <v>5</v>
      </c>
      <c r="F377" s="530">
        <v>2.72</v>
      </c>
      <c r="G377" s="530">
        <v>0</v>
      </c>
      <c r="H377" s="530">
        <v>0.17</v>
      </c>
      <c r="I377" s="531">
        <f t="shared" si="53"/>
        <v>2.31</v>
      </c>
      <c r="J377" s="532" t="s">
        <v>102</v>
      </c>
      <c r="K377" s="111"/>
      <c r="L377" s="517"/>
      <c r="M377" s="111"/>
    </row>
    <row r="378" spans="1:13" s="525" customFormat="1" ht="16.5" hidden="1" customHeight="1">
      <c r="A378" s="81"/>
      <c r="B378" s="526" t="s">
        <v>1035</v>
      </c>
      <c r="C378" s="527">
        <v>1</v>
      </c>
      <c r="D378" s="528" t="s">
        <v>265</v>
      </c>
      <c r="E378" s="529">
        <v>5</v>
      </c>
      <c r="F378" s="530">
        <v>2.5</v>
      </c>
      <c r="G378" s="530">
        <v>0</v>
      </c>
      <c r="H378" s="530">
        <v>0.17</v>
      </c>
      <c r="I378" s="531">
        <f t="shared" si="53"/>
        <v>2.13</v>
      </c>
      <c r="J378" s="532" t="s">
        <v>102</v>
      </c>
      <c r="K378" s="111"/>
      <c r="L378" s="517"/>
      <c r="M378" s="111"/>
    </row>
    <row r="379" spans="1:13" s="525" customFormat="1" ht="16.5" hidden="1" customHeight="1">
      <c r="A379" s="81"/>
      <c r="B379" s="526" t="s">
        <v>1033</v>
      </c>
      <c r="C379" s="527">
        <v>1</v>
      </c>
      <c r="D379" s="528" t="s">
        <v>265</v>
      </c>
      <c r="E379" s="529">
        <v>22</v>
      </c>
      <c r="F379" s="530">
        <v>1.28</v>
      </c>
      <c r="G379" s="530">
        <v>0</v>
      </c>
      <c r="H379" s="530">
        <v>0.15</v>
      </c>
      <c r="I379" s="531">
        <f t="shared" si="53"/>
        <v>4.22</v>
      </c>
      <c r="J379" s="532" t="s">
        <v>102</v>
      </c>
      <c r="K379" s="111"/>
      <c r="L379" s="517"/>
      <c r="M379" s="111"/>
    </row>
    <row r="380" spans="1:13" s="525" customFormat="1" ht="16.5" hidden="1" customHeight="1">
      <c r="A380" s="81"/>
      <c r="B380" s="526" t="s">
        <v>1025</v>
      </c>
      <c r="C380" s="527">
        <v>1</v>
      </c>
      <c r="D380" s="528" t="s">
        <v>265</v>
      </c>
      <c r="E380" s="529">
        <v>1</v>
      </c>
      <c r="F380" s="530">
        <v>10.53</v>
      </c>
      <c r="G380" s="530">
        <v>0</v>
      </c>
      <c r="H380" s="530">
        <v>0.1</v>
      </c>
      <c r="I380" s="531">
        <f t="shared" si="53"/>
        <v>1.05</v>
      </c>
      <c r="J380" s="532" t="s">
        <v>102</v>
      </c>
      <c r="K380" s="111"/>
      <c r="L380" s="517"/>
      <c r="M380" s="111"/>
    </row>
    <row r="381" spans="1:13" s="525" customFormat="1" ht="16.5" hidden="1" customHeight="1">
      <c r="A381" s="81"/>
      <c r="B381" s="526"/>
      <c r="C381" s="527"/>
      <c r="D381" s="528"/>
      <c r="E381" s="529"/>
      <c r="F381" s="530"/>
      <c r="G381" s="530"/>
      <c r="H381" s="530"/>
      <c r="I381" s="531"/>
      <c r="J381" s="532"/>
      <c r="K381" s="111"/>
      <c r="L381" s="517"/>
      <c r="M381" s="111"/>
    </row>
    <row r="382" spans="1:13" hidden="1">
      <c r="A382" s="81"/>
      <c r="B382" s="111"/>
      <c r="C382" s="112"/>
      <c r="D382" s="533"/>
      <c r="E382" s="534"/>
      <c r="F382" s="113"/>
      <c r="G382" s="539"/>
      <c r="H382" s="81"/>
      <c r="I382" s="531"/>
      <c r="J382" s="532" t="s">
        <v>102</v>
      </c>
      <c r="K382" s="12">
        <f>'DATA 2024-25'!E727</f>
        <v>772.27</v>
      </c>
      <c r="L382" s="517" t="s">
        <v>267</v>
      </c>
      <c r="M382" s="11">
        <f>ROUND(I382*K382,0)</f>
        <v>0</v>
      </c>
    </row>
    <row r="383" spans="1:13" ht="94.5" hidden="1" customHeight="1">
      <c r="A383" s="81">
        <v>5</v>
      </c>
      <c r="B383" s="910" t="s">
        <v>211</v>
      </c>
      <c r="C383" s="910"/>
      <c r="D383" s="910"/>
      <c r="E383" s="910"/>
      <c r="F383" s="910"/>
      <c r="G383" s="910"/>
      <c r="H383" s="910"/>
      <c r="I383" s="515"/>
      <c r="J383" s="516"/>
      <c r="K383" s="81"/>
      <c r="L383" s="517"/>
      <c r="M383" s="110"/>
    </row>
    <row r="384" spans="1:13" s="525" customFormat="1" ht="16.5" hidden="1" customHeight="1">
      <c r="A384" s="81"/>
      <c r="B384" s="559" t="s">
        <v>1841</v>
      </c>
      <c r="C384" s="547">
        <v>1</v>
      </c>
      <c r="D384" s="548" t="s">
        <v>265</v>
      </c>
      <c r="E384" s="549">
        <v>1</v>
      </c>
      <c r="F384" s="551">
        <v>3.3</v>
      </c>
      <c r="G384" s="551">
        <v>1.8</v>
      </c>
      <c r="H384" s="551">
        <v>0</v>
      </c>
      <c r="I384" s="552">
        <f>ROUND(IF(AND(F384:H384),C384*E384*F384*G384*H384,IF(AND(F384,G384),C384*E384*F384*G384,IF(AND(F384,H384),C384*E384*F384*H384,IF(AND(G384,H384),C384*E384*G384*H384,IF(F384,C384*E384*F384,IF(G384,C384*E384*G384,IF(H384,C384*E384*H384,C384*E384))))))),2)</f>
        <v>5.94</v>
      </c>
      <c r="J384" s="251" t="s">
        <v>102</v>
      </c>
      <c r="K384" s="111"/>
      <c r="L384" s="517"/>
      <c r="M384" s="111"/>
    </row>
    <row r="385" spans="1:14" s="525" customFormat="1" ht="16.5" hidden="1" customHeight="1">
      <c r="A385" s="81"/>
      <c r="B385" s="526"/>
      <c r="C385" s="527"/>
      <c r="D385" s="528"/>
      <c r="E385" s="529"/>
      <c r="F385" s="530"/>
      <c r="G385" s="530"/>
      <c r="H385" s="530"/>
      <c r="I385" s="531"/>
      <c r="J385" s="532"/>
      <c r="K385" s="111"/>
      <c r="L385" s="517"/>
      <c r="M385" s="111"/>
    </row>
    <row r="386" spans="1:14" hidden="1">
      <c r="A386" s="81"/>
      <c r="B386" s="111"/>
      <c r="C386" s="112"/>
      <c r="D386" s="533"/>
      <c r="E386" s="534"/>
      <c r="F386" s="113"/>
      <c r="G386" s="539"/>
      <c r="H386" s="81"/>
      <c r="I386" s="531"/>
      <c r="J386" s="532" t="s">
        <v>102</v>
      </c>
      <c r="K386" s="12">
        <f>'DATA 2024-25'!E785</f>
        <v>849.02</v>
      </c>
      <c r="L386" s="517" t="s">
        <v>267</v>
      </c>
      <c r="M386" s="11">
        <f>ROUND(I386*K386,0)</f>
        <v>0</v>
      </c>
    </row>
    <row r="387" spans="1:14" ht="94.5" hidden="1" customHeight="1">
      <c r="A387" s="81">
        <v>6</v>
      </c>
      <c r="B387" s="910" t="s">
        <v>214</v>
      </c>
      <c r="C387" s="910"/>
      <c r="D387" s="910"/>
      <c r="E387" s="910"/>
      <c r="F387" s="910"/>
      <c r="G387" s="910"/>
      <c r="H387" s="910"/>
      <c r="I387" s="515"/>
      <c r="J387" s="516"/>
      <c r="K387" s="81"/>
      <c r="L387" s="517"/>
      <c r="M387" s="110"/>
    </row>
    <row r="388" spans="1:14" s="525" customFormat="1" ht="16.5" hidden="1" customHeight="1">
      <c r="A388" s="81"/>
      <c r="B388" s="559"/>
      <c r="C388" s="547">
        <v>1</v>
      </c>
      <c r="D388" s="548" t="s">
        <v>265</v>
      </c>
      <c r="E388" s="549">
        <v>2</v>
      </c>
      <c r="F388" s="551">
        <v>3.3</v>
      </c>
      <c r="G388" s="551">
        <v>0</v>
      </c>
      <c r="H388" s="551">
        <v>1.8</v>
      </c>
      <c r="I388" s="552">
        <f>ROUND(IF(AND(F388:H388),C388*E388*F388*G388*H388,IF(AND(F388,G388),C388*E388*F388*G388,IF(AND(F388,H388),C388*E388*F388*H388,IF(AND(G388,H388),C388*E388*G388*H388,IF(F388,C388*E388*F388,IF(G388,C388*E388*G388,IF(H388,C388*E388*H388,C388*E388))))))),2)</f>
        <v>11.88</v>
      </c>
      <c r="J388" s="251" t="s">
        <v>102</v>
      </c>
      <c r="K388" s="111"/>
      <c r="L388" s="517"/>
      <c r="M388" s="111"/>
    </row>
    <row r="389" spans="1:14" s="525" customFormat="1" ht="16.5" hidden="1" customHeight="1">
      <c r="A389" s="81"/>
      <c r="B389" s="559"/>
      <c r="C389" s="547">
        <v>1</v>
      </c>
      <c r="D389" s="548" t="s">
        <v>265</v>
      </c>
      <c r="E389" s="549">
        <v>2</v>
      </c>
      <c r="F389" s="551">
        <v>1.8</v>
      </c>
      <c r="G389" s="551">
        <v>0</v>
      </c>
      <c r="H389" s="551">
        <v>1.8</v>
      </c>
      <c r="I389" s="552">
        <f>ROUND(IF(AND(F389:H389),C389*E389*F389*G389*H389,IF(AND(F389,G389),C389*E389*F389*G389,IF(AND(F389,H389),C389*E389*F389*H389,IF(AND(G389,H389),C389*E389*G389*H389,IF(F389,C389*E389*F389,IF(G389,C389*E389*G389,IF(H389,C389*E389*H389,C389*E389))))))),2)</f>
        <v>6.48</v>
      </c>
      <c r="J389" s="251" t="s">
        <v>102</v>
      </c>
      <c r="K389" s="111"/>
      <c r="L389" s="517"/>
      <c r="M389" s="111"/>
    </row>
    <row r="390" spans="1:14" s="525" customFormat="1" ht="16.5" hidden="1" customHeight="1">
      <c r="A390" s="81"/>
      <c r="B390" s="559" t="s">
        <v>565</v>
      </c>
      <c r="C390" s="547">
        <v>1</v>
      </c>
      <c r="D390" s="548" t="s">
        <v>265</v>
      </c>
      <c r="E390" s="549">
        <v>1</v>
      </c>
      <c r="F390" s="551">
        <v>1</v>
      </c>
      <c r="G390" s="551">
        <v>0</v>
      </c>
      <c r="H390" s="551">
        <v>2.1</v>
      </c>
      <c r="I390" s="552">
        <f>-ROUND(IF(AND(F390:H390),C390*E390*F390*G390*H390,IF(AND(F390,G390),C390*E390*F390*G390,IF(AND(F390,H390),C390*E390*F390*H390,IF(AND(G390,H390),C390*E390*G390*H390,IF(F390,C390*E390*F390,IF(G390,C390*E390*G390,IF(H390,C390*E390*H390,C390*E390))))))),2)</f>
        <v>-2.1</v>
      </c>
      <c r="J390" s="251" t="s">
        <v>102</v>
      </c>
      <c r="K390" s="111"/>
      <c r="L390" s="517"/>
      <c r="M390" s="111"/>
    </row>
    <row r="391" spans="1:14" s="525" customFormat="1" ht="16.5" hidden="1" customHeight="1">
      <c r="A391" s="81"/>
      <c r="B391" s="526"/>
      <c r="C391" s="527"/>
      <c r="D391" s="528"/>
      <c r="E391" s="529"/>
      <c r="F391" s="530"/>
      <c r="G391" s="530"/>
      <c r="H391" s="530"/>
      <c r="I391" s="531"/>
      <c r="J391" s="532"/>
      <c r="K391" s="111"/>
      <c r="L391" s="517"/>
      <c r="M391" s="111"/>
    </row>
    <row r="392" spans="1:14" hidden="1">
      <c r="A392" s="81"/>
      <c r="B392" s="111"/>
      <c r="C392" s="112"/>
      <c r="D392" s="533"/>
      <c r="E392" s="534"/>
      <c r="F392" s="113"/>
      <c r="G392" s="539"/>
      <c r="H392" s="81"/>
      <c r="I392" s="531"/>
      <c r="J392" s="532" t="s">
        <v>102</v>
      </c>
      <c r="K392" s="12">
        <f>'DATA 2024-25'!E802</f>
        <v>499.42</v>
      </c>
      <c r="L392" s="517" t="s">
        <v>267</v>
      </c>
      <c r="M392" s="11">
        <f>ROUND(I392*K392,0)</f>
        <v>0</v>
      </c>
    </row>
    <row r="393" spans="1:14" ht="81.75" hidden="1" customHeight="1">
      <c r="A393" s="81">
        <v>3</v>
      </c>
      <c r="B393" s="910" t="s">
        <v>969</v>
      </c>
      <c r="C393" s="910"/>
      <c r="D393" s="910"/>
      <c r="E393" s="910"/>
      <c r="F393" s="910"/>
      <c r="G393" s="910"/>
      <c r="H393" s="910"/>
      <c r="I393" s="515"/>
      <c r="J393" s="516"/>
      <c r="K393" s="81"/>
      <c r="L393" s="517"/>
      <c r="M393" s="110"/>
    </row>
    <row r="394" spans="1:14" s="525" customFormat="1" ht="16.5" hidden="1" customHeight="1">
      <c r="A394" s="81"/>
      <c r="B394" s="111" t="s">
        <v>2137</v>
      </c>
      <c r="C394" s="515">
        <v>1</v>
      </c>
      <c r="D394" s="553" t="s">
        <v>265</v>
      </c>
      <c r="E394" s="534">
        <v>1</v>
      </c>
      <c r="F394" s="113">
        <f>(16+17.55)/2</f>
        <v>16.774999999999999</v>
      </c>
      <c r="G394" s="113">
        <v>0.9</v>
      </c>
      <c r="H394" s="113">
        <v>0</v>
      </c>
      <c r="I394" s="523">
        <f t="shared" ref="I394:I395" si="54">ROUND(IF(AND(F394:H394),C394*E394*F394*G394*H394,IF(AND(F394,G394),C394*E394*F394*G394,IF(AND(F394,H394),C394*E394*F394*H394,IF(AND(G394,H394),C394*E394*G394*H394,IF(F394,C394*E394*F394,IF(G394,C394*E394*G394,IF(H394,C394*E394*H394,C394*E394))))))),2)</f>
        <v>15.1</v>
      </c>
      <c r="J394" s="532" t="s">
        <v>102</v>
      </c>
      <c r="K394" s="111"/>
      <c r="L394" s="517"/>
      <c r="M394" s="111"/>
    </row>
    <row r="395" spans="1:14" s="525" customFormat="1" ht="16.5" hidden="1" customHeight="1">
      <c r="A395" s="81"/>
      <c r="B395" s="111"/>
      <c r="C395" s="515">
        <v>1</v>
      </c>
      <c r="D395" s="553" t="s">
        <v>265</v>
      </c>
      <c r="E395" s="534">
        <v>2</v>
      </c>
      <c r="F395" s="113">
        <f>(4.8+5.35)/2</f>
        <v>5.0749999999999993</v>
      </c>
      <c r="G395" s="113">
        <v>0.9</v>
      </c>
      <c r="H395" s="113">
        <v>0</v>
      </c>
      <c r="I395" s="523">
        <f t="shared" si="54"/>
        <v>9.14</v>
      </c>
      <c r="J395" s="532" t="s">
        <v>102</v>
      </c>
      <c r="K395" s="111"/>
      <c r="L395" s="517"/>
      <c r="M395" s="111"/>
    </row>
    <row r="396" spans="1:14" s="525" customFormat="1" ht="16.5" hidden="1" customHeight="1">
      <c r="A396" s="81"/>
      <c r="B396" s="526"/>
      <c r="C396" s="527"/>
      <c r="D396" s="528"/>
      <c r="E396" s="529"/>
      <c r="F396" s="530"/>
      <c r="G396" s="530"/>
      <c r="H396" s="530"/>
      <c r="I396" s="531"/>
      <c r="J396" s="537"/>
      <c r="K396" s="111"/>
      <c r="L396" s="517"/>
      <c r="M396" s="111"/>
    </row>
    <row r="397" spans="1:14" hidden="1">
      <c r="A397" s="81"/>
      <c r="B397" s="111"/>
      <c r="C397" s="112"/>
      <c r="D397" s="533"/>
      <c r="E397" s="534"/>
      <c r="F397" s="113"/>
      <c r="G397" s="539"/>
      <c r="H397" s="81"/>
      <c r="I397" s="531"/>
      <c r="J397" s="537" t="s">
        <v>102</v>
      </c>
      <c r="K397" s="12">
        <f>'DATA 2024-25'!E830</f>
        <v>1381.57</v>
      </c>
      <c r="L397" s="517" t="s">
        <v>267</v>
      </c>
      <c r="M397" s="11">
        <f>ROUND(I397*K397,0)</f>
        <v>0</v>
      </c>
    </row>
    <row r="398" spans="1:14" ht="96" hidden="1" customHeight="1">
      <c r="A398" s="81">
        <v>7</v>
      </c>
      <c r="B398" s="910" t="s">
        <v>2284</v>
      </c>
      <c r="C398" s="910"/>
      <c r="D398" s="910"/>
      <c r="E398" s="910"/>
      <c r="F398" s="910"/>
      <c r="G398" s="910"/>
      <c r="H398" s="910"/>
      <c r="I398" s="515"/>
      <c r="J398" s="516"/>
      <c r="K398" s="81"/>
      <c r="L398" s="517"/>
      <c r="M398" s="110"/>
      <c r="N398" s="571"/>
    </row>
    <row r="399" spans="1:14" s="525" customFormat="1" ht="16.5" hidden="1" customHeight="1">
      <c r="A399" s="81"/>
      <c r="B399" s="572" t="s">
        <v>2283</v>
      </c>
      <c r="C399" s="573">
        <v>1</v>
      </c>
      <c r="D399" s="574" t="s">
        <v>265</v>
      </c>
      <c r="E399" s="575">
        <v>1</v>
      </c>
      <c r="F399" s="576">
        <f>(6.4+6.6)/2</f>
        <v>6.5</v>
      </c>
      <c r="G399" s="576">
        <v>1</v>
      </c>
      <c r="H399" s="576">
        <v>0</v>
      </c>
      <c r="I399" s="531">
        <f>ROUND(IF(AND(F399:H399),C399*E399*F399*G399*H399,IF(AND(F399,G399),C399*E399*F399*G399,IF(AND(F399,H399),C399*E399*F399*H399,IF(AND(G399,H399),C399*E399*G399*H399,IF(F399,C399*E399*F399,IF(G399,C399*E399*G399,IF(H399,C399*E399*H399,C399*E399))))))),2)</f>
        <v>6.5</v>
      </c>
      <c r="J399" s="532" t="s">
        <v>102</v>
      </c>
      <c r="K399" s="111"/>
      <c r="L399" s="81"/>
      <c r="M399" s="111"/>
      <c r="N399" s="571"/>
    </row>
    <row r="400" spans="1:14" s="525" customFormat="1" ht="16.5" hidden="1" customHeight="1">
      <c r="A400" s="81"/>
      <c r="B400" s="572" t="s">
        <v>2285</v>
      </c>
      <c r="C400" s="573">
        <v>1</v>
      </c>
      <c r="D400" s="574" t="s">
        <v>265</v>
      </c>
      <c r="E400" s="575">
        <v>1</v>
      </c>
      <c r="F400" s="576">
        <v>6.95</v>
      </c>
      <c r="G400" s="576">
        <v>1</v>
      </c>
      <c r="H400" s="576">
        <v>0</v>
      </c>
      <c r="I400" s="531">
        <f>ROUND(IF(AND(F400:H400),C400*E400*F400*G400*H400,IF(AND(F400,G400),C400*E400*F400*G400,IF(AND(F400,H400),C400*E400*F400*H400,IF(AND(G400,H400),C400*E400*G400*H400,IF(F400,C400*E400*F400,IF(G400,C400*E400*G400,IF(H400,C400*E400*H400,C400*E400))))))),2)</f>
        <v>6.95</v>
      </c>
      <c r="J400" s="532" t="s">
        <v>102</v>
      </c>
      <c r="K400" s="111"/>
      <c r="L400" s="81"/>
      <c r="M400" s="111"/>
      <c r="N400" s="571"/>
    </row>
    <row r="401" spans="1:14" s="525" customFormat="1" ht="16.5" hidden="1" customHeight="1">
      <c r="A401" s="81"/>
      <c r="B401" s="572" t="s">
        <v>2286</v>
      </c>
      <c r="C401" s="573">
        <v>1</v>
      </c>
      <c r="D401" s="574" t="s">
        <v>265</v>
      </c>
      <c r="E401" s="575">
        <v>1</v>
      </c>
      <c r="F401" s="576">
        <v>10.7</v>
      </c>
      <c r="G401" s="576">
        <v>5.3</v>
      </c>
      <c r="H401" s="576">
        <v>0</v>
      </c>
      <c r="I401" s="531">
        <f>ROUND(IF(AND(F401:H401),C401*E401*F401*G401*H401,IF(AND(F401,G401),C401*E401*F401*G401,IF(AND(F401,H401),C401*E401*F401*H401,IF(AND(G401,H401),C401*E401*G401*H401,IF(F401,C401*E401*F401,IF(G401,C401*E401*G401,IF(H401,C401*E401*H401,C401*E401))))))),2)</f>
        <v>56.71</v>
      </c>
      <c r="J401" s="532" t="s">
        <v>102</v>
      </c>
      <c r="K401" s="111"/>
      <c r="L401" s="81"/>
      <c r="M401" s="111"/>
      <c r="N401" s="571"/>
    </row>
    <row r="402" spans="1:14" s="525" customFormat="1" ht="16.5" hidden="1" customHeight="1">
      <c r="A402" s="81"/>
      <c r="B402" s="572"/>
      <c r="C402" s="573"/>
      <c r="D402" s="574"/>
      <c r="E402" s="575"/>
      <c r="F402" s="576"/>
      <c r="G402" s="576"/>
      <c r="H402" s="576"/>
      <c r="I402" s="531"/>
      <c r="J402" s="537"/>
      <c r="K402" s="111"/>
      <c r="L402" s="81"/>
      <c r="M402" s="111"/>
      <c r="N402" s="571"/>
    </row>
    <row r="403" spans="1:14" ht="15.75" hidden="1">
      <c r="A403" s="81"/>
      <c r="B403" s="111"/>
      <c r="C403" s="112"/>
      <c r="D403" s="533"/>
      <c r="E403" s="534"/>
      <c r="F403" s="113"/>
      <c r="G403" s="539"/>
      <c r="H403" s="81"/>
      <c r="I403" s="531"/>
      <c r="J403" s="537" t="s">
        <v>102</v>
      </c>
      <c r="K403" s="12">
        <f>'DATA 2024-25'!E846</f>
        <v>370.89</v>
      </c>
      <c r="L403" s="517" t="s">
        <v>267</v>
      </c>
      <c r="M403" s="11">
        <f>ROUND(I403*K403,0)</f>
        <v>0</v>
      </c>
      <c r="N403" s="571"/>
    </row>
    <row r="404" spans="1:14" ht="66" hidden="1" customHeight="1">
      <c r="A404" s="81">
        <v>26</v>
      </c>
      <c r="B404" s="910" t="s">
        <v>959</v>
      </c>
      <c r="C404" s="910"/>
      <c r="D404" s="910"/>
      <c r="E404" s="910"/>
      <c r="F404" s="910"/>
      <c r="G404" s="910"/>
      <c r="H404" s="910"/>
      <c r="I404" s="515"/>
      <c r="J404" s="516"/>
      <c r="K404" s="81"/>
      <c r="L404" s="517"/>
      <c r="M404" s="110"/>
    </row>
    <row r="405" spans="1:14" s="525" customFormat="1" ht="16.5" hidden="1" customHeight="1">
      <c r="A405" s="81"/>
      <c r="B405" s="111" t="s">
        <v>1324</v>
      </c>
      <c r="C405" s="547"/>
      <c r="D405" s="548"/>
      <c r="E405" s="549"/>
      <c r="F405" s="550"/>
      <c r="G405" s="550"/>
      <c r="H405" s="551"/>
      <c r="I405" s="552"/>
      <c r="J405" s="532"/>
      <c r="K405" s="111"/>
      <c r="L405" s="517"/>
      <c r="M405" s="111"/>
    </row>
    <row r="406" spans="1:14" s="525" customFormat="1" ht="16.5" hidden="1" customHeight="1">
      <c r="A406" s="81"/>
      <c r="B406" s="111" t="s">
        <v>741</v>
      </c>
      <c r="C406" s="515">
        <v>1</v>
      </c>
      <c r="D406" s="553" t="s">
        <v>265</v>
      </c>
      <c r="E406" s="534">
        <v>1</v>
      </c>
      <c r="F406" s="113">
        <v>8.5</v>
      </c>
      <c r="G406" s="113">
        <v>4.95</v>
      </c>
      <c r="H406" s="113">
        <v>0</v>
      </c>
      <c r="I406" s="523">
        <f t="shared" ref="I406:I427" si="55">ROUND(IF(AND(F406:H406),C406*E406*F406*G406*H406,IF(AND(F406,G406),C406*E406*F406*G406,IF(AND(F406,H406),C406*E406*F406*H406,IF(AND(G406,H406),C406*E406*G406*H406,IF(F406,C406*E406*F406,IF(G406,C406*E406*G406,IF(H406,C406*E406*H406,C406*E406))))))),2)</f>
        <v>42.08</v>
      </c>
      <c r="J406" s="532" t="s">
        <v>102</v>
      </c>
      <c r="K406" s="111"/>
      <c r="L406" s="517"/>
      <c r="M406" s="111"/>
    </row>
    <row r="407" spans="1:14" s="525" customFormat="1" ht="16.5" hidden="1" customHeight="1">
      <c r="A407" s="81"/>
      <c r="B407" s="111" t="s">
        <v>756</v>
      </c>
      <c r="C407" s="515">
        <v>1</v>
      </c>
      <c r="D407" s="553" t="s">
        <v>265</v>
      </c>
      <c r="E407" s="534">
        <v>1</v>
      </c>
      <c r="F407" s="113">
        <v>5.5</v>
      </c>
      <c r="G407" s="113">
        <v>2.4</v>
      </c>
      <c r="H407" s="113">
        <v>0</v>
      </c>
      <c r="I407" s="523">
        <f>ROUND(IF(AND(F407:H407),C407*E407*F407*G407*H407,IF(AND(F407,G407),C407*E407*F407*G407,IF(AND(F407,H407),C407*E407*F407*H407,IF(AND(G407,H407),C407*E407*G407*H407,IF(F407,C407*E407*F407,IF(G407,C407*E407*G407,IF(H407,C407*E407*H407,C407*E407))))))),2)</f>
        <v>13.2</v>
      </c>
      <c r="J407" s="532" t="s">
        <v>102</v>
      </c>
      <c r="K407" s="111"/>
      <c r="L407" s="517"/>
      <c r="M407" s="111"/>
    </row>
    <row r="408" spans="1:14" s="525" customFormat="1" ht="16.5" hidden="1" customHeight="1">
      <c r="A408" s="81"/>
      <c r="B408" s="111" t="s">
        <v>759</v>
      </c>
      <c r="C408" s="515">
        <v>1</v>
      </c>
      <c r="D408" s="553" t="s">
        <v>265</v>
      </c>
      <c r="E408" s="534">
        <v>1</v>
      </c>
      <c r="F408" s="113">
        <v>3.15</v>
      </c>
      <c r="G408" s="113">
        <v>2.85</v>
      </c>
      <c r="H408" s="113">
        <v>0</v>
      </c>
      <c r="I408" s="523">
        <f t="shared" si="55"/>
        <v>8.98</v>
      </c>
      <c r="J408" s="532" t="s">
        <v>102</v>
      </c>
      <c r="K408" s="111"/>
      <c r="L408" s="517"/>
      <c r="M408" s="111"/>
    </row>
    <row r="409" spans="1:14" s="525" customFormat="1" ht="16.5" hidden="1" customHeight="1">
      <c r="A409" s="81"/>
      <c r="B409" s="111" t="s">
        <v>762</v>
      </c>
      <c r="C409" s="515">
        <v>1</v>
      </c>
      <c r="D409" s="553" t="s">
        <v>265</v>
      </c>
      <c r="E409" s="534">
        <v>1</v>
      </c>
      <c r="F409" s="113">
        <v>3.15</v>
      </c>
      <c r="G409" s="113">
        <v>2.75</v>
      </c>
      <c r="H409" s="113">
        <v>0</v>
      </c>
      <c r="I409" s="523">
        <f t="shared" si="55"/>
        <v>8.66</v>
      </c>
      <c r="J409" s="532" t="s">
        <v>102</v>
      </c>
      <c r="K409" s="111"/>
      <c r="L409" s="517"/>
      <c r="M409" s="111"/>
    </row>
    <row r="410" spans="1:14" s="525" customFormat="1" ht="16.5" hidden="1" customHeight="1">
      <c r="A410" s="81"/>
      <c r="B410" s="111" t="s">
        <v>645</v>
      </c>
      <c r="C410" s="515">
        <v>1</v>
      </c>
      <c r="D410" s="553" t="s">
        <v>265</v>
      </c>
      <c r="E410" s="534">
        <v>1</v>
      </c>
      <c r="F410" s="113">
        <v>8.35</v>
      </c>
      <c r="G410" s="113">
        <v>3.35</v>
      </c>
      <c r="H410" s="113">
        <v>0</v>
      </c>
      <c r="I410" s="523">
        <f t="shared" si="55"/>
        <v>27.97</v>
      </c>
      <c r="J410" s="532" t="s">
        <v>102</v>
      </c>
      <c r="K410" s="111"/>
      <c r="L410" s="517"/>
      <c r="M410" s="111"/>
    </row>
    <row r="411" spans="1:14" s="525" customFormat="1" ht="16.5" hidden="1" customHeight="1">
      <c r="A411" s="81"/>
      <c r="B411" s="111" t="s">
        <v>763</v>
      </c>
      <c r="C411" s="515">
        <v>1</v>
      </c>
      <c r="D411" s="553" t="s">
        <v>265</v>
      </c>
      <c r="E411" s="534">
        <v>1</v>
      </c>
      <c r="F411" s="113">
        <v>2.5</v>
      </c>
      <c r="G411" s="113">
        <v>0.5</v>
      </c>
      <c r="H411" s="113">
        <v>0</v>
      </c>
      <c r="I411" s="523">
        <f t="shared" si="55"/>
        <v>1.25</v>
      </c>
      <c r="J411" s="532" t="s">
        <v>102</v>
      </c>
      <c r="K411" s="111"/>
      <c r="L411" s="517"/>
      <c r="M411" s="111"/>
    </row>
    <row r="412" spans="1:14" s="525" customFormat="1" ht="16.5" hidden="1" customHeight="1">
      <c r="A412" s="81"/>
      <c r="B412" s="111"/>
      <c r="C412" s="515">
        <v>1</v>
      </c>
      <c r="D412" s="553" t="s">
        <v>265</v>
      </c>
      <c r="E412" s="534">
        <v>1</v>
      </c>
      <c r="F412" s="113">
        <v>2.5</v>
      </c>
      <c r="G412" s="113">
        <v>0.5</v>
      </c>
      <c r="H412" s="113">
        <v>0</v>
      </c>
      <c r="I412" s="523">
        <f t="shared" si="55"/>
        <v>1.25</v>
      </c>
      <c r="J412" s="532" t="s">
        <v>102</v>
      </c>
      <c r="K412" s="111"/>
      <c r="L412" s="517"/>
      <c r="M412" s="111"/>
    </row>
    <row r="413" spans="1:14" s="525" customFormat="1" ht="16.5" hidden="1" customHeight="1">
      <c r="A413" s="81"/>
      <c r="B413" s="111"/>
      <c r="C413" s="515">
        <v>1</v>
      </c>
      <c r="D413" s="553" t="s">
        <v>265</v>
      </c>
      <c r="E413" s="534">
        <v>1</v>
      </c>
      <c r="F413" s="113">
        <v>2.5</v>
      </c>
      <c r="G413" s="113">
        <v>0.5</v>
      </c>
      <c r="H413" s="113">
        <v>0</v>
      </c>
      <c r="I413" s="523">
        <f t="shared" si="55"/>
        <v>1.25</v>
      </c>
      <c r="J413" s="532" t="s">
        <v>102</v>
      </c>
      <c r="K413" s="111"/>
      <c r="L413" s="517"/>
      <c r="M413" s="111"/>
    </row>
    <row r="414" spans="1:14" s="525" customFormat="1" ht="16.5" hidden="1" customHeight="1">
      <c r="A414" s="81"/>
      <c r="B414" s="111" t="s">
        <v>759</v>
      </c>
      <c r="C414" s="515">
        <v>1</v>
      </c>
      <c r="D414" s="553" t="s">
        <v>265</v>
      </c>
      <c r="E414" s="534">
        <v>1</v>
      </c>
      <c r="F414" s="113">
        <v>2.5</v>
      </c>
      <c r="G414" s="113">
        <v>0.5</v>
      </c>
      <c r="H414" s="113">
        <v>0</v>
      </c>
      <c r="I414" s="523">
        <f t="shared" si="55"/>
        <v>1.25</v>
      </c>
      <c r="J414" s="532" t="s">
        <v>102</v>
      </c>
      <c r="K414" s="111"/>
      <c r="L414" s="517"/>
      <c r="M414" s="111"/>
    </row>
    <row r="415" spans="1:14" s="525" customFormat="1" ht="16.5" hidden="1" customHeight="1">
      <c r="A415" s="81"/>
      <c r="B415" s="111" t="s">
        <v>762</v>
      </c>
      <c r="C415" s="515">
        <v>1</v>
      </c>
      <c r="D415" s="553" t="s">
        <v>265</v>
      </c>
      <c r="E415" s="534">
        <v>1</v>
      </c>
      <c r="F415" s="113">
        <v>2.5</v>
      </c>
      <c r="G415" s="113">
        <v>0.5</v>
      </c>
      <c r="H415" s="113">
        <v>0</v>
      </c>
      <c r="I415" s="523">
        <f t="shared" si="55"/>
        <v>1.25</v>
      </c>
      <c r="J415" s="532" t="s">
        <v>102</v>
      </c>
      <c r="K415" s="111"/>
      <c r="L415" s="517"/>
      <c r="M415" s="111"/>
    </row>
    <row r="416" spans="1:14" s="525" customFormat="1" ht="16.5" hidden="1" customHeight="1">
      <c r="A416" s="81"/>
      <c r="B416" s="111" t="s">
        <v>764</v>
      </c>
      <c r="C416" s="515">
        <v>1</v>
      </c>
      <c r="D416" s="553" t="s">
        <v>265</v>
      </c>
      <c r="E416" s="534">
        <v>1</v>
      </c>
      <c r="F416" s="113">
        <v>8.9</v>
      </c>
      <c r="G416" s="113">
        <v>0.9</v>
      </c>
      <c r="H416" s="113">
        <v>0</v>
      </c>
      <c r="I416" s="523">
        <f t="shared" si="55"/>
        <v>8.01</v>
      </c>
      <c r="J416" s="532" t="s">
        <v>102</v>
      </c>
      <c r="K416" s="111"/>
      <c r="L416" s="517"/>
      <c r="M416" s="111"/>
    </row>
    <row r="417" spans="1:13" s="525" customFormat="1" ht="16.5" hidden="1" customHeight="1">
      <c r="A417" s="81"/>
      <c r="B417" s="111" t="s">
        <v>765</v>
      </c>
      <c r="C417" s="515">
        <v>1</v>
      </c>
      <c r="D417" s="553" t="s">
        <v>265</v>
      </c>
      <c r="E417" s="534">
        <v>1</v>
      </c>
      <c r="F417" s="113">
        <v>2.9</v>
      </c>
      <c r="G417" s="113">
        <v>1.3</v>
      </c>
      <c r="H417" s="113">
        <v>0</v>
      </c>
      <c r="I417" s="523">
        <f t="shared" si="55"/>
        <v>3.77</v>
      </c>
      <c r="J417" s="532" t="s">
        <v>102</v>
      </c>
      <c r="K417" s="111"/>
      <c r="L417" s="517"/>
      <c r="M417" s="111"/>
    </row>
    <row r="418" spans="1:13" s="525" customFormat="1" ht="16.5" hidden="1" customHeight="1">
      <c r="A418" s="81"/>
      <c r="B418" s="111" t="s">
        <v>742</v>
      </c>
      <c r="C418" s="515">
        <v>1</v>
      </c>
      <c r="D418" s="553" t="s">
        <v>265</v>
      </c>
      <c r="E418" s="534">
        <v>1</v>
      </c>
      <c r="F418" s="113">
        <v>2.9</v>
      </c>
      <c r="G418" s="113">
        <v>1.3</v>
      </c>
      <c r="H418" s="113">
        <v>0</v>
      </c>
      <c r="I418" s="523">
        <f t="shared" si="55"/>
        <v>3.77</v>
      </c>
      <c r="J418" s="532" t="s">
        <v>102</v>
      </c>
      <c r="K418" s="111"/>
      <c r="L418" s="517"/>
      <c r="M418" s="111"/>
    </row>
    <row r="419" spans="1:13" s="525" customFormat="1" ht="16.5" hidden="1" customHeight="1">
      <c r="A419" s="81"/>
      <c r="B419" s="111" t="s">
        <v>1325</v>
      </c>
      <c r="C419" s="547"/>
      <c r="D419" s="548"/>
      <c r="E419" s="549"/>
      <c r="F419" s="550"/>
      <c r="G419" s="550"/>
      <c r="H419" s="551"/>
      <c r="I419" s="552"/>
      <c r="J419" s="532"/>
      <c r="K419" s="111"/>
      <c r="L419" s="517"/>
      <c r="M419" s="111"/>
    </row>
    <row r="420" spans="1:13" s="525" customFormat="1" ht="16.5" hidden="1" customHeight="1">
      <c r="A420" s="81"/>
      <c r="B420" s="111" t="s">
        <v>766</v>
      </c>
      <c r="C420" s="515">
        <v>1</v>
      </c>
      <c r="D420" s="553" t="s">
        <v>265</v>
      </c>
      <c r="E420" s="534">
        <v>1</v>
      </c>
      <c r="F420" s="113">
        <v>27.04</v>
      </c>
      <c r="G420" s="113">
        <v>0</v>
      </c>
      <c r="H420" s="113">
        <v>3.2</v>
      </c>
      <c r="I420" s="523">
        <f t="shared" si="55"/>
        <v>86.53</v>
      </c>
      <c r="J420" s="532" t="s">
        <v>102</v>
      </c>
      <c r="K420" s="111"/>
      <c r="L420" s="517"/>
      <c r="M420" s="111"/>
    </row>
    <row r="421" spans="1:13" s="525" customFormat="1" ht="16.5" hidden="1" customHeight="1">
      <c r="A421" s="81"/>
      <c r="B421" s="111" t="s">
        <v>759</v>
      </c>
      <c r="C421" s="515">
        <v>1</v>
      </c>
      <c r="D421" s="553" t="s">
        <v>265</v>
      </c>
      <c r="E421" s="534">
        <v>1</v>
      </c>
      <c r="F421" s="113">
        <v>12.18</v>
      </c>
      <c r="G421" s="113">
        <v>0</v>
      </c>
      <c r="H421" s="113">
        <v>3.2</v>
      </c>
      <c r="I421" s="523">
        <f t="shared" si="55"/>
        <v>38.979999999999997</v>
      </c>
      <c r="J421" s="532" t="s">
        <v>102</v>
      </c>
      <c r="K421" s="111"/>
      <c r="L421" s="517"/>
      <c r="M421" s="111"/>
    </row>
    <row r="422" spans="1:13" s="525" customFormat="1" ht="16.5" hidden="1" customHeight="1">
      <c r="A422" s="81"/>
      <c r="B422" s="111" t="s">
        <v>762</v>
      </c>
      <c r="C422" s="515">
        <v>1</v>
      </c>
      <c r="D422" s="553" t="s">
        <v>265</v>
      </c>
      <c r="E422" s="534">
        <v>1</v>
      </c>
      <c r="F422" s="113">
        <v>12.1</v>
      </c>
      <c r="G422" s="113">
        <v>0</v>
      </c>
      <c r="H422" s="113">
        <v>3.2</v>
      </c>
      <c r="I422" s="523">
        <f t="shared" ref="I422" si="56">ROUND(IF(AND(F422:H422),C422*E422*F422*G422*H422,IF(AND(F422,G422),C422*E422*F422*G422,IF(AND(F422,H422),C422*E422*F422*H422,IF(AND(G422,H422),C422*E422*G422*H422,IF(F422,C422*E422*F422,IF(G422,C422*E422*G422,IF(H422,C422*E422*H422,C422*E422))))))),2)</f>
        <v>38.72</v>
      </c>
      <c r="J422" s="532" t="s">
        <v>102</v>
      </c>
      <c r="K422" s="111"/>
      <c r="L422" s="517"/>
      <c r="M422" s="111"/>
    </row>
    <row r="423" spans="1:13" s="525" customFormat="1" ht="16.5" hidden="1" customHeight="1">
      <c r="A423" s="81"/>
      <c r="B423" s="111" t="s">
        <v>767</v>
      </c>
      <c r="C423" s="515">
        <v>1</v>
      </c>
      <c r="D423" s="553" t="s">
        <v>265</v>
      </c>
      <c r="E423" s="534">
        <v>1</v>
      </c>
      <c r="F423" s="113">
        <v>20.079999999999998</v>
      </c>
      <c r="G423" s="113">
        <v>0</v>
      </c>
      <c r="H423" s="113">
        <v>3.2</v>
      </c>
      <c r="I423" s="523">
        <f t="shared" si="55"/>
        <v>64.260000000000005</v>
      </c>
      <c r="J423" s="532" t="s">
        <v>102</v>
      </c>
      <c r="K423" s="111"/>
      <c r="L423" s="517"/>
      <c r="M423" s="111"/>
    </row>
    <row r="424" spans="1:13" s="525" customFormat="1" ht="16.5" hidden="1" customHeight="1">
      <c r="A424" s="81"/>
      <c r="B424" s="111" t="s">
        <v>768</v>
      </c>
      <c r="C424" s="515">
        <v>1</v>
      </c>
      <c r="D424" s="553" t="s">
        <v>265</v>
      </c>
      <c r="E424" s="534">
        <v>1</v>
      </c>
      <c r="F424" s="113">
        <v>12.6</v>
      </c>
      <c r="G424" s="113">
        <v>0</v>
      </c>
      <c r="H424" s="113">
        <v>0.75</v>
      </c>
      <c r="I424" s="523">
        <f t="shared" si="55"/>
        <v>9.4499999999999993</v>
      </c>
      <c r="J424" s="532" t="s">
        <v>102</v>
      </c>
      <c r="K424" s="111"/>
      <c r="L424" s="517"/>
      <c r="M424" s="111"/>
    </row>
    <row r="425" spans="1:13" s="525" customFormat="1" ht="16.5" hidden="1" customHeight="1">
      <c r="A425" s="81"/>
      <c r="B425" s="111" t="s">
        <v>769</v>
      </c>
      <c r="C425" s="515">
        <v>1</v>
      </c>
      <c r="D425" s="553" t="s">
        <v>265</v>
      </c>
      <c r="E425" s="534">
        <v>1</v>
      </c>
      <c r="F425" s="113">
        <v>3.27</v>
      </c>
      <c r="G425" s="113">
        <v>0</v>
      </c>
      <c r="H425" s="113">
        <v>3.2</v>
      </c>
      <c r="I425" s="523">
        <f t="shared" si="55"/>
        <v>10.46</v>
      </c>
      <c r="J425" s="532" t="s">
        <v>102</v>
      </c>
      <c r="K425" s="111"/>
      <c r="L425" s="517"/>
      <c r="M425" s="111"/>
    </row>
    <row r="426" spans="1:13" s="525" customFormat="1" ht="16.5" hidden="1" customHeight="1">
      <c r="A426" s="81"/>
      <c r="B426" s="111"/>
      <c r="C426" s="515">
        <v>1</v>
      </c>
      <c r="D426" s="553" t="s">
        <v>265</v>
      </c>
      <c r="E426" s="534">
        <v>1</v>
      </c>
      <c r="F426" s="113">
        <v>3.27</v>
      </c>
      <c r="G426" s="113">
        <v>0</v>
      </c>
      <c r="H426" s="113">
        <v>3.2</v>
      </c>
      <c r="I426" s="523">
        <f t="shared" si="55"/>
        <v>10.46</v>
      </c>
      <c r="J426" s="532" t="s">
        <v>102</v>
      </c>
      <c r="K426" s="111"/>
      <c r="L426" s="517"/>
      <c r="M426" s="111"/>
    </row>
    <row r="427" spans="1:13" s="525" customFormat="1" ht="16.5" hidden="1" customHeight="1">
      <c r="A427" s="81"/>
      <c r="B427" s="111" t="s">
        <v>770</v>
      </c>
      <c r="C427" s="515">
        <v>1</v>
      </c>
      <c r="D427" s="553" t="s">
        <v>265</v>
      </c>
      <c r="E427" s="534">
        <v>1</v>
      </c>
      <c r="F427" s="113">
        <v>2.68</v>
      </c>
      <c r="G427" s="113">
        <v>0</v>
      </c>
      <c r="H427" s="113">
        <v>1.2</v>
      </c>
      <c r="I427" s="523">
        <f t="shared" si="55"/>
        <v>3.22</v>
      </c>
      <c r="J427" s="532" t="s">
        <v>102</v>
      </c>
      <c r="K427" s="111"/>
      <c r="L427" s="517"/>
      <c r="M427" s="111"/>
    </row>
    <row r="428" spans="1:13" s="525" customFormat="1" ht="16.5" hidden="1" customHeight="1">
      <c r="A428" s="81"/>
      <c r="B428" s="111" t="s">
        <v>565</v>
      </c>
      <c r="C428" s="515">
        <v>1</v>
      </c>
      <c r="D428" s="553" t="s">
        <v>265</v>
      </c>
      <c r="E428" s="534">
        <v>2</v>
      </c>
      <c r="F428" s="113">
        <v>1.2</v>
      </c>
      <c r="G428" s="113">
        <v>0</v>
      </c>
      <c r="H428" s="113">
        <v>2.1</v>
      </c>
      <c r="I428" s="523">
        <f>-ROUND(IF(AND(F428:H428),C428*E428*F428*G428*H428,IF(AND(F428,G428),C428*E428*F428*G428,IF(AND(F428,H428),C428*E428*F428*H428,IF(AND(G428,H428),C428*E428*G428*H428,IF(F428,C428*E428*F428,IF(G428,C428*E428*G428,IF(H428,C428*E428*H428,C428*E428))))))),2)</f>
        <v>-5.04</v>
      </c>
      <c r="J428" s="532" t="s">
        <v>102</v>
      </c>
      <c r="K428" s="111"/>
      <c r="L428" s="517"/>
      <c r="M428" s="111"/>
    </row>
    <row r="429" spans="1:13" s="525" customFormat="1" ht="16.5" hidden="1" customHeight="1">
      <c r="A429" s="81"/>
      <c r="B429" s="111" t="s">
        <v>744</v>
      </c>
      <c r="C429" s="515">
        <v>1</v>
      </c>
      <c r="D429" s="553" t="s">
        <v>265</v>
      </c>
      <c r="E429" s="534">
        <v>5</v>
      </c>
      <c r="F429" s="113">
        <v>1.5</v>
      </c>
      <c r="G429" s="113">
        <v>0</v>
      </c>
      <c r="H429" s="113">
        <v>1.35</v>
      </c>
      <c r="I429" s="523">
        <f>-ROUND(IF(AND(F429:H429),C429*E429*F429*G429*H429,IF(AND(F429,G429),C429*E429*F429*G429,IF(AND(F429,H429),C429*E429*F429*H429,IF(AND(G429,H429),C429*E429*G429*H429,IF(F429,C429*E429*F429,IF(G429,C429*E429*G429,IF(H429,C429*E429*H429,C429*E429))))))),2)</f>
        <v>-10.130000000000001</v>
      </c>
      <c r="J429" s="532" t="s">
        <v>102</v>
      </c>
      <c r="K429" s="111"/>
      <c r="L429" s="517"/>
      <c r="M429" s="111"/>
    </row>
    <row r="430" spans="1:13" s="525" customFormat="1" ht="16.5" hidden="1" customHeight="1">
      <c r="A430" s="81"/>
      <c r="B430" s="111" t="s">
        <v>740</v>
      </c>
      <c r="C430" s="515">
        <v>1</v>
      </c>
      <c r="D430" s="553" t="s">
        <v>265</v>
      </c>
      <c r="E430" s="534">
        <v>10</v>
      </c>
      <c r="F430" s="113">
        <v>0.6</v>
      </c>
      <c r="G430" s="113">
        <v>0</v>
      </c>
      <c r="H430" s="113">
        <v>0.3</v>
      </c>
      <c r="I430" s="523">
        <f>-ROUND(IF(AND(F430:H430),C430*E430*F430*G430*H430,IF(AND(F430,G430),C430*E430*F430*G430,IF(AND(F430,H430),C430*E430*F430*H430,IF(AND(G430,H430),C430*E430*G430*H430,IF(F430,C430*E430*F430,IF(G430,C430*E430*G430,IF(H430,C430*E430*H430,C430*E430))))))),2)</f>
        <v>-1.8</v>
      </c>
      <c r="J430" s="532" t="s">
        <v>102</v>
      </c>
      <c r="K430" s="111"/>
      <c r="L430" s="517"/>
      <c r="M430" s="111"/>
    </row>
    <row r="431" spans="1:13" s="525" customFormat="1" ht="16.5" hidden="1" customHeight="1">
      <c r="A431" s="81"/>
      <c r="B431" s="111" t="s">
        <v>771</v>
      </c>
      <c r="C431" s="515">
        <v>1</v>
      </c>
      <c r="D431" s="553" t="s">
        <v>265</v>
      </c>
      <c r="E431" s="534">
        <v>1</v>
      </c>
      <c r="F431" s="113">
        <v>1.2</v>
      </c>
      <c r="G431" s="113">
        <v>0</v>
      </c>
      <c r="H431" s="113">
        <v>2.1</v>
      </c>
      <c r="I431" s="523">
        <f>-ROUND(IF(AND(F431:H431),C431*E431*F431*G431*H431,IF(AND(F431,G431),C431*E431*F431*G431,IF(AND(F431,H431),C431*E431*F431*H431,IF(AND(G431,H431),C431*E431*G431*H431,IF(F431,C431*E431*F431,IF(G431,C431*E431*G431,IF(H431,C431*E431*H431,C431*E431))))))),2)</f>
        <v>-2.52</v>
      </c>
      <c r="J431" s="532" t="s">
        <v>102</v>
      </c>
      <c r="K431" s="111"/>
      <c r="L431" s="517"/>
      <c r="M431" s="111"/>
    </row>
    <row r="432" spans="1:13" s="525" customFormat="1" ht="16.5" hidden="1" customHeight="1">
      <c r="A432" s="81"/>
      <c r="B432" s="111" t="s">
        <v>1320</v>
      </c>
      <c r="C432" s="547"/>
      <c r="D432" s="548"/>
      <c r="E432" s="549"/>
      <c r="F432" s="550"/>
      <c r="G432" s="550"/>
      <c r="H432" s="551"/>
      <c r="I432" s="552"/>
      <c r="J432" s="532"/>
      <c r="K432" s="111"/>
      <c r="L432" s="517"/>
      <c r="M432" s="111"/>
    </row>
    <row r="433" spans="1:13" s="525" customFormat="1" ht="16.5" hidden="1" customHeight="1">
      <c r="A433" s="81"/>
      <c r="B433" s="111" t="s">
        <v>757</v>
      </c>
      <c r="C433" s="515">
        <v>1</v>
      </c>
      <c r="D433" s="553" t="s">
        <v>265</v>
      </c>
      <c r="E433" s="534">
        <v>1</v>
      </c>
      <c r="F433" s="113">
        <v>12.53</v>
      </c>
      <c r="G433" s="113">
        <v>0</v>
      </c>
      <c r="H433" s="113">
        <v>3.6</v>
      </c>
      <c r="I433" s="523">
        <f t="shared" ref="I433:I436" si="57">ROUND(IF(AND(F433:H433),C433*E433*F433*G433*H433,IF(AND(F433,G433),C433*E433*F433*G433,IF(AND(F433,H433),C433*E433*F433*H433,IF(AND(G433,H433),C433*E433*G433*H433,IF(F433,C433*E433*F433,IF(G433,C433*E433*G433,IF(H433,C433*E433*H433,C433*E433))))))),2)</f>
        <v>45.11</v>
      </c>
      <c r="J433" s="532" t="s">
        <v>102</v>
      </c>
      <c r="K433" s="111"/>
      <c r="L433" s="517"/>
      <c r="M433" s="111"/>
    </row>
    <row r="434" spans="1:13" s="525" customFormat="1" ht="16.5" hidden="1" customHeight="1">
      <c r="A434" s="81"/>
      <c r="B434" s="111" t="s">
        <v>758</v>
      </c>
      <c r="C434" s="515">
        <v>1</v>
      </c>
      <c r="D434" s="553" t="s">
        <v>265</v>
      </c>
      <c r="E434" s="534">
        <v>1</v>
      </c>
      <c r="F434" s="113">
        <v>8.85</v>
      </c>
      <c r="G434" s="113">
        <v>0</v>
      </c>
      <c r="H434" s="113">
        <v>3.6</v>
      </c>
      <c r="I434" s="523">
        <f t="shared" si="57"/>
        <v>31.86</v>
      </c>
      <c r="J434" s="532" t="s">
        <v>102</v>
      </c>
      <c r="K434" s="111"/>
      <c r="L434" s="517"/>
      <c r="M434" s="111"/>
    </row>
    <row r="435" spans="1:13" s="525" customFormat="1" ht="16.5" hidden="1" customHeight="1">
      <c r="A435" s="81"/>
      <c r="B435" s="111" t="s">
        <v>761</v>
      </c>
      <c r="C435" s="515">
        <v>1</v>
      </c>
      <c r="D435" s="553" t="s">
        <v>265</v>
      </c>
      <c r="E435" s="534">
        <v>1</v>
      </c>
      <c r="F435" s="113">
        <v>6.25</v>
      </c>
      <c r="G435" s="113">
        <v>0</v>
      </c>
      <c r="H435" s="113">
        <v>3.6</v>
      </c>
      <c r="I435" s="523">
        <f t="shared" si="57"/>
        <v>22.5</v>
      </c>
      <c r="J435" s="532" t="s">
        <v>102</v>
      </c>
      <c r="K435" s="111"/>
      <c r="L435" s="517"/>
      <c r="M435" s="111"/>
    </row>
    <row r="436" spans="1:13" s="525" customFormat="1" ht="16.5" hidden="1" customHeight="1">
      <c r="A436" s="81"/>
      <c r="B436" s="111" t="s">
        <v>760</v>
      </c>
      <c r="C436" s="515">
        <v>1</v>
      </c>
      <c r="D436" s="553" t="s">
        <v>265</v>
      </c>
      <c r="E436" s="534">
        <v>1</v>
      </c>
      <c r="F436" s="113">
        <v>5.45</v>
      </c>
      <c r="G436" s="113">
        <v>0</v>
      </c>
      <c r="H436" s="113">
        <v>3.2</v>
      </c>
      <c r="I436" s="523">
        <f t="shared" si="57"/>
        <v>17.440000000000001</v>
      </c>
      <c r="J436" s="532" t="s">
        <v>102</v>
      </c>
      <c r="K436" s="111"/>
      <c r="L436" s="517"/>
      <c r="M436" s="111"/>
    </row>
    <row r="437" spans="1:13" s="525" customFormat="1" ht="16.5" hidden="1" customHeight="1">
      <c r="A437" s="81"/>
      <c r="B437" s="526"/>
      <c r="C437" s="527"/>
      <c r="D437" s="528"/>
      <c r="E437" s="577"/>
      <c r="F437" s="530"/>
      <c r="G437" s="530"/>
      <c r="H437" s="530"/>
      <c r="I437" s="531"/>
      <c r="J437" s="532"/>
      <c r="K437" s="111"/>
      <c r="L437" s="517"/>
      <c r="M437" s="111"/>
    </row>
    <row r="438" spans="1:13" hidden="1">
      <c r="A438" s="81"/>
      <c r="B438" s="111"/>
      <c r="C438" s="112"/>
      <c r="D438" s="533"/>
      <c r="E438" s="534"/>
      <c r="F438" s="113"/>
      <c r="G438" s="539"/>
      <c r="H438" s="81"/>
      <c r="I438" s="531"/>
      <c r="J438" s="532" t="s">
        <v>102</v>
      </c>
      <c r="K438" s="12">
        <f>'DATA 2024-25'!E860</f>
        <v>26.75</v>
      </c>
      <c r="L438" s="517" t="s">
        <v>267</v>
      </c>
      <c r="M438" s="11">
        <f>ROUND(I438*K438,0)</f>
        <v>0</v>
      </c>
    </row>
    <row r="439" spans="1:13" ht="127.5" hidden="1" customHeight="1">
      <c r="A439" s="81">
        <v>7</v>
      </c>
      <c r="B439" s="910" t="s">
        <v>841</v>
      </c>
      <c r="C439" s="910"/>
      <c r="D439" s="910"/>
      <c r="E439" s="910"/>
      <c r="F439" s="910"/>
      <c r="G439" s="910"/>
      <c r="H439" s="910"/>
      <c r="I439" s="515"/>
      <c r="J439" s="516"/>
      <c r="K439" s="81"/>
      <c r="L439" s="517"/>
      <c r="M439" s="110"/>
    </row>
    <row r="440" spans="1:13" s="525" customFormat="1" ht="16.5" hidden="1" customHeight="1">
      <c r="A440" s="81"/>
      <c r="B440" s="111" t="s">
        <v>741</v>
      </c>
      <c r="C440" s="515">
        <v>1</v>
      </c>
      <c r="D440" s="553" t="s">
        <v>265</v>
      </c>
      <c r="E440" s="534">
        <v>2</v>
      </c>
      <c r="F440" s="113">
        <v>4.8</v>
      </c>
      <c r="G440" s="113">
        <v>0</v>
      </c>
      <c r="H440" s="113">
        <v>3</v>
      </c>
      <c r="I440" s="523">
        <f t="shared" ref="I440" si="58">ROUND(IF(AND(F440:H440),C440*E440*F440*G440*H440,IF(AND(F440,G440),C440*E440*F440*G440,IF(AND(F440,H440),C440*E440*F440*H440,IF(AND(G440,H440),C440*E440*G440*H440,IF(F440,C440*E440*F440,IF(G440,C440*E440*G440,IF(H440,C440*E440*H440,C440*E440))))))),2)</f>
        <v>28.8</v>
      </c>
      <c r="J440" s="532" t="s">
        <v>102</v>
      </c>
      <c r="K440" s="111"/>
      <c r="L440" s="81"/>
      <c r="M440" s="111"/>
    </row>
    <row r="441" spans="1:13" s="525" customFormat="1" ht="16.5" hidden="1" customHeight="1">
      <c r="A441" s="81"/>
      <c r="B441" s="111"/>
      <c r="C441" s="515">
        <v>1</v>
      </c>
      <c r="D441" s="553" t="s">
        <v>265</v>
      </c>
      <c r="E441" s="534">
        <v>2</v>
      </c>
      <c r="F441" s="113">
        <v>3.3</v>
      </c>
      <c r="G441" s="113">
        <v>0</v>
      </c>
      <c r="H441" s="113">
        <v>3</v>
      </c>
      <c r="I441" s="523">
        <f>ROUND(IF(AND(F441:H441),C441*E441*F441*G441*H441,IF(AND(F441,G441),C441*E441*F441*G441,IF(AND(F441,H441),C441*E441*F441*H441,IF(AND(G441,H441),C441*E441*G441*H441,IF(F441,C441*E441*F441,IF(G441,C441*E441*G441,IF(H441,C441*E441*H441,C441*E441))))))),2)</f>
        <v>19.8</v>
      </c>
      <c r="J441" s="532" t="s">
        <v>102</v>
      </c>
      <c r="K441" s="111"/>
      <c r="L441" s="81"/>
      <c r="M441" s="111"/>
    </row>
    <row r="442" spans="1:13" s="525" customFormat="1" ht="16.5" hidden="1" customHeight="1">
      <c r="A442" s="81"/>
      <c r="B442" s="111" t="s">
        <v>565</v>
      </c>
      <c r="C442" s="515">
        <v>1</v>
      </c>
      <c r="D442" s="553" t="s">
        <v>265</v>
      </c>
      <c r="E442" s="534">
        <v>2</v>
      </c>
      <c r="F442" s="113">
        <v>1</v>
      </c>
      <c r="G442" s="113">
        <v>0</v>
      </c>
      <c r="H442" s="113">
        <v>2.1</v>
      </c>
      <c r="I442" s="523">
        <f>-ROUND(IF(AND(F442:H442),C442*E442*F442*G442*H442,IF(AND(F442,G442),C442*E442*F442*G442,IF(AND(F442,H442),C442*E442*F442*H442,IF(AND(G442,H442),C442*E442*G442*H442,IF(F442,C442*E442*F442,IF(G442,C442*E442*G442,IF(H442,C442*E442*H442,C442*E442))))))),2)</f>
        <v>-4.2</v>
      </c>
      <c r="J442" s="532" t="s">
        <v>102</v>
      </c>
      <c r="K442" s="111"/>
      <c r="L442" s="81"/>
      <c r="M442" s="111"/>
    </row>
    <row r="443" spans="1:13" s="525" customFormat="1" ht="16.5" hidden="1" customHeight="1">
      <c r="A443" s="81"/>
      <c r="B443" s="111" t="s">
        <v>2164</v>
      </c>
      <c r="C443" s="515">
        <v>1</v>
      </c>
      <c r="D443" s="553" t="s">
        <v>265</v>
      </c>
      <c r="E443" s="534">
        <v>3</v>
      </c>
      <c r="F443" s="113">
        <v>1.2</v>
      </c>
      <c r="G443" s="113">
        <v>0</v>
      </c>
      <c r="H443" s="113">
        <v>1.5</v>
      </c>
      <c r="I443" s="523">
        <f>-ROUND(IF(AND(F443:H443),C443*E443*F443*G443*H443,IF(AND(F443,G443),C443*E443*F443*G443,IF(AND(F443,H443),C443*E443*F443*H443,IF(AND(G443,H443),C443*E443*G443*H443,IF(F443,C443*E443*F443,IF(G443,C443*E443*G443,IF(H443,C443*E443*H443,C443*E443))))))),2)</f>
        <v>-5.4</v>
      </c>
      <c r="J443" s="532" t="s">
        <v>102</v>
      </c>
      <c r="K443" s="111"/>
      <c r="L443" s="81"/>
      <c r="M443" s="111"/>
    </row>
    <row r="444" spans="1:13" s="525" customFormat="1" ht="16.5" hidden="1" customHeight="1">
      <c r="A444" s="81"/>
      <c r="B444" s="111" t="s">
        <v>2303</v>
      </c>
      <c r="C444" s="515">
        <v>1</v>
      </c>
      <c r="D444" s="553" t="s">
        <v>265</v>
      </c>
      <c r="E444" s="534">
        <v>4</v>
      </c>
      <c r="F444" s="113">
        <v>3.3</v>
      </c>
      <c r="G444" s="113">
        <v>0</v>
      </c>
      <c r="H444" s="113">
        <v>3.3</v>
      </c>
      <c r="I444" s="523">
        <f t="shared" ref="I444" si="59">ROUND(IF(AND(F444:H444),C444*E444*F444*G444*H444,IF(AND(F444,G444),C444*E444*F444*G444,IF(AND(F444,H444),C444*E444*F444*H444,IF(AND(G444,H444),C444*E444*G444*H444,IF(F444,C444*E444*F444,IF(G444,C444*E444*G444,IF(H444,C444*E444*H444,C444*E444))))))),2)</f>
        <v>43.56</v>
      </c>
      <c r="J444" s="532" t="s">
        <v>102</v>
      </c>
      <c r="K444" s="111"/>
      <c r="L444" s="81"/>
      <c r="M444" s="111"/>
    </row>
    <row r="445" spans="1:13" s="525" customFormat="1" ht="16.5" hidden="1" customHeight="1">
      <c r="A445" s="81"/>
      <c r="B445" s="111" t="s">
        <v>565</v>
      </c>
      <c r="C445" s="515">
        <v>1</v>
      </c>
      <c r="D445" s="553" t="s">
        <v>265</v>
      </c>
      <c r="E445" s="534">
        <v>2</v>
      </c>
      <c r="F445" s="113">
        <v>1</v>
      </c>
      <c r="G445" s="113">
        <v>0</v>
      </c>
      <c r="H445" s="113">
        <v>2.1</v>
      </c>
      <c r="I445" s="523">
        <f>-ROUND(IF(AND(F445:H445),C445*E445*F445*G445*H445,IF(AND(F445,G445),C445*E445*F445*G445,IF(AND(F445,H445),C445*E445*F445*H445,IF(AND(G445,H445),C445*E445*G445*H445,IF(F445,C445*E445*F445,IF(G445,C445*E445*G445,IF(H445,C445*E445*H445,C445*E445))))))),2)</f>
        <v>-4.2</v>
      </c>
      <c r="J445" s="532" t="s">
        <v>102</v>
      </c>
      <c r="K445" s="111"/>
      <c r="L445" s="81"/>
      <c r="M445" s="111"/>
    </row>
    <row r="446" spans="1:13" s="525" customFormat="1" ht="16.5" hidden="1" customHeight="1">
      <c r="A446" s="81"/>
      <c r="B446" s="111" t="s">
        <v>2164</v>
      </c>
      <c r="C446" s="515">
        <v>1</v>
      </c>
      <c r="D446" s="553" t="s">
        <v>265</v>
      </c>
      <c r="E446" s="534">
        <v>1</v>
      </c>
      <c r="F446" s="113">
        <v>1.5</v>
      </c>
      <c r="G446" s="113">
        <v>0</v>
      </c>
      <c r="H446" s="113">
        <v>1.5</v>
      </c>
      <c r="I446" s="523">
        <f>-ROUND(IF(AND(F446:H446),C446*E446*F446*G446*H446,IF(AND(F446,G446),C446*E446*F446*G446,IF(AND(F446,H446),C446*E446*F446*H446,IF(AND(G446,H446),C446*E446*G446*H446,IF(F446,C446*E446*F446,IF(G446,C446*E446*G446,IF(H446,C446*E446*H446,C446*E446))))))),2)</f>
        <v>-2.25</v>
      </c>
      <c r="J446" s="532" t="s">
        <v>102</v>
      </c>
      <c r="K446" s="111"/>
      <c r="L446" s="81"/>
      <c r="M446" s="111"/>
    </row>
    <row r="447" spans="1:13" s="525" customFormat="1" ht="16.5" hidden="1" customHeight="1">
      <c r="A447" s="81"/>
      <c r="B447" s="526"/>
      <c r="C447" s="527"/>
      <c r="D447" s="528"/>
      <c r="E447" s="577"/>
      <c r="F447" s="530"/>
      <c r="G447" s="530"/>
      <c r="H447" s="530"/>
      <c r="I447" s="531"/>
      <c r="J447" s="532"/>
      <c r="K447" s="111"/>
      <c r="L447" s="517"/>
      <c r="M447" s="111"/>
    </row>
    <row r="448" spans="1:13" hidden="1">
      <c r="A448" s="81"/>
      <c r="B448" s="111"/>
      <c r="C448" s="112"/>
      <c r="D448" s="533"/>
      <c r="E448" s="534"/>
      <c r="F448" s="113"/>
      <c r="G448" s="539"/>
      <c r="H448" s="81"/>
      <c r="I448" s="531"/>
      <c r="J448" s="532" t="s">
        <v>102</v>
      </c>
      <c r="K448" s="12">
        <f>'DATA 2024-25'!E875</f>
        <v>188.29</v>
      </c>
      <c r="L448" s="517" t="s">
        <v>267</v>
      </c>
      <c r="M448" s="11">
        <f>ROUND(I448*K448,0)</f>
        <v>0</v>
      </c>
    </row>
    <row r="449" spans="1:13" ht="96" customHeight="1">
      <c r="A449" s="81">
        <v>15</v>
      </c>
      <c r="B449" s="910" t="s">
        <v>939</v>
      </c>
      <c r="C449" s="910"/>
      <c r="D449" s="910"/>
      <c r="E449" s="910"/>
      <c r="F449" s="910"/>
      <c r="G449" s="910"/>
      <c r="H449" s="910"/>
      <c r="I449" s="515"/>
      <c r="J449" s="516"/>
      <c r="K449" s="81"/>
      <c r="L449" s="517"/>
      <c r="M449" s="110"/>
    </row>
    <row r="450" spans="1:13" s="525" customFormat="1" ht="16.5" customHeight="1">
      <c r="A450" s="81"/>
      <c r="B450" s="538" t="s">
        <v>741</v>
      </c>
      <c r="C450" s="540">
        <v>1</v>
      </c>
      <c r="D450" s="541" t="s">
        <v>265</v>
      </c>
      <c r="E450" s="556">
        <v>1</v>
      </c>
      <c r="F450" s="536">
        <v>6.25</v>
      </c>
      <c r="G450" s="536">
        <v>5</v>
      </c>
      <c r="H450" s="536">
        <v>0</v>
      </c>
      <c r="I450" s="523">
        <f t="shared" ref="I450:I466" si="60">ROUND(IF(AND(F450:H450),C450*E450*F450*G450*H450,IF(AND(F450,G450),C450*E450*F450*G450,IF(AND(F450,H450),C450*E450*F450*H450,IF(AND(G450,H450),C450*E450*G450*H450,IF(F450,C450*E450*F450,IF(G450,C450*E450*G450,IF(H450,C450*E450*H450,C450*E450))))))),2)</f>
        <v>31.25</v>
      </c>
      <c r="J450" s="537" t="s">
        <v>102</v>
      </c>
      <c r="K450" s="111"/>
      <c r="L450" s="81"/>
      <c r="M450" s="111"/>
    </row>
    <row r="451" spans="1:13" s="525" customFormat="1" ht="16.5" customHeight="1">
      <c r="A451" s="81"/>
      <c r="B451" s="538" t="s">
        <v>2158</v>
      </c>
      <c r="C451" s="540">
        <v>1</v>
      </c>
      <c r="D451" s="541" t="s">
        <v>265</v>
      </c>
      <c r="E451" s="556">
        <v>1</v>
      </c>
      <c r="F451" s="536">
        <v>1.6</v>
      </c>
      <c r="G451" s="536">
        <v>1.85</v>
      </c>
      <c r="H451" s="536">
        <v>0</v>
      </c>
      <c r="I451" s="523">
        <f t="shared" si="60"/>
        <v>2.96</v>
      </c>
      <c r="J451" s="537" t="s">
        <v>102</v>
      </c>
      <c r="K451" s="111"/>
      <c r="L451" s="81"/>
      <c r="M451" s="111"/>
    </row>
    <row r="452" spans="1:13" s="525" customFormat="1" ht="16.5" customHeight="1">
      <c r="A452" s="81"/>
      <c r="B452" s="538" t="s">
        <v>2185</v>
      </c>
      <c r="C452" s="540">
        <v>1</v>
      </c>
      <c r="D452" s="541" t="s">
        <v>265</v>
      </c>
      <c r="E452" s="556">
        <v>1</v>
      </c>
      <c r="F452" s="536">
        <v>1.6</v>
      </c>
      <c r="G452" s="536">
        <v>1.6</v>
      </c>
      <c r="H452" s="536">
        <v>0</v>
      </c>
      <c r="I452" s="523">
        <f t="shared" si="60"/>
        <v>2.56</v>
      </c>
      <c r="J452" s="537" t="s">
        <v>102</v>
      </c>
      <c r="K452" s="111"/>
      <c r="L452" s="81"/>
      <c r="M452" s="111"/>
    </row>
    <row r="453" spans="1:13" s="525" customFormat="1" ht="16.5" customHeight="1">
      <c r="A453" s="81"/>
      <c r="B453" s="538" t="s">
        <v>2335</v>
      </c>
      <c r="C453" s="540">
        <v>1</v>
      </c>
      <c r="D453" s="541" t="s">
        <v>265</v>
      </c>
      <c r="E453" s="556">
        <v>1</v>
      </c>
      <c r="F453" s="536">
        <v>1.6</v>
      </c>
      <c r="G453" s="536">
        <v>1.32</v>
      </c>
      <c r="H453" s="536">
        <v>0</v>
      </c>
      <c r="I453" s="523">
        <f t="shared" si="60"/>
        <v>2.11</v>
      </c>
      <c r="J453" s="537" t="s">
        <v>102</v>
      </c>
      <c r="K453" s="111"/>
      <c r="L453" s="81"/>
      <c r="M453" s="111"/>
    </row>
    <row r="454" spans="1:13" s="525" customFormat="1" ht="16.5" customHeight="1">
      <c r="A454" s="81"/>
      <c r="B454" s="538" t="s">
        <v>2336</v>
      </c>
      <c r="C454" s="540">
        <v>1</v>
      </c>
      <c r="D454" s="541" t="s">
        <v>265</v>
      </c>
      <c r="E454" s="556">
        <v>2</v>
      </c>
      <c r="F454" s="536">
        <v>5</v>
      </c>
      <c r="G454" s="536">
        <v>0</v>
      </c>
      <c r="H454" s="536">
        <v>0.3</v>
      </c>
      <c r="I454" s="523">
        <f t="shared" si="60"/>
        <v>3</v>
      </c>
      <c r="J454" s="537" t="s">
        <v>102</v>
      </c>
      <c r="K454" s="111"/>
      <c r="L454" s="81"/>
      <c r="M454" s="111"/>
    </row>
    <row r="455" spans="1:13" s="525" customFormat="1" ht="16.5" customHeight="1">
      <c r="A455" s="81"/>
      <c r="B455" s="538" t="s">
        <v>564</v>
      </c>
      <c r="C455" s="540">
        <v>1</v>
      </c>
      <c r="D455" s="541" t="s">
        <v>265</v>
      </c>
      <c r="E455" s="556">
        <v>1</v>
      </c>
      <c r="F455" s="536">
        <v>8.65</v>
      </c>
      <c r="G455" s="536">
        <v>1.6</v>
      </c>
      <c r="H455" s="536">
        <v>0</v>
      </c>
      <c r="I455" s="523">
        <f t="shared" si="60"/>
        <v>13.84</v>
      </c>
      <c r="J455" s="537" t="s">
        <v>102</v>
      </c>
      <c r="K455" s="111"/>
      <c r="L455" s="81"/>
      <c r="M455" s="111"/>
    </row>
    <row r="456" spans="1:13" s="525" customFormat="1" ht="16.5" customHeight="1">
      <c r="A456" s="81"/>
      <c r="B456" s="538" t="s">
        <v>2337</v>
      </c>
      <c r="C456" s="540">
        <v>4</v>
      </c>
      <c r="D456" s="541" t="s">
        <v>265</v>
      </c>
      <c r="E456" s="556">
        <v>2</v>
      </c>
      <c r="F456" s="536">
        <v>1.35</v>
      </c>
      <c r="G456" s="536">
        <v>0</v>
      </c>
      <c r="H456" s="536">
        <v>0.3</v>
      </c>
      <c r="I456" s="523">
        <f t="shared" si="60"/>
        <v>3.24</v>
      </c>
      <c r="J456" s="537" t="s">
        <v>102</v>
      </c>
      <c r="K456" s="111"/>
      <c r="L456" s="81"/>
      <c r="M456" s="111"/>
    </row>
    <row r="457" spans="1:13" s="525" customFormat="1" ht="16.5" customHeight="1">
      <c r="A457" s="81"/>
      <c r="B457" s="538" t="s">
        <v>2338</v>
      </c>
      <c r="C457" s="540">
        <v>1</v>
      </c>
      <c r="D457" s="541" t="s">
        <v>265</v>
      </c>
      <c r="E457" s="556">
        <v>2</v>
      </c>
      <c r="F457" s="536">
        <v>8.65</v>
      </c>
      <c r="G457" s="536">
        <v>0</v>
      </c>
      <c r="H457" s="536">
        <v>0.3</v>
      </c>
      <c r="I457" s="523">
        <f t="shared" si="60"/>
        <v>5.19</v>
      </c>
      <c r="J457" s="537" t="s">
        <v>102</v>
      </c>
      <c r="K457" s="111"/>
      <c r="L457" s="81"/>
      <c r="M457" s="111"/>
    </row>
    <row r="458" spans="1:13" s="525" customFormat="1" ht="16.5" customHeight="1">
      <c r="A458" s="81"/>
      <c r="B458" s="538" t="s">
        <v>2339</v>
      </c>
      <c r="C458" s="540">
        <v>1</v>
      </c>
      <c r="D458" s="541" t="s">
        <v>265</v>
      </c>
      <c r="E458" s="556">
        <v>1</v>
      </c>
      <c r="F458" s="536">
        <v>9.25</v>
      </c>
      <c r="G458" s="536">
        <v>0</v>
      </c>
      <c r="H458" s="536">
        <v>0.3</v>
      </c>
      <c r="I458" s="523">
        <f t="shared" si="60"/>
        <v>2.78</v>
      </c>
      <c r="J458" s="537" t="s">
        <v>102</v>
      </c>
      <c r="K458" s="111"/>
      <c r="L458" s="81"/>
      <c r="M458" s="111"/>
    </row>
    <row r="459" spans="1:13" s="525" customFormat="1" ht="16.5" customHeight="1">
      <c r="A459" s="81"/>
      <c r="B459" s="538" t="s">
        <v>2340</v>
      </c>
      <c r="C459" s="540">
        <v>1</v>
      </c>
      <c r="D459" s="541" t="s">
        <v>265</v>
      </c>
      <c r="E459" s="556">
        <v>2</v>
      </c>
      <c r="F459" s="536">
        <v>6.8</v>
      </c>
      <c r="G459" s="536">
        <v>0</v>
      </c>
      <c r="H459" s="536">
        <v>0.3</v>
      </c>
      <c r="I459" s="523">
        <f t="shared" si="60"/>
        <v>4.08</v>
      </c>
      <c r="J459" s="537" t="s">
        <v>102</v>
      </c>
      <c r="K459" s="111"/>
      <c r="L459" s="81"/>
      <c r="M459" s="111"/>
    </row>
    <row r="460" spans="1:13" s="525" customFormat="1" ht="16.5" customHeight="1">
      <c r="A460" s="81"/>
      <c r="B460" s="538" t="s">
        <v>2341</v>
      </c>
      <c r="C460" s="540">
        <v>1</v>
      </c>
      <c r="D460" s="541" t="s">
        <v>265</v>
      </c>
      <c r="E460" s="556">
        <v>1</v>
      </c>
      <c r="F460" s="536">
        <v>9.25</v>
      </c>
      <c r="G460" s="536">
        <v>0</v>
      </c>
      <c r="H460" s="569">
        <v>0.125</v>
      </c>
      <c r="I460" s="523">
        <f t="shared" si="60"/>
        <v>1.1599999999999999</v>
      </c>
      <c r="J460" s="537" t="s">
        <v>102</v>
      </c>
      <c r="K460" s="111"/>
      <c r="L460" s="81"/>
      <c r="M460" s="111"/>
    </row>
    <row r="461" spans="1:13" s="525" customFormat="1" ht="16.5" customHeight="1">
      <c r="A461" s="81"/>
      <c r="B461" s="538" t="s">
        <v>1880</v>
      </c>
      <c r="C461" s="540">
        <v>1</v>
      </c>
      <c r="D461" s="541" t="s">
        <v>265</v>
      </c>
      <c r="E461" s="556">
        <v>2</v>
      </c>
      <c r="F461" s="536">
        <v>1.2</v>
      </c>
      <c r="G461" s="536">
        <v>0.6</v>
      </c>
      <c r="H461" s="536">
        <v>0</v>
      </c>
      <c r="I461" s="523">
        <f t="shared" si="60"/>
        <v>1.44</v>
      </c>
      <c r="J461" s="537" t="s">
        <v>102</v>
      </c>
      <c r="K461" s="111"/>
      <c r="L461" s="81"/>
      <c r="M461" s="111"/>
    </row>
    <row r="462" spans="1:13" s="525" customFormat="1" ht="16.5" customHeight="1">
      <c r="A462" s="81"/>
      <c r="B462" s="538"/>
      <c r="C462" s="540">
        <v>1</v>
      </c>
      <c r="D462" s="541" t="s">
        <v>265</v>
      </c>
      <c r="E462" s="556">
        <v>4</v>
      </c>
      <c r="F462" s="536">
        <v>1.8</v>
      </c>
      <c r="G462" s="536">
        <v>0.6</v>
      </c>
      <c r="H462" s="536">
        <v>0</v>
      </c>
      <c r="I462" s="523">
        <f t="shared" si="60"/>
        <v>4.32</v>
      </c>
      <c r="J462" s="537" t="s">
        <v>102</v>
      </c>
      <c r="K462" s="111"/>
      <c r="L462" s="81"/>
      <c r="M462" s="111"/>
    </row>
    <row r="463" spans="1:13" s="525" customFormat="1" ht="16.5" customHeight="1">
      <c r="A463" s="81"/>
      <c r="B463" s="568" t="s">
        <v>741</v>
      </c>
      <c r="C463" s="540">
        <v>1</v>
      </c>
      <c r="D463" s="541" t="s">
        <v>265</v>
      </c>
      <c r="E463" s="556">
        <v>1</v>
      </c>
      <c r="F463" s="536">
        <v>22.5</v>
      </c>
      <c r="G463" s="536">
        <v>0</v>
      </c>
      <c r="H463" s="536">
        <v>3.1</v>
      </c>
      <c r="I463" s="523">
        <f t="shared" si="60"/>
        <v>69.75</v>
      </c>
      <c r="J463" s="537" t="s">
        <v>102</v>
      </c>
      <c r="K463" s="111"/>
      <c r="L463" s="81"/>
      <c r="M463" s="111"/>
    </row>
    <row r="464" spans="1:13" s="525" customFormat="1" ht="16.5" customHeight="1">
      <c r="A464" s="81"/>
      <c r="B464" s="568" t="s">
        <v>2158</v>
      </c>
      <c r="C464" s="540">
        <v>1</v>
      </c>
      <c r="D464" s="541" t="s">
        <v>265</v>
      </c>
      <c r="E464" s="556">
        <v>1</v>
      </c>
      <c r="F464" s="536">
        <v>6.9</v>
      </c>
      <c r="G464" s="536">
        <v>0</v>
      </c>
      <c r="H464" s="536">
        <v>3.1</v>
      </c>
      <c r="I464" s="523">
        <f t="shared" si="60"/>
        <v>21.39</v>
      </c>
      <c r="J464" s="537" t="s">
        <v>102</v>
      </c>
      <c r="K464" s="111"/>
      <c r="L464" s="81"/>
      <c r="M464" s="111"/>
    </row>
    <row r="465" spans="1:13" s="525" customFormat="1" ht="16.5" customHeight="1">
      <c r="A465" s="81"/>
      <c r="B465" s="568" t="s">
        <v>2185</v>
      </c>
      <c r="C465" s="540">
        <v>1</v>
      </c>
      <c r="D465" s="541" t="s">
        <v>265</v>
      </c>
      <c r="E465" s="556">
        <v>1</v>
      </c>
      <c r="F465" s="536">
        <v>6.4</v>
      </c>
      <c r="G465" s="536">
        <v>0</v>
      </c>
      <c r="H465" s="536">
        <v>3.1</v>
      </c>
      <c r="I465" s="523">
        <f t="shared" si="60"/>
        <v>19.84</v>
      </c>
      <c r="J465" s="537" t="s">
        <v>102</v>
      </c>
      <c r="K465" s="111"/>
      <c r="L465" s="81"/>
      <c r="M465" s="111"/>
    </row>
    <row r="466" spans="1:13" s="525" customFormat="1" ht="16.5" customHeight="1">
      <c r="A466" s="81"/>
      <c r="B466" s="568" t="s">
        <v>2335</v>
      </c>
      <c r="C466" s="540">
        <v>1</v>
      </c>
      <c r="D466" s="541" t="s">
        <v>265</v>
      </c>
      <c r="E466" s="556">
        <v>1</v>
      </c>
      <c r="F466" s="536">
        <v>5.84</v>
      </c>
      <c r="G466" s="536">
        <v>0</v>
      </c>
      <c r="H466" s="536">
        <v>3.1</v>
      </c>
      <c r="I466" s="523">
        <f t="shared" si="60"/>
        <v>18.100000000000001</v>
      </c>
      <c r="J466" s="537" t="s">
        <v>102</v>
      </c>
      <c r="K466" s="111"/>
      <c r="L466" s="81"/>
      <c r="M466" s="111"/>
    </row>
    <row r="467" spans="1:13" s="525" customFormat="1" ht="16.5" customHeight="1">
      <c r="A467" s="81"/>
      <c r="B467" s="568" t="s">
        <v>2168</v>
      </c>
      <c r="C467" s="540"/>
      <c r="D467" s="541"/>
      <c r="E467" s="556"/>
      <c r="F467" s="536"/>
      <c r="G467" s="536"/>
      <c r="H467" s="536"/>
      <c r="I467" s="523"/>
      <c r="J467" s="537"/>
      <c r="K467" s="111"/>
      <c r="L467" s="81"/>
      <c r="M467" s="111"/>
    </row>
    <row r="468" spans="1:13" s="525" customFormat="1" ht="16.5" customHeight="1">
      <c r="A468" s="81"/>
      <c r="B468" s="568" t="s">
        <v>2252</v>
      </c>
      <c r="C468" s="540">
        <v>1</v>
      </c>
      <c r="D468" s="541" t="s">
        <v>265</v>
      </c>
      <c r="E468" s="556">
        <v>1</v>
      </c>
      <c r="F468" s="536">
        <v>1.2</v>
      </c>
      <c r="G468" s="536">
        <v>0</v>
      </c>
      <c r="H468" s="536">
        <v>2.1</v>
      </c>
      <c r="I468" s="523">
        <f>-ROUND(IF(AND(F468:H468),C468*E468*F468*G468*H468,IF(AND(F468,G468),C468*E468*F468*G468,IF(AND(F468,H468),C468*E468*F468*H468,IF(AND(G468,H468),C468*E468*G468*H468,IF(F468,C468*E468*F468,IF(G468,C468*E468*G468,IF(H468,C468*E468*H468,C468*E468))))))),2)</f>
        <v>-2.52</v>
      </c>
      <c r="J468" s="537" t="s">
        <v>102</v>
      </c>
      <c r="K468" s="111"/>
      <c r="L468" s="81"/>
      <c r="M468" s="111"/>
    </row>
    <row r="469" spans="1:13" s="525" customFormat="1" ht="16.5" customHeight="1">
      <c r="A469" s="81"/>
      <c r="B469" s="568"/>
      <c r="C469" s="540">
        <v>2</v>
      </c>
      <c r="D469" s="541" t="s">
        <v>265</v>
      </c>
      <c r="E469" s="556">
        <v>3</v>
      </c>
      <c r="F469" s="536">
        <v>0.9</v>
      </c>
      <c r="G469" s="536">
        <v>0</v>
      </c>
      <c r="H469" s="536">
        <v>2.1</v>
      </c>
      <c r="I469" s="523">
        <f t="shared" ref="I469:I471" si="61">-ROUND(IF(AND(F469:H469),C469*E469*F469*G469*H469,IF(AND(F469,G469),C469*E469*F469*G469,IF(AND(F469,H469),C469*E469*F469*H469,IF(AND(G469,H469),C469*E469*G469*H469,IF(F469,C469*E469*F469,IF(G469,C469*E469*G469,IF(H469,C469*E469*H469,C469*E469))))))),2)</f>
        <v>-11.34</v>
      </c>
      <c r="J469" s="537" t="s">
        <v>102</v>
      </c>
      <c r="K469" s="111"/>
      <c r="L469" s="81"/>
      <c r="M469" s="111"/>
    </row>
    <row r="470" spans="1:13" s="525" customFormat="1" ht="16.5" customHeight="1">
      <c r="A470" s="81"/>
      <c r="B470" s="568" t="s">
        <v>2251</v>
      </c>
      <c r="C470" s="540">
        <v>1</v>
      </c>
      <c r="D470" s="541" t="s">
        <v>265</v>
      </c>
      <c r="E470" s="556">
        <v>5</v>
      </c>
      <c r="F470" s="536">
        <v>1.5</v>
      </c>
      <c r="G470" s="536">
        <v>0</v>
      </c>
      <c r="H470" s="536">
        <v>1.35</v>
      </c>
      <c r="I470" s="523">
        <f t="shared" si="61"/>
        <v>-10.130000000000001</v>
      </c>
      <c r="J470" s="537" t="s">
        <v>102</v>
      </c>
      <c r="K470" s="111"/>
      <c r="L470" s="81"/>
      <c r="M470" s="111"/>
    </row>
    <row r="471" spans="1:13" s="525" customFormat="1" ht="16.5" customHeight="1">
      <c r="A471" s="81"/>
      <c r="B471" s="568"/>
      <c r="C471" s="540">
        <v>1</v>
      </c>
      <c r="D471" s="541" t="s">
        <v>265</v>
      </c>
      <c r="E471" s="556">
        <v>3</v>
      </c>
      <c r="F471" s="536">
        <v>0.9</v>
      </c>
      <c r="G471" s="536">
        <v>0</v>
      </c>
      <c r="H471" s="536">
        <v>1.35</v>
      </c>
      <c r="I471" s="523">
        <f t="shared" si="61"/>
        <v>-3.65</v>
      </c>
      <c r="J471" s="537" t="s">
        <v>102</v>
      </c>
      <c r="K471" s="111"/>
      <c r="L471" s="81"/>
      <c r="M471" s="111"/>
    </row>
    <row r="472" spans="1:13" s="525" customFormat="1" ht="16.5" customHeight="1">
      <c r="A472" s="81"/>
      <c r="B472" s="568" t="s">
        <v>2183</v>
      </c>
      <c r="C472" s="540">
        <v>1</v>
      </c>
      <c r="D472" s="541" t="s">
        <v>265</v>
      </c>
      <c r="E472" s="556">
        <v>7</v>
      </c>
      <c r="F472" s="536">
        <v>0.6</v>
      </c>
      <c r="G472" s="536">
        <v>0</v>
      </c>
      <c r="H472" s="536">
        <v>0.3</v>
      </c>
      <c r="I472" s="523">
        <f>-ROUND(IF(AND(F472:H472),C472*E472*F472*G472*H472,IF(AND(F472,G472),C472*E472*F472*G472,IF(AND(F472,H472),C472*E472*F472*H472,IF(AND(G472,H472),C472*E472*G472*H472,IF(F472,C472*E472*F472,IF(G472,C472*E472*G472,IF(H472,C472*E472*H472,C472*E472))))))),2)</f>
        <v>-1.26</v>
      </c>
      <c r="J472" s="537" t="s">
        <v>102</v>
      </c>
      <c r="K472" s="111"/>
      <c r="L472" s="81"/>
      <c r="M472" s="111"/>
    </row>
    <row r="473" spans="1:13" s="525" customFormat="1" ht="16.5" customHeight="1">
      <c r="A473" s="81"/>
      <c r="B473" s="526"/>
      <c r="C473" s="527"/>
      <c r="D473" s="528"/>
      <c r="E473" s="529"/>
      <c r="F473" s="530"/>
      <c r="G473" s="530"/>
      <c r="H473" s="530"/>
      <c r="I473" s="531"/>
      <c r="J473" s="532"/>
      <c r="K473" s="111"/>
      <c r="L473" s="517"/>
      <c r="M473" s="111"/>
    </row>
    <row r="474" spans="1:13">
      <c r="A474" s="81"/>
      <c r="B474" s="111"/>
      <c r="C474" s="112"/>
      <c r="D474" s="533"/>
      <c r="E474" s="534"/>
      <c r="F474" s="113"/>
      <c r="G474" s="539"/>
      <c r="H474" s="81"/>
      <c r="I474" s="531">
        <f>SUM(I450:I473)</f>
        <v>178.10999999999999</v>
      </c>
      <c r="J474" s="532" t="s">
        <v>102</v>
      </c>
      <c r="K474" s="12">
        <f>'DATA 2024-25'!E911</f>
        <v>186.63</v>
      </c>
      <c r="L474" s="517" t="s">
        <v>267</v>
      </c>
      <c r="M474" s="11">
        <f>ROUND(I474*K474,0)</f>
        <v>33241</v>
      </c>
    </row>
    <row r="475" spans="1:13" ht="90" customHeight="1">
      <c r="A475" s="81">
        <v>16</v>
      </c>
      <c r="B475" s="918" t="s">
        <v>940</v>
      </c>
      <c r="C475" s="919"/>
      <c r="D475" s="919"/>
      <c r="E475" s="919"/>
      <c r="F475" s="919"/>
      <c r="G475" s="919"/>
      <c r="H475" s="920"/>
      <c r="I475" s="515"/>
      <c r="J475" s="516"/>
      <c r="K475" s="81"/>
      <c r="L475" s="517"/>
      <c r="M475" s="110"/>
    </row>
    <row r="476" spans="1:13" s="525" customFormat="1" ht="16.5" customHeight="1">
      <c r="A476" s="81"/>
      <c r="B476" s="538" t="s">
        <v>2250</v>
      </c>
      <c r="C476" s="540">
        <v>1</v>
      </c>
      <c r="D476" s="541" t="s">
        <v>265</v>
      </c>
      <c r="E476" s="556">
        <v>1</v>
      </c>
      <c r="F476" s="536">
        <v>8.6</v>
      </c>
      <c r="G476" s="536">
        <v>0</v>
      </c>
      <c r="H476" s="536">
        <v>3.55</v>
      </c>
      <c r="I476" s="523">
        <f t="shared" ref="I476:I489" si="62">ROUND(IF(AND(F476:H476),C476*E476*F476*G476*H476,IF(AND(F476,G476),C476*E476*F476*G476,IF(AND(F476,H476),C476*E476*F476*H476,IF(AND(G476,H476),C476*E476*G476*H476,IF(F476,C476*E476*F476,IF(G476,C476*E476*G476,IF(H476,C476*E476*H476,C476*E476))))))),2)</f>
        <v>30.53</v>
      </c>
      <c r="J476" s="524" t="s">
        <v>102</v>
      </c>
      <c r="K476" s="111"/>
      <c r="L476" s="81"/>
      <c r="M476" s="111"/>
    </row>
    <row r="477" spans="1:13" s="525" customFormat="1" ht="16.5" customHeight="1">
      <c r="A477" s="81"/>
      <c r="B477" s="538" t="s">
        <v>2342</v>
      </c>
      <c r="C477" s="540">
        <v>1</v>
      </c>
      <c r="D477" s="541" t="s">
        <v>265</v>
      </c>
      <c r="E477" s="556">
        <v>1</v>
      </c>
      <c r="F477" s="536">
        <v>8.6</v>
      </c>
      <c r="G477" s="536">
        <v>0</v>
      </c>
      <c r="H477" s="536">
        <v>4.1500000000000004</v>
      </c>
      <c r="I477" s="523">
        <f t="shared" si="62"/>
        <v>35.69</v>
      </c>
      <c r="J477" s="524" t="s">
        <v>102</v>
      </c>
      <c r="K477" s="111"/>
      <c r="L477" s="81"/>
      <c r="M477" s="111"/>
    </row>
    <row r="478" spans="1:13" s="525" customFormat="1" ht="16.5" customHeight="1">
      <c r="A478" s="81"/>
      <c r="B478" s="538" t="s">
        <v>2340</v>
      </c>
      <c r="C478" s="540">
        <v>1</v>
      </c>
      <c r="D478" s="541" t="s">
        <v>265</v>
      </c>
      <c r="E478" s="556">
        <v>2</v>
      </c>
      <c r="F478" s="536">
        <v>6.8</v>
      </c>
      <c r="G478" s="536">
        <v>0</v>
      </c>
      <c r="H478" s="536">
        <v>4.1500000000000004</v>
      </c>
      <c r="I478" s="523">
        <f t="shared" si="62"/>
        <v>56.44</v>
      </c>
      <c r="J478" s="524" t="s">
        <v>102</v>
      </c>
      <c r="K478" s="111"/>
      <c r="L478" s="81"/>
      <c r="M478" s="111"/>
    </row>
    <row r="479" spans="1:13" s="525" customFormat="1" ht="16.5" customHeight="1">
      <c r="A479" s="81"/>
      <c r="B479" s="538" t="s">
        <v>2343</v>
      </c>
      <c r="C479" s="540">
        <v>1</v>
      </c>
      <c r="D479" s="541" t="s">
        <v>265</v>
      </c>
      <c r="E479" s="556">
        <v>1</v>
      </c>
      <c r="F479" s="536">
        <v>1.2</v>
      </c>
      <c r="G479" s="536">
        <v>1.8</v>
      </c>
      <c r="H479" s="536">
        <v>0</v>
      </c>
      <c r="I479" s="523">
        <f t="shared" si="62"/>
        <v>2.16</v>
      </c>
      <c r="J479" s="524" t="s">
        <v>102</v>
      </c>
      <c r="K479" s="111"/>
      <c r="L479" s="81"/>
      <c r="M479" s="111"/>
    </row>
    <row r="480" spans="1:13" s="525" customFormat="1" ht="16.5" customHeight="1">
      <c r="A480" s="81"/>
      <c r="B480" s="538" t="s">
        <v>2344</v>
      </c>
      <c r="C480" s="540">
        <v>1</v>
      </c>
      <c r="D480" s="541" t="s">
        <v>265</v>
      </c>
      <c r="E480" s="556">
        <v>1</v>
      </c>
      <c r="F480" s="536">
        <v>1.2</v>
      </c>
      <c r="G480" s="536">
        <v>1.1499999999999999</v>
      </c>
      <c r="H480" s="536">
        <v>0</v>
      </c>
      <c r="I480" s="523">
        <f t="shared" si="62"/>
        <v>1.38</v>
      </c>
      <c r="J480" s="524" t="s">
        <v>102</v>
      </c>
      <c r="K480" s="111"/>
      <c r="L480" s="81"/>
      <c r="M480" s="111"/>
    </row>
    <row r="481" spans="1:13" s="525" customFormat="1" ht="16.5" customHeight="1">
      <c r="A481" s="81"/>
      <c r="B481" s="538" t="s">
        <v>2345</v>
      </c>
      <c r="C481" s="540">
        <v>1</v>
      </c>
      <c r="D481" s="541" t="s">
        <v>265</v>
      </c>
      <c r="E481" s="556">
        <v>1</v>
      </c>
      <c r="F481" s="536">
        <v>2.95</v>
      </c>
      <c r="G481" s="536">
        <v>1.2</v>
      </c>
      <c r="H481" s="536">
        <v>0</v>
      </c>
      <c r="I481" s="523">
        <f t="shared" si="62"/>
        <v>3.54</v>
      </c>
      <c r="J481" s="524" t="s">
        <v>102</v>
      </c>
      <c r="K481" s="111"/>
      <c r="L481" s="81"/>
      <c r="M481" s="111"/>
    </row>
    <row r="482" spans="1:13" s="525" customFormat="1" ht="16.5" customHeight="1">
      <c r="A482" s="81"/>
      <c r="B482" s="538"/>
      <c r="C482" s="540">
        <v>1</v>
      </c>
      <c r="D482" s="541" t="s">
        <v>265</v>
      </c>
      <c r="E482" s="556">
        <v>1</v>
      </c>
      <c r="F482" s="536">
        <v>1.2</v>
      </c>
      <c r="G482" s="536">
        <v>0</v>
      </c>
      <c r="H482" s="536">
        <v>0.15</v>
      </c>
      <c r="I482" s="523">
        <f t="shared" si="62"/>
        <v>0.18</v>
      </c>
      <c r="J482" s="524" t="s">
        <v>102</v>
      </c>
      <c r="K482" s="111"/>
      <c r="L482" s="81"/>
      <c r="M482" s="111"/>
    </row>
    <row r="483" spans="1:13" s="525" customFormat="1" ht="16.5" customHeight="1">
      <c r="A483" s="81"/>
      <c r="B483" s="538"/>
      <c r="C483" s="540">
        <v>1</v>
      </c>
      <c r="D483" s="541" t="s">
        <v>265</v>
      </c>
      <c r="E483" s="556">
        <v>1</v>
      </c>
      <c r="F483" s="536">
        <v>0.9</v>
      </c>
      <c r="G483" s="536">
        <v>0</v>
      </c>
      <c r="H483" s="536">
        <v>0.15</v>
      </c>
      <c r="I483" s="523">
        <f t="shared" si="62"/>
        <v>0.14000000000000001</v>
      </c>
      <c r="J483" s="524" t="s">
        <v>102</v>
      </c>
      <c r="K483" s="111"/>
      <c r="L483" s="81"/>
      <c r="M483" s="111"/>
    </row>
    <row r="484" spans="1:13" s="525" customFormat="1" ht="16.5" customHeight="1">
      <c r="A484" s="81"/>
      <c r="B484" s="538"/>
      <c r="C484" s="540">
        <v>1</v>
      </c>
      <c r="D484" s="541" t="s">
        <v>265</v>
      </c>
      <c r="E484" s="556">
        <v>1</v>
      </c>
      <c r="F484" s="536">
        <v>0.6</v>
      </c>
      <c r="G484" s="536">
        <v>0</v>
      </c>
      <c r="H484" s="536">
        <v>0.15</v>
      </c>
      <c r="I484" s="523">
        <f t="shared" si="62"/>
        <v>0.09</v>
      </c>
      <c r="J484" s="524" t="s">
        <v>102</v>
      </c>
      <c r="K484" s="111"/>
      <c r="L484" s="81"/>
      <c r="M484" s="111"/>
    </row>
    <row r="485" spans="1:13" s="525" customFormat="1" ht="16.5" customHeight="1">
      <c r="A485" s="81"/>
      <c r="B485" s="538"/>
      <c r="C485" s="540">
        <v>1</v>
      </c>
      <c r="D485" s="541" t="s">
        <v>265</v>
      </c>
      <c r="E485" s="556">
        <v>1</v>
      </c>
      <c r="F485" s="536">
        <v>0.3</v>
      </c>
      <c r="G485" s="536">
        <v>0</v>
      </c>
      <c r="H485" s="536">
        <v>0.15</v>
      </c>
      <c r="I485" s="523">
        <f t="shared" si="62"/>
        <v>0.05</v>
      </c>
      <c r="J485" s="524" t="s">
        <v>102</v>
      </c>
      <c r="K485" s="111"/>
      <c r="L485" s="81"/>
      <c r="M485" s="111"/>
    </row>
    <row r="486" spans="1:13" s="525" customFormat="1" ht="16.5" customHeight="1">
      <c r="A486" s="81"/>
      <c r="B486" s="538" t="s">
        <v>2346</v>
      </c>
      <c r="C486" s="540">
        <v>1</v>
      </c>
      <c r="D486" s="541" t="s">
        <v>265</v>
      </c>
      <c r="E486" s="556">
        <v>1</v>
      </c>
      <c r="F486" s="536">
        <v>1.1499999999999999</v>
      </c>
      <c r="G486" s="536">
        <v>0</v>
      </c>
      <c r="H486" s="536">
        <v>0.75</v>
      </c>
      <c r="I486" s="523">
        <f t="shared" si="62"/>
        <v>0.86</v>
      </c>
      <c r="J486" s="524" t="s">
        <v>102</v>
      </c>
      <c r="K486" s="111"/>
      <c r="L486" s="81"/>
      <c r="M486" s="111"/>
    </row>
    <row r="487" spans="1:13" s="525" customFormat="1" ht="16.5" customHeight="1">
      <c r="A487" s="81"/>
      <c r="B487" s="538" t="s">
        <v>2347</v>
      </c>
      <c r="C487" s="540">
        <v>1</v>
      </c>
      <c r="D487" s="541" t="s">
        <v>265</v>
      </c>
      <c r="E487" s="556">
        <v>1</v>
      </c>
      <c r="F487" s="536">
        <v>2.95</v>
      </c>
      <c r="G487" s="536">
        <v>0</v>
      </c>
      <c r="H487" s="569">
        <f>0.75/2</f>
        <v>0.375</v>
      </c>
      <c r="I487" s="523">
        <f t="shared" si="62"/>
        <v>1.1100000000000001</v>
      </c>
      <c r="J487" s="524" t="s">
        <v>102</v>
      </c>
      <c r="K487" s="111"/>
      <c r="L487" s="81"/>
      <c r="M487" s="111"/>
    </row>
    <row r="488" spans="1:13" s="525" customFormat="1" ht="16.5" customHeight="1">
      <c r="A488" s="81"/>
      <c r="B488" s="538" t="s">
        <v>2331</v>
      </c>
      <c r="C488" s="540">
        <v>1</v>
      </c>
      <c r="D488" s="541" t="s">
        <v>265</v>
      </c>
      <c r="E488" s="556">
        <v>2</v>
      </c>
      <c r="F488" s="536">
        <v>8.4499999999999993</v>
      </c>
      <c r="G488" s="536">
        <v>0</v>
      </c>
      <c r="H488" s="536">
        <v>0.7</v>
      </c>
      <c r="I488" s="523">
        <f t="shared" si="62"/>
        <v>11.83</v>
      </c>
      <c r="J488" s="524" t="s">
        <v>102</v>
      </c>
      <c r="K488" s="111"/>
      <c r="L488" s="81"/>
      <c r="M488" s="111"/>
    </row>
    <row r="489" spans="1:13" s="525" customFormat="1" ht="16.5" customHeight="1">
      <c r="A489" s="81"/>
      <c r="B489" s="538"/>
      <c r="C489" s="540">
        <v>2</v>
      </c>
      <c r="D489" s="541" t="s">
        <v>265</v>
      </c>
      <c r="E489" s="556">
        <v>2</v>
      </c>
      <c r="F489" s="536">
        <v>1.5</v>
      </c>
      <c r="G489" s="536">
        <v>0</v>
      </c>
      <c r="H489" s="536">
        <v>0.7</v>
      </c>
      <c r="I489" s="523">
        <f t="shared" si="62"/>
        <v>4.2</v>
      </c>
      <c r="J489" s="524" t="s">
        <v>102</v>
      </c>
      <c r="K489" s="111"/>
      <c r="L489" s="81"/>
      <c r="M489" s="111"/>
    </row>
    <row r="490" spans="1:13" s="525" customFormat="1" ht="16.5" customHeight="1">
      <c r="A490" s="81"/>
      <c r="B490" s="526"/>
      <c r="C490" s="527"/>
      <c r="D490" s="528"/>
      <c r="E490" s="529"/>
      <c r="F490" s="530"/>
      <c r="G490" s="530"/>
      <c r="H490" s="530"/>
      <c r="I490" s="531"/>
      <c r="J490" s="532"/>
      <c r="K490" s="111"/>
      <c r="L490" s="517"/>
      <c r="M490" s="111"/>
    </row>
    <row r="491" spans="1:13">
      <c r="A491" s="81"/>
      <c r="B491" s="111"/>
      <c r="C491" s="112"/>
      <c r="D491" s="533"/>
      <c r="E491" s="534"/>
      <c r="F491" s="113"/>
      <c r="G491" s="539"/>
      <c r="H491" s="81"/>
      <c r="I491" s="531">
        <f>SUM(I476:I490)</f>
        <v>148.20000000000002</v>
      </c>
      <c r="J491" s="532" t="s">
        <v>102</v>
      </c>
      <c r="K491" s="12">
        <f>'DATA 2024-25'!E926</f>
        <v>255.64</v>
      </c>
      <c r="L491" s="517" t="s">
        <v>267</v>
      </c>
      <c r="M491" s="11">
        <f>ROUND(I491*K491,0)</f>
        <v>37886</v>
      </c>
    </row>
    <row r="492" spans="1:13" ht="72" hidden="1" customHeight="1">
      <c r="A492" s="81">
        <v>8</v>
      </c>
      <c r="B492" s="918" t="s">
        <v>2309</v>
      </c>
      <c r="C492" s="919"/>
      <c r="D492" s="919"/>
      <c r="E492" s="919"/>
      <c r="F492" s="919"/>
      <c r="G492" s="919"/>
      <c r="H492" s="920"/>
      <c r="I492" s="515"/>
      <c r="J492" s="516"/>
      <c r="K492" s="81"/>
      <c r="L492" s="517"/>
      <c r="M492" s="110"/>
    </row>
    <row r="493" spans="1:13" s="525" customFormat="1" ht="16.5" hidden="1" customHeight="1">
      <c r="A493" s="81"/>
      <c r="B493" s="578"/>
      <c r="C493" s="579">
        <v>4</v>
      </c>
      <c r="D493" s="580" t="s">
        <v>265</v>
      </c>
      <c r="E493" s="581">
        <v>2.25</v>
      </c>
      <c r="F493" s="239">
        <v>1</v>
      </c>
      <c r="G493" s="239">
        <v>0</v>
      </c>
      <c r="H493" s="239">
        <v>2.1</v>
      </c>
      <c r="I493" s="582">
        <f>ROUND(IF(AND(F493:H493),C493*E493*F493*G493*H493,IF(AND(F493,G493),C493*E493*F493*G493,IF(AND(F493,H493),C493*E493*F493*H493,IF(AND(G493,H493),C493*E493*G493*H493,IF(F493,C493*E493*F493,IF(G493,C493*E493*G493,IF(H493,C493*E493*H493,C493*E493))))))),2)</f>
        <v>18.899999999999999</v>
      </c>
      <c r="J493" s="583" t="s">
        <v>102</v>
      </c>
      <c r="K493" s="111"/>
      <c r="L493" s="81"/>
      <c r="M493" s="111"/>
    </row>
    <row r="494" spans="1:13" s="525" customFormat="1" ht="16.5" hidden="1" customHeight="1">
      <c r="A494" s="81"/>
      <c r="B494" s="526"/>
      <c r="C494" s="527"/>
      <c r="D494" s="528"/>
      <c r="E494" s="577"/>
      <c r="F494" s="530"/>
      <c r="G494" s="530"/>
      <c r="H494" s="530"/>
      <c r="I494" s="531"/>
      <c r="J494" s="532"/>
      <c r="K494" s="111"/>
      <c r="L494" s="517"/>
      <c r="M494" s="111"/>
    </row>
    <row r="495" spans="1:13" hidden="1">
      <c r="A495" s="81"/>
      <c r="B495" s="111"/>
      <c r="C495" s="112"/>
      <c r="D495" s="533"/>
      <c r="E495" s="534"/>
      <c r="F495" s="113"/>
      <c r="G495" s="539"/>
      <c r="H495" s="81"/>
      <c r="I495" s="531"/>
      <c r="J495" s="532" t="s">
        <v>102</v>
      </c>
      <c r="K495" s="12">
        <f>'DATA 2024-25'!G944</f>
        <v>162.18</v>
      </c>
      <c r="L495" s="517" t="s">
        <v>267</v>
      </c>
      <c r="M495" s="11">
        <f>ROUND(I495*K495,0)</f>
        <v>0</v>
      </c>
    </row>
    <row r="496" spans="1:13" ht="181.5" hidden="1" customHeight="1">
      <c r="A496" s="81">
        <v>7</v>
      </c>
      <c r="B496" s="910" t="s">
        <v>952</v>
      </c>
      <c r="C496" s="910"/>
      <c r="D496" s="910"/>
      <c r="E496" s="910"/>
      <c r="F496" s="910"/>
      <c r="G496" s="910"/>
      <c r="H496" s="910"/>
      <c r="I496" s="515"/>
      <c r="J496" s="516"/>
      <c r="K496" s="81"/>
      <c r="L496" s="517"/>
      <c r="M496" s="110"/>
    </row>
    <row r="497" spans="1:13" s="525" customFormat="1" ht="16.5" hidden="1" customHeight="1">
      <c r="A497" s="81"/>
      <c r="B497" s="526" t="s">
        <v>2138</v>
      </c>
      <c r="C497" s="527">
        <v>1</v>
      </c>
      <c r="D497" s="528" t="s">
        <v>265</v>
      </c>
      <c r="E497" s="577">
        <v>2.25</v>
      </c>
      <c r="F497" s="530">
        <v>1.2</v>
      </c>
      <c r="G497" s="530">
        <v>0</v>
      </c>
      <c r="H497" s="530">
        <v>2.1</v>
      </c>
      <c r="I497" s="531">
        <f t="shared" ref="I497" si="63">ROUND(IF(AND(F497:H497),C497*E497*F497*G497*H497,IF(AND(F497,G497),C497*E497*F497*G497,IF(AND(F497,H497),C497*E497*F497*H497,IF(AND(G497,H497),C497*E497*G497*H497,IF(F497,C497*E497*F497,IF(G497,C497*E497*G497,IF(H497,C497*E497*H497,C497*E497))))))),2)</f>
        <v>5.67</v>
      </c>
      <c r="J497" s="537" t="s">
        <v>102</v>
      </c>
      <c r="K497" s="111"/>
      <c r="L497" s="517"/>
      <c r="M497" s="111"/>
    </row>
    <row r="498" spans="1:13" s="525" customFormat="1" ht="16.5" hidden="1" customHeight="1">
      <c r="A498" s="81"/>
      <c r="B498" s="526"/>
      <c r="C498" s="527"/>
      <c r="D498" s="528"/>
      <c r="E498" s="577"/>
      <c r="F498" s="530"/>
      <c r="G498" s="530"/>
      <c r="H498" s="530"/>
      <c r="I498" s="531"/>
      <c r="J498" s="532"/>
      <c r="K498" s="111"/>
      <c r="L498" s="517"/>
      <c r="M498" s="111"/>
    </row>
    <row r="499" spans="1:13" hidden="1">
      <c r="A499" s="81"/>
      <c r="B499" s="111"/>
      <c r="C499" s="112"/>
      <c r="D499" s="533"/>
      <c r="E499" s="534"/>
      <c r="F499" s="113"/>
      <c r="G499" s="539"/>
      <c r="H499" s="81"/>
      <c r="I499" s="531"/>
      <c r="J499" s="532" t="s">
        <v>102</v>
      </c>
      <c r="K499" s="12">
        <f>'DATA 2024-25'!G955</f>
        <v>1090.98</v>
      </c>
      <c r="L499" s="517" t="s">
        <v>267</v>
      </c>
      <c r="M499" s="11">
        <f>ROUND(I499*K499,0)</f>
        <v>0</v>
      </c>
    </row>
    <row r="500" spans="1:13" ht="111.75" hidden="1" customHeight="1">
      <c r="A500" s="81">
        <v>30</v>
      </c>
      <c r="B500" s="910" t="s">
        <v>665</v>
      </c>
      <c r="C500" s="910"/>
      <c r="D500" s="910"/>
      <c r="E500" s="910"/>
      <c r="F500" s="910"/>
      <c r="G500" s="910"/>
      <c r="H500" s="910"/>
      <c r="I500" s="515"/>
      <c r="J500" s="516"/>
      <c r="K500" s="81"/>
      <c r="L500" s="517"/>
      <c r="M500" s="110"/>
    </row>
    <row r="501" spans="1:13" s="525" customFormat="1" ht="16.5" hidden="1" customHeight="1">
      <c r="A501" s="81"/>
      <c r="B501" s="111" t="s">
        <v>1396</v>
      </c>
      <c r="C501" s="547"/>
      <c r="D501" s="548"/>
      <c r="E501" s="549"/>
      <c r="F501" s="550"/>
      <c r="G501" s="550"/>
      <c r="H501" s="551"/>
      <c r="I501" s="552"/>
      <c r="J501" s="532"/>
      <c r="K501" s="111"/>
      <c r="L501" s="81"/>
      <c r="M501" s="111"/>
    </row>
    <row r="502" spans="1:13" s="525" customFormat="1" ht="16.5" hidden="1" customHeight="1">
      <c r="A502" s="81"/>
      <c r="B502" s="526"/>
      <c r="C502" s="527">
        <v>1</v>
      </c>
      <c r="D502" s="528" t="s">
        <v>265</v>
      </c>
      <c r="E502" s="529">
        <v>1</v>
      </c>
      <c r="F502" s="584">
        <v>2.8</v>
      </c>
      <c r="G502" s="530">
        <v>2</v>
      </c>
      <c r="H502" s="530">
        <v>0</v>
      </c>
      <c r="I502" s="531">
        <f>ROUND(IF(AND(F502:H502),C502*E502*F502*G502*H502,IF(AND(F502,G502),C502*E502*F502*G502,IF(AND(F502,H502),C502*E502*F502*H502,IF(AND(G502,H502),C502*E502*G502*H502,IF(F502,C502*E502*F502,IF(G502,C502*E502*G502,IF(H502,C502*E502*H502,C502*E502))))))),2)</f>
        <v>5.6</v>
      </c>
      <c r="J502" s="532" t="s">
        <v>102</v>
      </c>
      <c r="K502" s="111"/>
      <c r="L502" s="81"/>
      <c r="M502" s="111"/>
    </row>
    <row r="503" spans="1:13" s="525" customFormat="1" ht="16.5" hidden="1" customHeight="1">
      <c r="A503" s="81"/>
      <c r="B503" s="526"/>
      <c r="C503" s="527"/>
      <c r="D503" s="528"/>
      <c r="E503" s="529"/>
      <c r="F503" s="584"/>
      <c r="G503" s="530"/>
      <c r="H503" s="530"/>
      <c r="I503" s="531"/>
      <c r="J503" s="532"/>
      <c r="K503" s="111"/>
      <c r="L503" s="517"/>
      <c r="M503" s="111"/>
    </row>
    <row r="504" spans="1:13" hidden="1">
      <c r="A504" s="81"/>
      <c r="B504" s="111"/>
      <c r="C504" s="112"/>
      <c r="D504" s="533"/>
      <c r="E504" s="534"/>
      <c r="F504" s="113"/>
      <c r="G504" s="539"/>
      <c r="H504" s="81"/>
      <c r="I504" s="531"/>
      <c r="J504" s="532" t="s">
        <v>102</v>
      </c>
      <c r="K504" s="12">
        <f>'DATA 2024-25'!G962</f>
        <v>4481</v>
      </c>
      <c r="L504" s="517" t="s">
        <v>267</v>
      </c>
      <c r="M504" s="11">
        <f>ROUND(I504*K504,0)</f>
        <v>0</v>
      </c>
    </row>
    <row r="505" spans="1:13" ht="66" hidden="1" customHeight="1">
      <c r="A505" s="81">
        <v>12</v>
      </c>
      <c r="B505" s="918" t="s">
        <v>953</v>
      </c>
      <c r="C505" s="919"/>
      <c r="D505" s="919"/>
      <c r="E505" s="919"/>
      <c r="F505" s="919"/>
      <c r="G505" s="919"/>
      <c r="H505" s="920"/>
      <c r="I505" s="515"/>
      <c r="J505" s="516"/>
      <c r="K505" s="81"/>
      <c r="L505" s="517"/>
      <c r="M505" s="110"/>
    </row>
    <row r="506" spans="1:13" s="525" customFormat="1" ht="16.5" hidden="1" customHeight="1">
      <c r="A506" s="81"/>
      <c r="B506" s="526"/>
      <c r="C506" s="527"/>
      <c r="D506" s="528"/>
      <c r="E506" s="529"/>
      <c r="F506" s="530"/>
      <c r="G506" s="530"/>
      <c r="H506" s="530"/>
      <c r="I506" s="531">
        <v>40</v>
      </c>
      <c r="J506" s="532" t="s">
        <v>102</v>
      </c>
      <c r="K506" s="111"/>
      <c r="L506" s="81"/>
      <c r="M506" s="111"/>
    </row>
    <row r="507" spans="1:13" s="525" customFormat="1" ht="16.5" hidden="1" customHeight="1">
      <c r="A507" s="81"/>
      <c r="B507" s="526"/>
      <c r="C507" s="527"/>
      <c r="D507" s="528"/>
      <c r="E507" s="577"/>
      <c r="F507" s="530"/>
      <c r="G507" s="530"/>
      <c r="H507" s="530"/>
      <c r="I507" s="531"/>
      <c r="J507" s="532"/>
      <c r="K507" s="111"/>
      <c r="L507" s="517"/>
      <c r="M507" s="111"/>
    </row>
    <row r="508" spans="1:13" hidden="1">
      <c r="A508" s="81"/>
      <c r="B508" s="111"/>
      <c r="C508" s="112"/>
      <c r="D508" s="533"/>
      <c r="E508" s="534"/>
      <c r="F508" s="113"/>
      <c r="G508" s="539"/>
      <c r="H508" s="81"/>
      <c r="I508" s="531"/>
      <c r="J508" s="532" t="s">
        <v>102</v>
      </c>
      <c r="K508" s="12">
        <f>'DATA 2024-25'!G959</f>
        <v>0</v>
      </c>
      <c r="L508" s="517" t="s">
        <v>267</v>
      </c>
      <c r="M508" s="11">
        <f>ROUND(I508*K508,0)</f>
        <v>0</v>
      </c>
    </row>
    <row r="509" spans="1:13" ht="36.75" hidden="1" customHeight="1">
      <c r="A509" s="81">
        <v>13</v>
      </c>
      <c r="B509" s="910" t="s">
        <v>898</v>
      </c>
      <c r="C509" s="910"/>
      <c r="D509" s="910"/>
      <c r="E509" s="910"/>
      <c r="F509" s="910"/>
      <c r="G509" s="910"/>
      <c r="H509" s="910"/>
      <c r="I509" s="515"/>
      <c r="J509" s="516"/>
      <c r="K509" s="81"/>
      <c r="L509" s="517"/>
      <c r="M509" s="110"/>
    </row>
    <row r="510" spans="1:13" s="525" customFormat="1" ht="16.5" hidden="1" customHeight="1">
      <c r="A510" s="81"/>
      <c r="B510" s="526"/>
      <c r="C510" s="527">
        <v>2</v>
      </c>
      <c r="D510" s="528" t="s">
        <v>265</v>
      </c>
      <c r="E510" s="529">
        <v>7</v>
      </c>
      <c r="F510" s="530">
        <v>0</v>
      </c>
      <c r="G510" s="530">
        <v>0</v>
      </c>
      <c r="H510" s="530">
        <v>0</v>
      </c>
      <c r="I510" s="585">
        <f t="shared" ref="I510" si="64">ROUND(IF(AND(F510:H510),C510*E510*F510*G510*H510,IF(AND(F510,G510),C510*E510*F510*G510,IF(AND(F510,H510),C510*E510*F510*H510,IF(AND(G510,H510),C510*E510*G510*H510,IF(F510,C510*E510*F510,IF(G510,C510*E510*G510,IF(H510,C510*E510*H510,C510*E510))))))),2)</f>
        <v>14</v>
      </c>
      <c r="J510" s="532" t="s">
        <v>114</v>
      </c>
      <c r="K510" s="111"/>
      <c r="L510" s="81"/>
      <c r="M510" s="111"/>
    </row>
    <row r="511" spans="1:13" hidden="1">
      <c r="A511" s="81"/>
      <c r="B511" s="111"/>
      <c r="C511" s="112"/>
      <c r="D511" s="533"/>
      <c r="E511" s="534"/>
      <c r="F511" s="113"/>
      <c r="G511" s="539"/>
      <c r="H511" s="81"/>
      <c r="I511" s="585"/>
      <c r="J511" s="532" t="s">
        <v>114</v>
      </c>
      <c r="K511" s="12">
        <f>'DATA 2024-25'!G971</f>
        <v>1040</v>
      </c>
      <c r="L511" s="517" t="s">
        <v>268</v>
      </c>
      <c r="M511" s="11">
        <f>ROUND(I511*K511,0)</f>
        <v>0</v>
      </c>
    </row>
    <row r="512" spans="1:13" ht="33" hidden="1" customHeight="1">
      <c r="A512" s="81">
        <v>32</v>
      </c>
      <c r="B512" s="910" t="s">
        <v>1014</v>
      </c>
      <c r="C512" s="910"/>
      <c r="D512" s="910"/>
      <c r="E512" s="910"/>
      <c r="F512" s="910"/>
      <c r="G512" s="910"/>
      <c r="H512" s="910"/>
      <c r="I512" s="515"/>
      <c r="J512" s="516"/>
      <c r="K512" s="81"/>
      <c r="L512" s="517"/>
      <c r="M512" s="110"/>
    </row>
    <row r="513" spans="1:13" s="525" customFormat="1" ht="16.5" hidden="1" customHeight="1">
      <c r="A513" s="81"/>
      <c r="B513" s="111" t="s">
        <v>1393</v>
      </c>
      <c r="C513" s="547"/>
      <c r="D513" s="548"/>
      <c r="E513" s="549"/>
      <c r="F513" s="550"/>
      <c r="G513" s="550"/>
      <c r="H513" s="551"/>
      <c r="I513" s="552"/>
      <c r="J513" s="532"/>
      <c r="K513" s="111"/>
      <c r="L513" s="81"/>
      <c r="M513" s="111"/>
    </row>
    <row r="514" spans="1:13" s="525" customFormat="1" ht="16.5" hidden="1" customHeight="1">
      <c r="A514" s="81"/>
      <c r="B514" s="526"/>
      <c r="C514" s="527">
        <v>1</v>
      </c>
      <c r="D514" s="528" t="s">
        <v>265</v>
      </c>
      <c r="E514" s="529">
        <v>1</v>
      </c>
      <c r="F514" s="530">
        <v>0</v>
      </c>
      <c r="G514" s="530">
        <v>0</v>
      </c>
      <c r="H514" s="530">
        <v>0</v>
      </c>
      <c r="I514" s="531">
        <f t="shared" ref="I514" si="65">ROUND(IF(AND(F514:H514),C514*E514*F514*G514*H514,IF(AND(F514,G514),C514*E514*F514*G514,IF(AND(F514,H514),C514*E514*F514*H514,IF(AND(G514,H514),C514*E514*G514*H514,IF(F514,C514*E514*F514,IF(G514,C514*E514*G514,IF(H514,C514*E514*H514,C514*E514))))))),2)</f>
        <v>1</v>
      </c>
      <c r="J514" s="532" t="s">
        <v>114</v>
      </c>
      <c r="K514" s="111"/>
      <c r="L514" s="81"/>
      <c r="M514" s="111"/>
    </row>
    <row r="515" spans="1:13" hidden="1">
      <c r="A515" s="81"/>
      <c r="B515" s="111"/>
      <c r="C515" s="112"/>
      <c r="D515" s="533"/>
      <c r="E515" s="534"/>
      <c r="F515" s="113"/>
      <c r="G515" s="539"/>
      <c r="H515" s="81"/>
      <c r="I515" s="531"/>
      <c r="J515" s="532" t="s">
        <v>114</v>
      </c>
      <c r="K515" s="12">
        <f>'DATA 2024-25'!G980</f>
        <v>780</v>
      </c>
      <c r="L515" s="517" t="s">
        <v>268</v>
      </c>
      <c r="M515" s="11">
        <f>ROUND(I515*K515,0)</f>
        <v>0</v>
      </c>
    </row>
    <row r="516" spans="1:13" ht="36.75" hidden="1" customHeight="1">
      <c r="A516" s="81">
        <v>14</v>
      </c>
      <c r="B516" s="910" t="s">
        <v>1224</v>
      </c>
      <c r="C516" s="910"/>
      <c r="D516" s="910"/>
      <c r="E516" s="910"/>
      <c r="F516" s="910"/>
      <c r="G516" s="910"/>
      <c r="H516" s="910"/>
      <c r="I516" s="515"/>
      <c r="J516" s="516"/>
      <c r="K516" s="81"/>
      <c r="L516" s="517"/>
      <c r="M516" s="110"/>
    </row>
    <row r="517" spans="1:13" s="525" customFormat="1" ht="16.5" hidden="1" customHeight="1">
      <c r="A517" s="81"/>
      <c r="B517" s="526"/>
      <c r="C517" s="527">
        <v>1</v>
      </c>
      <c r="D517" s="528" t="s">
        <v>265</v>
      </c>
      <c r="E517" s="529">
        <v>2</v>
      </c>
      <c r="F517" s="530">
        <v>0</v>
      </c>
      <c r="G517" s="530">
        <v>0</v>
      </c>
      <c r="H517" s="530">
        <v>0</v>
      </c>
      <c r="I517" s="585">
        <f t="shared" ref="I517" si="66">ROUND(IF(AND(F517:H517),C517*E517*F517*G517*H517,IF(AND(F517,G517),C517*E517*F517*G517,IF(AND(F517,H517),C517*E517*F517*H517,IF(AND(G517,H517),C517*E517*G517*H517,IF(F517,C517*E517*F517,IF(G517,C517*E517*G517,IF(H517,C517*E517*H517,C517*E517))))))),2)</f>
        <v>2</v>
      </c>
      <c r="J517" s="532" t="s">
        <v>114</v>
      </c>
      <c r="K517" s="111"/>
      <c r="L517" s="517"/>
      <c r="M517" s="111"/>
    </row>
    <row r="518" spans="1:13" hidden="1">
      <c r="A518" s="81"/>
      <c r="B518" s="111"/>
      <c r="C518" s="112"/>
      <c r="D518" s="533"/>
      <c r="E518" s="534"/>
      <c r="F518" s="113"/>
      <c r="G518" s="539"/>
      <c r="H518" s="81"/>
      <c r="I518" s="585"/>
      <c r="J518" s="532" t="s">
        <v>114</v>
      </c>
      <c r="K518" s="12">
        <f>'DATA 2024-25'!G984</f>
        <v>250</v>
      </c>
      <c r="L518" s="517" t="s">
        <v>268</v>
      </c>
      <c r="M518" s="11">
        <f>ROUND(I518*K518,0)</f>
        <v>0</v>
      </c>
    </row>
    <row r="519" spans="1:13" ht="69.75" customHeight="1">
      <c r="A519" s="81">
        <v>17</v>
      </c>
      <c r="B519" s="910" t="s">
        <v>122</v>
      </c>
      <c r="C519" s="910"/>
      <c r="D519" s="910"/>
      <c r="E519" s="910"/>
      <c r="F519" s="910"/>
      <c r="G519" s="910"/>
      <c r="H519" s="910"/>
      <c r="I519" s="515"/>
      <c r="J519" s="516"/>
      <c r="K519" s="81"/>
      <c r="L519" s="517"/>
      <c r="M519" s="110"/>
    </row>
    <row r="520" spans="1:13" s="525" customFormat="1" ht="16.5" customHeight="1">
      <c r="A520" s="81"/>
      <c r="B520" s="111"/>
      <c r="C520" s="852"/>
      <c r="D520" s="853"/>
      <c r="E520" s="854"/>
      <c r="F520" s="855"/>
      <c r="G520" s="855"/>
      <c r="H520" s="855"/>
      <c r="I520" s="856">
        <v>1</v>
      </c>
      <c r="J520" s="524" t="s">
        <v>29</v>
      </c>
      <c r="K520" s="111"/>
      <c r="L520" s="81"/>
      <c r="M520" s="111"/>
    </row>
    <row r="521" spans="1:13" s="525" customFormat="1" ht="16.5" customHeight="1">
      <c r="A521" s="81"/>
      <c r="B521" s="111"/>
      <c r="C521" s="852"/>
      <c r="D521" s="853"/>
      <c r="E521" s="854"/>
      <c r="F521" s="855"/>
      <c r="G521" s="855"/>
      <c r="H521" s="855"/>
      <c r="I521" s="856"/>
      <c r="J521" s="524"/>
      <c r="K521" s="111"/>
      <c r="L521" s="81"/>
      <c r="M521" s="111"/>
    </row>
    <row r="522" spans="1:13">
      <c r="A522" s="81"/>
      <c r="B522" s="111"/>
      <c r="C522" s="112"/>
      <c r="D522" s="533"/>
      <c r="E522" s="534"/>
      <c r="F522" s="113"/>
      <c r="G522" s="539"/>
      <c r="H522" s="81"/>
      <c r="I522" s="856">
        <f>SUM(I520:I521)</f>
        <v>1</v>
      </c>
      <c r="J522" s="524" t="s">
        <v>29</v>
      </c>
      <c r="K522" s="857">
        <f>'DATA 2024-25'!E335</f>
        <v>86045.18</v>
      </c>
      <c r="L522" s="517" t="s">
        <v>275</v>
      </c>
      <c r="M522" s="11">
        <f>ROUND(I522*K522,0)</f>
        <v>86045</v>
      </c>
    </row>
    <row r="523" spans="1:13" hidden="1">
      <c r="A523" s="81"/>
      <c r="B523" s="125" t="s">
        <v>1828</v>
      </c>
      <c r="C523" s="111"/>
      <c r="D523" s="111"/>
      <c r="E523" s="586"/>
      <c r="F523" s="81"/>
      <c r="G523" s="111"/>
      <c r="H523" s="81"/>
      <c r="I523" s="531"/>
      <c r="J523" s="587"/>
      <c r="K523" s="12"/>
      <c r="L523" s="517"/>
      <c r="M523" s="11"/>
    </row>
    <row r="524" spans="1:13" ht="93.75" hidden="1" customHeight="1">
      <c r="A524" s="81">
        <v>1</v>
      </c>
      <c r="B524" s="910" t="s">
        <v>2244</v>
      </c>
      <c r="C524" s="910"/>
      <c r="D524" s="910"/>
      <c r="E524" s="910"/>
      <c r="F524" s="910"/>
      <c r="G524" s="910"/>
      <c r="H524" s="910"/>
      <c r="I524" s="515"/>
      <c r="J524" s="516"/>
      <c r="K524" s="81"/>
      <c r="L524" s="517"/>
      <c r="M524" s="110"/>
    </row>
    <row r="525" spans="1:13" s="525" customFormat="1" ht="16.5" hidden="1" customHeight="1">
      <c r="A525" s="81"/>
      <c r="B525" s="111" t="s">
        <v>1810</v>
      </c>
      <c r="C525" s="515">
        <v>1</v>
      </c>
      <c r="D525" s="553" t="s">
        <v>265</v>
      </c>
      <c r="E525" s="534">
        <v>5</v>
      </c>
      <c r="F525" s="113">
        <v>0.23</v>
      </c>
      <c r="G525" s="113">
        <v>0.3</v>
      </c>
      <c r="H525" s="113">
        <v>2.75</v>
      </c>
      <c r="I525" s="523">
        <f>ROUND(IF(AND(F525:H525),C525*E525*F525*G525*H525,IF(AND(F525,G525),C525*E525*F525*G525,IF(AND(F525,H525),C525*E525*F525*H525,IF(AND(G525,H525),C525*E525*G525*H525,IF(F525,C525*E525*F525,IF(G525,C525*E525*G525,IF(H525,C525*E525*H525,C525*E525))))))),2)</f>
        <v>0.95</v>
      </c>
      <c r="J525" s="532" t="s">
        <v>5</v>
      </c>
      <c r="K525" s="111"/>
      <c r="L525" s="81"/>
      <c r="M525" s="111"/>
    </row>
    <row r="526" spans="1:13" s="525" customFormat="1" ht="16.5" hidden="1" customHeight="1">
      <c r="A526" s="81"/>
      <c r="B526" s="111"/>
      <c r="C526" s="515">
        <v>1</v>
      </c>
      <c r="D526" s="553" t="s">
        <v>265</v>
      </c>
      <c r="E526" s="534">
        <v>8</v>
      </c>
      <c r="F526" s="113">
        <v>0.23</v>
      </c>
      <c r="G526" s="113">
        <v>0.45</v>
      </c>
      <c r="H526" s="113">
        <v>2.75</v>
      </c>
      <c r="I526" s="523">
        <f>ROUND(IF(AND(F526:H526),C526*E526*F526*G526*H526,IF(AND(F526,G526),C526*E526*F526*G526,IF(AND(F526,H526),C526*E526*F526*H526,IF(AND(G526,H526),C526*E526*G526*H526,IF(F526,C526*E526*F526,IF(G526,C526*E526*G526,IF(H526,C526*E526*H526,C526*E526))))))),2)</f>
        <v>2.2799999999999998</v>
      </c>
      <c r="J526" s="532" t="s">
        <v>5</v>
      </c>
      <c r="K526" s="111"/>
      <c r="L526" s="81"/>
      <c r="M526" s="111"/>
    </row>
    <row r="527" spans="1:13" s="525" customFormat="1" ht="16.5" hidden="1" customHeight="1">
      <c r="A527" s="81"/>
      <c r="B527" s="526"/>
      <c r="C527" s="527"/>
      <c r="D527" s="528"/>
      <c r="E527" s="529"/>
      <c r="F527" s="530"/>
      <c r="G527" s="530"/>
      <c r="H527" s="530"/>
      <c r="I527" s="531"/>
      <c r="J527" s="532"/>
      <c r="K527" s="111"/>
      <c r="L527" s="517"/>
      <c r="M527" s="111"/>
    </row>
    <row r="528" spans="1:13" hidden="1">
      <c r="A528" s="81"/>
      <c r="B528" s="111"/>
      <c r="C528" s="112"/>
      <c r="D528" s="533"/>
      <c r="E528" s="534"/>
      <c r="F528" s="113"/>
      <c r="G528" s="539"/>
      <c r="H528" s="81"/>
      <c r="I528" s="531"/>
      <c r="J528" s="532" t="s">
        <v>5</v>
      </c>
      <c r="K528" s="12">
        <f>'DATA 2024-25'!F191</f>
        <v>13542.279999999999</v>
      </c>
      <c r="L528" s="517" t="s">
        <v>266</v>
      </c>
      <c r="M528" s="11">
        <f>ROUND(I528*K528,0)</f>
        <v>0</v>
      </c>
    </row>
    <row r="529" spans="1:13" ht="17.25" hidden="1" customHeight="1">
      <c r="A529" s="81">
        <v>2</v>
      </c>
      <c r="B529" s="910" t="s">
        <v>295</v>
      </c>
      <c r="C529" s="910"/>
      <c r="D529" s="910"/>
      <c r="E529" s="910"/>
      <c r="F529" s="910"/>
      <c r="G529" s="910"/>
      <c r="H529" s="910"/>
      <c r="I529" s="515"/>
      <c r="J529" s="516"/>
      <c r="K529" s="81"/>
      <c r="L529" s="517"/>
      <c r="M529" s="110"/>
    </row>
    <row r="530" spans="1:13" s="525" customFormat="1" ht="16.5" hidden="1" customHeight="1">
      <c r="A530" s="81"/>
      <c r="B530" s="111" t="s">
        <v>1793</v>
      </c>
      <c r="C530" s="515">
        <v>1</v>
      </c>
      <c r="D530" s="553" t="s">
        <v>265</v>
      </c>
      <c r="E530" s="534">
        <v>2</v>
      </c>
      <c r="F530" s="113">
        <v>7.3100000000000005</v>
      </c>
      <c r="G530" s="113">
        <v>0.23</v>
      </c>
      <c r="H530" s="113">
        <v>0.3</v>
      </c>
      <c r="I530" s="523">
        <f>ROUND(IF(AND(F530:H530),C530*E530*F530*G530*H530,IF(AND(F530,G530),C530*E530*F530*G530,IF(AND(F530,H530),C530*E530*F530*H530,IF(AND(G530,H530),C530*E530*G530*H530,IF(F530,C530*E530*F530,IF(G530,C530*E530*G530,IF(H530,C530*E530*H530,C530*E530))))))),2)</f>
        <v>1.01</v>
      </c>
      <c r="J530" s="532" t="s">
        <v>5</v>
      </c>
      <c r="K530" s="111"/>
      <c r="L530" s="517"/>
      <c r="M530" s="111"/>
    </row>
    <row r="531" spans="1:13" s="525" customFormat="1" ht="16.5" hidden="1" customHeight="1">
      <c r="A531" s="81"/>
      <c r="B531" s="111" t="s">
        <v>1794</v>
      </c>
      <c r="C531" s="515">
        <v>1</v>
      </c>
      <c r="D531" s="553" t="s">
        <v>265</v>
      </c>
      <c r="E531" s="534">
        <v>4</v>
      </c>
      <c r="F531" s="113">
        <v>5.9400000000000013</v>
      </c>
      <c r="G531" s="113">
        <v>0.23</v>
      </c>
      <c r="H531" s="113">
        <v>0.45</v>
      </c>
      <c r="I531" s="523">
        <f>ROUND(IF(AND(F531:H531),C531*E531*F531*G531*H531,IF(AND(F531,G531),C531*E531*F531*G531,IF(AND(F531,H531),C531*E531*F531*H531,IF(AND(G531,H531),C531*E531*G531*H531,IF(F531,C531*E531*F531,IF(G531,C531*E531*G531,IF(H531,C531*E531*H531,C531*E531))))))),2)</f>
        <v>2.46</v>
      </c>
      <c r="J531" s="532" t="s">
        <v>5</v>
      </c>
      <c r="K531" s="111"/>
      <c r="L531" s="517"/>
      <c r="M531" s="111"/>
    </row>
    <row r="532" spans="1:13" s="525" customFormat="1" ht="16.5" hidden="1" customHeight="1">
      <c r="A532" s="81"/>
      <c r="B532" s="111" t="s">
        <v>1795</v>
      </c>
      <c r="C532" s="515">
        <v>-1</v>
      </c>
      <c r="D532" s="553" t="s">
        <v>265</v>
      </c>
      <c r="E532" s="534">
        <v>8</v>
      </c>
      <c r="F532" s="113">
        <v>0.23</v>
      </c>
      <c r="G532" s="113">
        <v>0.23</v>
      </c>
      <c r="H532" s="113">
        <v>0.3</v>
      </c>
      <c r="I532" s="523">
        <f>ROUND(IF(AND(F532:H532),C532*E532*F532*G532*H532,IF(AND(F532,G532),C532*E532*F532*G532,IF(AND(F532,H532),C532*E532*F532*H532,IF(AND(G532,H532),C532*E532*G532*H532,IF(F532,C532*E532*F532,IF(G532,C532*E532*G532,IF(H532,C532*E532*H532,C532*E532))))))),2)</f>
        <v>-0.13</v>
      </c>
      <c r="J532" s="532" t="s">
        <v>5</v>
      </c>
      <c r="K532" s="111"/>
      <c r="L532" s="81"/>
      <c r="M532" s="111"/>
    </row>
    <row r="533" spans="1:13" s="525" customFormat="1" ht="16.5" hidden="1" customHeight="1">
      <c r="A533" s="81"/>
      <c r="B533" s="526"/>
      <c r="C533" s="527"/>
      <c r="D533" s="528"/>
      <c r="E533" s="529"/>
      <c r="F533" s="530"/>
      <c r="G533" s="530"/>
      <c r="H533" s="530"/>
      <c r="I533" s="531"/>
      <c r="J533" s="532"/>
      <c r="K533" s="111"/>
      <c r="L533" s="517"/>
      <c r="M533" s="111"/>
    </row>
    <row r="534" spans="1:13" hidden="1">
      <c r="A534" s="81"/>
      <c r="B534" s="111"/>
      <c r="C534" s="112"/>
      <c r="D534" s="533"/>
      <c r="E534" s="534"/>
      <c r="F534" s="113"/>
      <c r="G534" s="539"/>
      <c r="H534" s="81"/>
      <c r="I534" s="531"/>
      <c r="J534" s="532" t="s">
        <v>5</v>
      </c>
      <c r="K534" s="12">
        <f>'DATA 2024-25'!F220</f>
        <v>12481.060000000001</v>
      </c>
      <c r="L534" s="517" t="s">
        <v>266</v>
      </c>
      <c r="M534" s="11">
        <f>ROUND(I534*K534,0)</f>
        <v>0</v>
      </c>
    </row>
    <row r="535" spans="1:13" ht="17.25" hidden="1" customHeight="1">
      <c r="A535" s="81">
        <v>3</v>
      </c>
      <c r="B535" s="910" t="s">
        <v>296</v>
      </c>
      <c r="C535" s="910"/>
      <c r="D535" s="910"/>
      <c r="E535" s="910"/>
      <c r="F535" s="910"/>
      <c r="G535" s="910"/>
      <c r="H535" s="910"/>
      <c r="I535" s="515"/>
      <c r="J535" s="516"/>
      <c r="K535" s="81"/>
      <c r="L535" s="517"/>
      <c r="M535" s="110"/>
    </row>
    <row r="536" spans="1:13" s="525" customFormat="1" ht="16.5" hidden="1" customHeight="1">
      <c r="A536" s="81"/>
      <c r="B536" s="111" t="s">
        <v>1372</v>
      </c>
      <c r="C536" s="515"/>
      <c r="D536" s="553"/>
      <c r="E536" s="534"/>
      <c r="F536" s="113"/>
      <c r="G536" s="113"/>
      <c r="H536" s="113"/>
      <c r="I536" s="554"/>
      <c r="J536" s="532"/>
      <c r="K536" s="111"/>
      <c r="L536" s="81"/>
      <c r="M536" s="111"/>
    </row>
    <row r="537" spans="1:13" s="525" customFormat="1" ht="16.5" hidden="1" customHeight="1">
      <c r="A537" s="81"/>
      <c r="B537" s="111" t="s">
        <v>743</v>
      </c>
      <c r="C537" s="515">
        <v>1</v>
      </c>
      <c r="D537" s="553" t="s">
        <v>265</v>
      </c>
      <c r="E537" s="534">
        <v>1</v>
      </c>
      <c r="F537" s="113">
        <v>3.4</v>
      </c>
      <c r="G537" s="113">
        <v>1.3</v>
      </c>
      <c r="H537" s="113">
        <v>0</v>
      </c>
      <c r="I537" s="523">
        <f>ROUND(IF(AND(F537:H537),C537*E537*F537*G537*H537,IF(AND(F537,G537),C537*E537*F537*G537,IF(AND(F537,H537),C537*E537*F537*H537,IF(AND(G537,H537),C537*E537*G537*H537,IF(F537,C537*E537*F537,IF(G537,C537*E537*G537,IF(H537,C537*E537*H537,C537*E537))))))),2)</f>
        <v>4.42</v>
      </c>
      <c r="J537" s="532" t="s">
        <v>102</v>
      </c>
      <c r="K537" s="111"/>
      <c r="L537" s="81"/>
      <c r="M537" s="111"/>
    </row>
    <row r="538" spans="1:13" s="525" customFormat="1" ht="16.5" hidden="1" customHeight="1">
      <c r="A538" s="81"/>
      <c r="B538" s="111" t="s">
        <v>1378</v>
      </c>
      <c r="C538" s="515"/>
      <c r="D538" s="553"/>
      <c r="E538" s="534"/>
      <c r="F538" s="113"/>
      <c r="G538" s="113"/>
      <c r="H538" s="113"/>
      <c r="I538" s="554"/>
      <c r="J538" s="532"/>
      <c r="K538" s="111"/>
      <c r="L538" s="81"/>
      <c r="M538" s="111"/>
    </row>
    <row r="539" spans="1:13" s="525" customFormat="1" ht="16.5" hidden="1" customHeight="1">
      <c r="A539" s="81"/>
      <c r="B539" s="111" t="s">
        <v>742</v>
      </c>
      <c r="C539" s="515">
        <v>1</v>
      </c>
      <c r="D539" s="553" t="s">
        <v>265</v>
      </c>
      <c r="E539" s="534">
        <v>1</v>
      </c>
      <c r="F539" s="113">
        <v>3.46</v>
      </c>
      <c r="G539" s="113">
        <v>1.5</v>
      </c>
      <c r="H539" s="113">
        <v>0</v>
      </c>
      <c r="I539" s="523">
        <f>ROUND(IF(AND(F539:H539),C539*E539*F539*G539*H539,IF(AND(F539,G539),C539*E539*F539*G539,IF(AND(F539,H539),C539*E539*F539*H539,IF(AND(G539,H539),C539*E539*G539*H539,IF(F539,C539*E539*F539,IF(G539,C539*E539*G539,IF(H539,C539*E539*H539,C539*E539))))))),2)</f>
        <v>5.19</v>
      </c>
      <c r="J539" s="532" t="s">
        <v>102</v>
      </c>
      <c r="K539" s="111"/>
      <c r="L539" s="81"/>
      <c r="M539" s="111"/>
    </row>
    <row r="540" spans="1:13" s="525" customFormat="1" ht="16.5" hidden="1" customHeight="1">
      <c r="A540" s="81"/>
      <c r="B540" s="111" t="s">
        <v>261</v>
      </c>
      <c r="C540" s="515">
        <v>1</v>
      </c>
      <c r="D540" s="553" t="s">
        <v>265</v>
      </c>
      <c r="E540" s="534">
        <v>1</v>
      </c>
      <c r="F540" s="113">
        <v>3.18</v>
      </c>
      <c r="G540" s="113">
        <v>1.47</v>
      </c>
      <c r="H540" s="113">
        <v>0</v>
      </c>
      <c r="I540" s="523">
        <f>ROUND(IF(AND(F540:H540),C540*E540*F540*G540*H540,IF(AND(F540,G540),C540*E540*F540*G540,IF(AND(F540,H540),C540*E540*F540*H540,IF(AND(G540,H540),C540*E540*G540*H540,IF(F540,C540*E540*F540,IF(G540,C540*E540*G540,IF(H540,C540*E540*H540,C540*E540))))))),2)</f>
        <v>4.67</v>
      </c>
      <c r="J540" s="532" t="s">
        <v>102</v>
      </c>
      <c r="K540" s="111"/>
      <c r="L540" s="81"/>
      <c r="M540" s="111"/>
    </row>
    <row r="541" spans="1:13" s="525" customFormat="1" ht="16.5" hidden="1" customHeight="1">
      <c r="A541" s="81"/>
      <c r="B541" s="526"/>
      <c r="C541" s="527"/>
      <c r="D541" s="528"/>
      <c r="E541" s="529"/>
      <c r="F541" s="530"/>
      <c r="G541" s="530"/>
      <c r="H541" s="530"/>
      <c r="I541" s="531"/>
      <c r="J541" s="532"/>
      <c r="K541" s="111"/>
      <c r="L541" s="517"/>
      <c r="M541" s="111"/>
    </row>
    <row r="542" spans="1:13" hidden="1">
      <c r="A542" s="81"/>
      <c r="B542" s="111"/>
      <c r="C542" s="112"/>
      <c r="D542" s="533"/>
      <c r="E542" s="534"/>
      <c r="F542" s="113"/>
      <c r="G542" s="539"/>
      <c r="H542" s="81"/>
      <c r="I542" s="531"/>
      <c r="J542" s="532" t="s">
        <v>102</v>
      </c>
      <c r="K542" s="12">
        <f>'DATA 2024-25'!F244</f>
        <v>1468.99</v>
      </c>
      <c r="L542" s="517" t="s">
        <v>267</v>
      </c>
      <c r="M542" s="11">
        <f>ROUND(I542*K542,0)</f>
        <v>0</v>
      </c>
    </row>
    <row r="543" spans="1:13" ht="17.25" hidden="1" customHeight="1">
      <c r="A543" s="81">
        <v>3</v>
      </c>
      <c r="B543" s="910" t="s">
        <v>297</v>
      </c>
      <c r="C543" s="910"/>
      <c r="D543" s="910"/>
      <c r="E543" s="910"/>
      <c r="F543" s="910"/>
      <c r="G543" s="910"/>
      <c r="H543" s="910"/>
      <c r="I543" s="515"/>
      <c r="J543" s="516"/>
      <c r="K543" s="81"/>
      <c r="L543" s="517"/>
      <c r="M543" s="110"/>
    </row>
    <row r="544" spans="1:13" s="525" customFormat="1" ht="16.5" hidden="1" customHeight="1">
      <c r="A544" s="81"/>
      <c r="B544" s="111" t="s">
        <v>1811</v>
      </c>
      <c r="C544" s="515">
        <v>1</v>
      </c>
      <c r="D544" s="553" t="s">
        <v>265</v>
      </c>
      <c r="E544" s="534">
        <v>1</v>
      </c>
      <c r="F544" s="113">
        <v>8.82</v>
      </c>
      <c r="G544" s="113">
        <v>6.56</v>
      </c>
      <c r="H544" s="113">
        <v>0</v>
      </c>
      <c r="I544" s="523">
        <f>ROUND(IF(AND(F544:H544),C544*E544*F544*G544*H544,IF(AND(F544,G544),C544*E544*F544*G544,IF(AND(F544,H544),C544*E544*F544*H544,IF(AND(G544,H544),C544*E544*G544*H544,IF(F544,C544*E544*F544,IF(G544,C544*E544*G544,IF(H544,C544*E544*H544,C544*E544))))))),2)</f>
        <v>57.86</v>
      </c>
      <c r="J544" s="532" t="s">
        <v>102</v>
      </c>
      <c r="K544" s="111"/>
      <c r="L544" s="81"/>
      <c r="M544" s="111"/>
    </row>
    <row r="545" spans="1:13" s="525" customFormat="1" ht="16.5" hidden="1" customHeight="1">
      <c r="A545" s="81"/>
      <c r="B545" s="560"/>
      <c r="C545" s="561"/>
      <c r="D545" s="544"/>
      <c r="E545" s="562"/>
      <c r="F545" s="563"/>
      <c r="G545" s="563"/>
      <c r="H545" s="564"/>
      <c r="I545" s="546"/>
      <c r="J545" s="532"/>
      <c r="K545" s="111"/>
      <c r="L545" s="517"/>
      <c r="M545" s="111"/>
    </row>
    <row r="546" spans="1:13" hidden="1">
      <c r="A546" s="81"/>
      <c r="B546" s="111"/>
      <c r="C546" s="112"/>
      <c r="D546" s="533"/>
      <c r="E546" s="534"/>
      <c r="F546" s="113"/>
      <c r="G546" s="539"/>
      <c r="H546" s="81"/>
      <c r="I546" s="531"/>
      <c r="J546" s="532" t="s">
        <v>102</v>
      </c>
      <c r="K546" s="12">
        <f>'DATA 2024-25'!F236</f>
        <v>1675.19</v>
      </c>
      <c r="L546" s="517" t="s">
        <v>267</v>
      </c>
      <c r="M546" s="11">
        <f>ROUND(I546*K546,0)</f>
        <v>0</v>
      </c>
    </row>
    <row r="547" spans="1:13" ht="17.25" hidden="1" customHeight="1">
      <c r="A547" s="81">
        <v>13</v>
      </c>
      <c r="B547" s="910" t="s">
        <v>568</v>
      </c>
      <c r="C547" s="910"/>
      <c r="D547" s="910"/>
      <c r="E547" s="910"/>
      <c r="F547" s="910"/>
      <c r="G547" s="910"/>
      <c r="H547" s="910"/>
      <c r="I547" s="515"/>
      <c r="J547" s="516"/>
      <c r="K547" s="81"/>
      <c r="L547" s="517"/>
      <c r="M547" s="110"/>
    </row>
    <row r="548" spans="1:13" s="525" customFormat="1" ht="16.5" hidden="1" customHeight="1">
      <c r="A548" s="81"/>
      <c r="B548" s="111" t="s">
        <v>1284</v>
      </c>
      <c r="C548" s="515"/>
      <c r="D548" s="553"/>
      <c r="E548" s="534"/>
      <c r="F548" s="113"/>
      <c r="G548" s="113"/>
      <c r="H548" s="113"/>
      <c r="I548" s="554"/>
      <c r="J548" s="532"/>
      <c r="K548" s="111"/>
      <c r="L548" s="517"/>
      <c r="M548" s="111"/>
    </row>
    <row r="549" spans="1:13" s="525" customFormat="1" ht="16.5" hidden="1" customHeight="1">
      <c r="A549" s="81"/>
      <c r="B549" s="111" t="s">
        <v>1019</v>
      </c>
      <c r="C549" s="515">
        <v>1</v>
      </c>
      <c r="D549" s="553" t="s">
        <v>265</v>
      </c>
      <c r="E549" s="534">
        <v>1</v>
      </c>
      <c r="F549" s="113">
        <v>3.95</v>
      </c>
      <c r="G549" s="113">
        <v>2.1</v>
      </c>
      <c r="H549" s="113">
        <v>0</v>
      </c>
      <c r="I549" s="523">
        <f>ROUND(IF(AND(F549:H549),C549*E549*F549*G549*H549,IF(AND(F549,G549),C549*E549*F549*G549,IF(AND(F549,H549),C549*E549*F549*H549,IF(AND(G549,H549),C549*E549*G549*H549,IF(F549,C549*E549*F549,IF(G549,C549*E549*G549,IF(H549,C549*E549*H549,C549*E549))))))),2)</f>
        <v>8.3000000000000007</v>
      </c>
      <c r="J549" s="532" t="s">
        <v>102</v>
      </c>
      <c r="K549" s="111"/>
      <c r="L549" s="517"/>
      <c r="M549" s="111"/>
    </row>
    <row r="550" spans="1:13" s="525" customFormat="1" ht="16.5" hidden="1" customHeight="1">
      <c r="A550" s="81"/>
      <c r="B550" s="560"/>
      <c r="C550" s="561"/>
      <c r="D550" s="544"/>
      <c r="E550" s="562"/>
      <c r="F550" s="563"/>
      <c r="G550" s="563"/>
      <c r="H550" s="564"/>
      <c r="I550" s="546"/>
      <c r="J550" s="532"/>
      <c r="K550" s="111"/>
      <c r="L550" s="517"/>
      <c r="M550" s="111"/>
    </row>
    <row r="551" spans="1:13" hidden="1">
      <c r="A551" s="81"/>
      <c r="B551" s="111"/>
      <c r="C551" s="112"/>
      <c r="D551" s="533"/>
      <c r="E551" s="534"/>
      <c r="F551" s="113"/>
      <c r="G551" s="539"/>
      <c r="H551" s="81"/>
      <c r="I551" s="531"/>
      <c r="J551" s="532" t="s">
        <v>102</v>
      </c>
      <c r="K551" s="12">
        <f>'DATA 2024-25'!F228</f>
        <v>1319.6599999999999</v>
      </c>
      <c r="L551" s="517" t="s">
        <v>267</v>
      </c>
      <c r="M551" s="11">
        <f>ROUND(I551*K551,0)</f>
        <v>0</v>
      </c>
    </row>
    <row r="552" spans="1:13" ht="18.75" hidden="1" customHeight="1">
      <c r="A552" s="81">
        <v>16</v>
      </c>
      <c r="B552" s="910" t="s">
        <v>1106</v>
      </c>
      <c r="C552" s="910"/>
      <c r="D552" s="910"/>
      <c r="E552" s="910"/>
      <c r="F552" s="910"/>
      <c r="G552" s="910"/>
      <c r="H552" s="910"/>
      <c r="I552" s="515"/>
      <c r="J552" s="516"/>
      <c r="K552" s="81"/>
      <c r="L552" s="517"/>
      <c r="M552" s="110"/>
    </row>
    <row r="553" spans="1:13" s="525" customFormat="1" ht="16.5" hidden="1" customHeight="1">
      <c r="A553" s="81"/>
      <c r="B553" s="111" t="s">
        <v>1285</v>
      </c>
      <c r="C553" s="515"/>
      <c r="D553" s="553"/>
      <c r="E553" s="534"/>
      <c r="F553" s="113"/>
      <c r="G553" s="113"/>
      <c r="H553" s="113"/>
      <c r="I553" s="554"/>
      <c r="J553" s="532"/>
      <c r="K553" s="111"/>
      <c r="L553" s="517"/>
      <c r="M553" s="111"/>
    </row>
    <row r="554" spans="1:13" s="525" customFormat="1" ht="16.5" hidden="1" customHeight="1">
      <c r="A554" s="81"/>
      <c r="B554" s="111" t="s">
        <v>1008</v>
      </c>
      <c r="C554" s="515">
        <v>1</v>
      </c>
      <c r="D554" s="553" t="s">
        <v>265</v>
      </c>
      <c r="E554" s="534">
        <v>5</v>
      </c>
      <c r="F554" s="113">
        <v>1.52</v>
      </c>
      <c r="G554" s="113">
        <v>0.23</v>
      </c>
      <c r="H554" s="113">
        <v>0</v>
      </c>
      <c r="I554" s="523">
        <f>ROUND(IF(AND(F554:H554),C554*E554*F554*G554*H554,IF(AND(F554,G554),C554*E554*F554*G554,IF(AND(F554,H554),C554*E554*F554*H554,IF(AND(G554,H554),C554*E554*G554*H554,IF(F554,C554*E554*F554,IF(G554,C554*E554*G554,IF(H554,C554*E554*H554,C554*E554))))))),2)</f>
        <v>1.75</v>
      </c>
      <c r="J554" s="532" t="s">
        <v>102</v>
      </c>
      <c r="K554" s="111"/>
      <c r="L554" s="517"/>
      <c r="M554" s="111"/>
    </row>
    <row r="555" spans="1:13" s="525" customFormat="1" ht="16.5" hidden="1" customHeight="1">
      <c r="A555" s="81"/>
      <c r="B555" s="111"/>
      <c r="C555" s="515">
        <v>1</v>
      </c>
      <c r="D555" s="553" t="s">
        <v>265</v>
      </c>
      <c r="E555" s="534">
        <v>4</v>
      </c>
      <c r="F555" s="113">
        <v>1.83</v>
      </c>
      <c r="G555" s="113">
        <v>0.23</v>
      </c>
      <c r="H555" s="113">
        <v>0</v>
      </c>
      <c r="I555" s="523">
        <f>ROUND(IF(AND(F555:H555),C555*E555*F555*G555*H555,IF(AND(F555,G555),C555*E555*F555*G555,IF(AND(F555,H555),C555*E555*F555*H555,IF(AND(G555,H555),C555*E555*G555*H555,IF(F555,C555*E555*F555,IF(G555,C555*E555*G555,IF(H555,C555*E555*H555,C555*E555))))))),2)</f>
        <v>1.68</v>
      </c>
      <c r="J555" s="532" t="s">
        <v>102</v>
      </c>
      <c r="K555" s="111"/>
      <c r="L555" s="517"/>
      <c r="M555" s="111"/>
    </row>
    <row r="556" spans="1:13" s="525" customFormat="1" ht="16.5" hidden="1" customHeight="1">
      <c r="A556" s="81"/>
      <c r="B556" s="111" t="s">
        <v>1286</v>
      </c>
      <c r="C556" s="515"/>
      <c r="D556" s="553"/>
      <c r="E556" s="534"/>
      <c r="F556" s="113"/>
      <c r="G556" s="113"/>
      <c r="H556" s="113"/>
      <c r="I556" s="554"/>
      <c r="J556" s="532"/>
      <c r="K556" s="111"/>
      <c r="L556" s="517"/>
      <c r="M556" s="111"/>
    </row>
    <row r="557" spans="1:13" s="525" customFormat="1" ht="16.5" hidden="1" customHeight="1">
      <c r="A557" s="81"/>
      <c r="B557" s="111" t="s">
        <v>1008</v>
      </c>
      <c r="C557" s="515">
        <v>1</v>
      </c>
      <c r="D557" s="553" t="s">
        <v>265</v>
      </c>
      <c r="E557" s="534">
        <v>8</v>
      </c>
      <c r="F557" s="113">
        <v>1.52</v>
      </c>
      <c r="G557" s="113">
        <v>0.23</v>
      </c>
      <c r="H557" s="113">
        <v>0</v>
      </c>
      <c r="I557" s="523">
        <f>ROUND(IF(AND(F557:H557),C557*E557*F557*G557*H557,IF(AND(F557,G557),C557*E557*F557*G557,IF(AND(F557,H557),C557*E557*F557*H557,IF(AND(G557,H557),C557*E557*G557*H557,IF(F557,C557*E557*F557,IF(G557,C557*E557*G557,IF(H557,C557*E557*H557,C557*E557))))))),2)</f>
        <v>2.8</v>
      </c>
      <c r="J557" s="532" t="s">
        <v>102</v>
      </c>
      <c r="K557" s="111"/>
      <c r="L557" s="517"/>
      <c r="M557" s="111"/>
    </row>
    <row r="558" spans="1:13" s="525" customFormat="1" ht="16.5" hidden="1" customHeight="1">
      <c r="A558" s="81"/>
      <c r="B558" s="111" t="s">
        <v>1284</v>
      </c>
      <c r="C558" s="515"/>
      <c r="D558" s="553"/>
      <c r="E558" s="534"/>
      <c r="F558" s="113"/>
      <c r="G558" s="113"/>
      <c r="H558" s="113"/>
      <c r="I558" s="554"/>
      <c r="J558" s="532"/>
      <c r="K558" s="111"/>
      <c r="L558" s="517"/>
      <c r="M558" s="111"/>
    </row>
    <row r="559" spans="1:13" s="525" customFormat="1" ht="16.5" hidden="1" customHeight="1">
      <c r="A559" s="81"/>
      <c r="B559" s="111" t="s">
        <v>1021</v>
      </c>
      <c r="C559" s="515">
        <v>1</v>
      </c>
      <c r="D559" s="553" t="s">
        <v>265</v>
      </c>
      <c r="E559" s="534">
        <v>1</v>
      </c>
      <c r="F559" s="113">
        <v>2.7</v>
      </c>
      <c r="G559" s="113">
        <v>1.52</v>
      </c>
      <c r="H559" s="113">
        <v>0</v>
      </c>
      <c r="I559" s="523">
        <f>ROUND(IF(AND(F559:H559),C559*E559*F559*G559*H559,IF(AND(F559,G559),C559*E559*F559*G559,IF(AND(F559,H559),C559*E559*F559*H559,IF(AND(G559,H559),C559*E559*G559*H559,IF(F559,C559*E559*F559,IF(G559,C559*E559*G559,IF(H559,C559*E559*H559,C559*E559))))))),2)</f>
        <v>4.0999999999999996</v>
      </c>
      <c r="J559" s="532" t="s">
        <v>102</v>
      </c>
      <c r="K559" s="111"/>
      <c r="L559" s="517"/>
      <c r="M559" s="111"/>
    </row>
    <row r="560" spans="1:13" s="525" customFormat="1" ht="16.5" hidden="1" customHeight="1">
      <c r="A560" s="81"/>
      <c r="B560" s="111" t="s">
        <v>1022</v>
      </c>
      <c r="C560" s="515">
        <v>1</v>
      </c>
      <c r="D560" s="553" t="s">
        <v>265</v>
      </c>
      <c r="E560" s="534">
        <v>1</v>
      </c>
      <c r="F560" s="113">
        <v>1.4</v>
      </c>
      <c r="G560" s="113">
        <v>1.4</v>
      </c>
      <c r="H560" s="113">
        <v>0</v>
      </c>
      <c r="I560" s="523">
        <f>ROUND(IF(AND(F560:H560),C560*E560*F560*G560*H560,IF(AND(F560,G560),C560*E560*F560*G560,IF(AND(F560,H560),C560*E560*F560*H560,IF(AND(G560,H560),C560*E560*G560*H560,IF(F560,C560*E560*F560,IF(G560,C560*E560*G560,IF(H560,C560*E560*H560,C560*E560))))))),2)</f>
        <v>1.96</v>
      </c>
      <c r="J560" s="532" t="s">
        <v>102</v>
      </c>
      <c r="K560" s="111"/>
      <c r="L560" s="517"/>
      <c r="M560" s="111"/>
    </row>
    <row r="561" spans="1:13" s="525" customFormat="1" ht="16.5" hidden="1" customHeight="1">
      <c r="A561" s="81"/>
      <c r="B561" s="526"/>
      <c r="C561" s="527"/>
      <c r="D561" s="528"/>
      <c r="E561" s="529"/>
      <c r="F561" s="530"/>
      <c r="G561" s="530"/>
      <c r="H561" s="530"/>
      <c r="I561" s="531"/>
      <c r="J561" s="532"/>
      <c r="K561" s="111"/>
      <c r="L561" s="517"/>
      <c r="M561" s="111"/>
    </row>
    <row r="562" spans="1:13" hidden="1">
      <c r="A562" s="81"/>
      <c r="B562" s="111"/>
      <c r="C562" s="112"/>
      <c r="D562" s="533"/>
      <c r="E562" s="534"/>
      <c r="F562" s="113"/>
      <c r="G562" s="539"/>
      <c r="H562" s="81"/>
      <c r="I562" s="531"/>
      <c r="J562" s="532" t="s">
        <v>102</v>
      </c>
      <c r="K562" s="12">
        <f>'DATA 2024-25'!F291</f>
        <v>837.33</v>
      </c>
      <c r="L562" s="517" t="s">
        <v>267</v>
      </c>
      <c r="M562" s="11">
        <f>ROUND(I562*K562,0)</f>
        <v>0</v>
      </c>
    </row>
    <row r="563" spans="1:13" ht="18.75" hidden="1" customHeight="1">
      <c r="A563" s="81">
        <v>16</v>
      </c>
      <c r="B563" s="910" t="s">
        <v>1107</v>
      </c>
      <c r="C563" s="910"/>
      <c r="D563" s="910"/>
      <c r="E563" s="910"/>
      <c r="F563" s="910"/>
      <c r="G563" s="910"/>
      <c r="H563" s="910"/>
      <c r="I563" s="515"/>
      <c r="J563" s="516"/>
      <c r="K563" s="81"/>
      <c r="L563" s="517"/>
      <c r="M563" s="110"/>
    </row>
    <row r="564" spans="1:13" s="525" customFormat="1" ht="16.5" hidden="1" customHeight="1">
      <c r="A564" s="81"/>
      <c r="B564" s="111" t="s">
        <v>1285</v>
      </c>
      <c r="C564" s="515"/>
      <c r="D564" s="553"/>
      <c r="E564" s="534"/>
      <c r="F564" s="113"/>
      <c r="G564" s="113"/>
      <c r="H564" s="113"/>
      <c r="I564" s="554"/>
      <c r="J564" s="532"/>
      <c r="K564" s="111"/>
      <c r="L564" s="517"/>
      <c r="M564" s="111"/>
    </row>
    <row r="565" spans="1:13" s="525" customFormat="1" ht="16.5" hidden="1" customHeight="1">
      <c r="A565" s="81"/>
      <c r="B565" s="111" t="s">
        <v>1008</v>
      </c>
      <c r="C565" s="515">
        <v>1</v>
      </c>
      <c r="D565" s="553" t="s">
        <v>265</v>
      </c>
      <c r="E565" s="534">
        <v>5</v>
      </c>
      <c r="F565" s="113">
        <v>1.52</v>
      </c>
      <c r="G565" s="113">
        <v>0.23</v>
      </c>
      <c r="H565" s="113">
        <v>0</v>
      </c>
      <c r="I565" s="523">
        <f>ROUND(IF(AND(F565:H565),C565*E565*F565*G565*H565,IF(AND(F565,G565),C565*E565*F565*G565,IF(AND(F565,H565),C565*E565*F565*H565,IF(AND(G565,H565),C565*E565*G565*H565,IF(F565,C565*E565*F565,IF(G565,C565*E565*G565,IF(H565,C565*E565*H565,C565*E565))))))),2)</f>
        <v>1.75</v>
      </c>
      <c r="J565" s="532" t="s">
        <v>102</v>
      </c>
      <c r="K565" s="111"/>
      <c r="L565" s="517"/>
      <c r="M565" s="111"/>
    </row>
    <row r="566" spans="1:13" s="525" customFormat="1" ht="16.5" hidden="1" customHeight="1">
      <c r="A566" s="81"/>
      <c r="B566" s="111"/>
      <c r="C566" s="515">
        <v>1</v>
      </c>
      <c r="D566" s="553" t="s">
        <v>265</v>
      </c>
      <c r="E566" s="534">
        <v>4</v>
      </c>
      <c r="F566" s="113">
        <v>1.83</v>
      </c>
      <c r="G566" s="113">
        <v>0.23</v>
      </c>
      <c r="H566" s="113">
        <v>0</v>
      </c>
      <c r="I566" s="523">
        <f>ROUND(IF(AND(F566:H566),C566*E566*F566*G566*H566,IF(AND(F566,G566),C566*E566*F566*G566,IF(AND(F566,H566),C566*E566*F566*H566,IF(AND(G566,H566),C566*E566*G566*H566,IF(F566,C566*E566*F566,IF(G566,C566*E566*G566,IF(H566,C566*E566*H566,C566*E566))))))),2)</f>
        <v>1.68</v>
      </c>
      <c r="J566" s="532" t="s">
        <v>102</v>
      </c>
      <c r="K566" s="111"/>
      <c r="L566" s="517"/>
      <c r="M566" s="111"/>
    </row>
    <row r="567" spans="1:13" s="525" customFormat="1" ht="16.5" hidden="1" customHeight="1">
      <c r="A567" s="81"/>
      <c r="B567" s="111" t="s">
        <v>1286</v>
      </c>
      <c r="C567" s="515"/>
      <c r="D567" s="553"/>
      <c r="E567" s="534"/>
      <c r="F567" s="113"/>
      <c r="G567" s="113"/>
      <c r="H567" s="113"/>
      <c r="I567" s="554"/>
      <c r="J567" s="532"/>
      <c r="K567" s="111"/>
      <c r="L567" s="517"/>
      <c r="M567" s="111"/>
    </row>
    <row r="568" spans="1:13" s="525" customFormat="1" ht="16.5" hidden="1" customHeight="1">
      <c r="A568" s="81"/>
      <c r="B568" s="111" t="s">
        <v>1008</v>
      </c>
      <c r="C568" s="515">
        <v>1</v>
      </c>
      <c r="D568" s="553" t="s">
        <v>265</v>
      </c>
      <c r="E568" s="534">
        <v>8</v>
      </c>
      <c r="F568" s="113">
        <v>1.52</v>
      </c>
      <c r="G568" s="113">
        <v>0.23</v>
      </c>
      <c r="H568" s="113">
        <v>0</v>
      </c>
      <c r="I568" s="523">
        <f>ROUND(IF(AND(F568:H568),C568*E568*F568*G568*H568,IF(AND(F568,G568),C568*E568*F568*G568,IF(AND(F568,H568),C568*E568*F568*H568,IF(AND(G568,H568),C568*E568*G568*H568,IF(F568,C568*E568*F568,IF(G568,C568*E568*G568,IF(H568,C568*E568*H568,C568*E568))))))),2)</f>
        <v>2.8</v>
      </c>
      <c r="J568" s="532" t="s">
        <v>102</v>
      </c>
      <c r="K568" s="111"/>
      <c r="L568" s="517"/>
      <c r="M568" s="111"/>
    </row>
    <row r="569" spans="1:13" s="525" customFormat="1" ht="16.5" hidden="1" customHeight="1">
      <c r="A569" s="81"/>
      <c r="B569" s="111" t="s">
        <v>1284</v>
      </c>
      <c r="C569" s="515"/>
      <c r="D569" s="553"/>
      <c r="E569" s="534"/>
      <c r="F569" s="113"/>
      <c r="G569" s="113"/>
      <c r="H569" s="113"/>
      <c r="I569" s="554"/>
      <c r="J569" s="532"/>
      <c r="K569" s="111"/>
      <c r="L569" s="517"/>
      <c r="M569" s="111"/>
    </row>
    <row r="570" spans="1:13" s="525" customFormat="1" ht="16.5" hidden="1" customHeight="1">
      <c r="A570" s="81"/>
      <c r="B570" s="111" t="s">
        <v>1021</v>
      </c>
      <c r="C570" s="515">
        <v>1</v>
      </c>
      <c r="D570" s="553" t="s">
        <v>265</v>
      </c>
      <c r="E570" s="534">
        <v>1</v>
      </c>
      <c r="F570" s="113">
        <v>2.7</v>
      </c>
      <c r="G570" s="113">
        <v>1.52</v>
      </c>
      <c r="H570" s="113">
        <v>0</v>
      </c>
      <c r="I570" s="523">
        <f>ROUND(IF(AND(F570:H570),C570*E570*F570*G570*H570,IF(AND(F570,G570),C570*E570*F570*G570,IF(AND(F570,H570),C570*E570*F570*H570,IF(AND(G570,H570),C570*E570*G570*H570,IF(F570,C570*E570*F570,IF(G570,C570*E570*G570,IF(H570,C570*E570*H570,C570*E570))))))),2)</f>
        <v>4.0999999999999996</v>
      </c>
      <c r="J570" s="532" t="s">
        <v>102</v>
      </c>
      <c r="K570" s="111"/>
      <c r="L570" s="517"/>
      <c r="M570" s="111"/>
    </row>
    <row r="571" spans="1:13" s="525" customFormat="1" ht="16.5" hidden="1" customHeight="1">
      <c r="A571" s="81"/>
      <c r="B571" s="111" t="s">
        <v>1022</v>
      </c>
      <c r="C571" s="515">
        <v>1</v>
      </c>
      <c r="D571" s="553" t="s">
        <v>265</v>
      </c>
      <c r="E571" s="534">
        <v>1</v>
      </c>
      <c r="F571" s="113">
        <v>1.4</v>
      </c>
      <c r="G571" s="113">
        <v>1.4</v>
      </c>
      <c r="H571" s="113">
        <v>0</v>
      </c>
      <c r="I571" s="523">
        <f>ROUND(IF(AND(F571:H571),C571*E571*F571*G571*H571,IF(AND(F571,G571),C571*E571*F571*G571,IF(AND(F571,H571),C571*E571*F571*H571,IF(AND(G571,H571),C571*E571*G571*H571,IF(F571,C571*E571*F571,IF(G571,C571*E571*G571,IF(H571,C571*E571*H571,C571*E571))))))),2)</f>
        <v>1.96</v>
      </c>
      <c r="J571" s="532" t="s">
        <v>102</v>
      </c>
      <c r="K571" s="111"/>
      <c r="L571" s="517"/>
      <c r="M571" s="111"/>
    </row>
    <row r="572" spans="1:13" s="525" customFormat="1" ht="16.5" hidden="1" customHeight="1">
      <c r="A572" s="81"/>
      <c r="B572" s="526"/>
      <c r="C572" s="527"/>
      <c r="D572" s="528"/>
      <c r="E572" s="529"/>
      <c r="F572" s="530"/>
      <c r="G572" s="530"/>
      <c r="H572" s="530"/>
      <c r="I572" s="531"/>
      <c r="J572" s="532"/>
      <c r="K572" s="111"/>
      <c r="L572" s="517"/>
      <c r="M572" s="111"/>
    </row>
    <row r="573" spans="1:13" hidden="1">
      <c r="A573" s="81"/>
      <c r="B573" s="111"/>
      <c r="C573" s="112"/>
      <c r="D573" s="533"/>
      <c r="E573" s="534"/>
      <c r="F573" s="113"/>
      <c r="G573" s="539"/>
      <c r="H573" s="81"/>
      <c r="I573" s="531"/>
      <c r="J573" s="532" t="s">
        <v>102</v>
      </c>
      <c r="K573" s="12">
        <f>'DATA 2024-25'!F299</f>
        <v>663.66</v>
      </c>
      <c r="L573" s="517" t="s">
        <v>267</v>
      </c>
      <c r="M573" s="11">
        <f>ROUND(I573*K573,0)</f>
        <v>0</v>
      </c>
    </row>
    <row r="574" spans="1:13" ht="17.25" hidden="1" customHeight="1">
      <c r="A574" s="81">
        <v>4</v>
      </c>
      <c r="B574" s="910" t="s">
        <v>566</v>
      </c>
      <c r="C574" s="910"/>
      <c r="D574" s="910"/>
      <c r="E574" s="910"/>
      <c r="F574" s="910"/>
      <c r="G574" s="910"/>
      <c r="H574" s="910"/>
      <c r="I574" s="515"/>
      <c r="J574" s="516"/>
      <c r="K574" s="81"/>
      <c r="L574" s="517"/>
      <c r="M574" s="110"/>
    </row>
    <row r="575" spans="1:13" s="525" customFormat="1" ht="16.5" hidden="1" customHeight="1">
      <c r="A575" s="81"/>
      <c r="B575" s="111" t="s">
        <v>1802</v>
      </c>
      <c r="C575" s="515">
        <v>1</v>
      </c>
      <c r="D575" s="553" t="s">
        <v>265</v>
      </c>
      <c r="E575" s="534">
        <v>2</v>
      </c>
      <c r="F575" s="113">
        <v>5.9400000000000013</v>
      </c>
      <c r="G575" s="113">
        <v>0.23</v>
      </c>
      <c r="H575" s="113">
        <v>0.23</v>
      </c>
      <c r="I575" s="523">
        <f>ROUND(IF(AND(F575:H575),C575*E575*F575*G575*H575,IF(AND(F575,G575),C575*E575*F575*G575,IF(AND(F575,H575),C575*E575*F575*H575,IF(AND(G575,H575),C575*E575*G575*H575,IF(F575,C575*E575*F575,IF(G575,C575*E575*G575,IF(H575,C575*E575*H575,C575*E575))))))),2)</f>
        <v>0.63</v>
      </c>
      <c r="J575" s="532" t="s">
        <v>5</v>
      </c>
      <c r="K575" s="111"/>
      <c r="L575" s="81"/>
      <c r="M575" s="111"/>
    </row>
    <row r="576" spans="1:13" s="525" customFormat="1" ht="16.5" hidden="1" customHeight="1">
      <c r="A576" s="81"/>
      <c r="B576" s="111"/>
      <c r="C576" s="515">
        <v>1</v>
      </c>
      <c r="D576" s="553" t="s">
        <v>265</v>
      </c>
      <c r="E576" s="534">
        <v>2</v>
      </c>
      <c r="F576" s="113">
        <v>6.85</v>
      </c>
      <c r="G576" s="113">
        <v>0.23</v>
      </c>
      <c r="H576" s="113">
        <v>0.23</v>
      </c>
      <c r="I576" s="523">
        <f>ROUND(IF(AND(F576:H576),C576*E576*F576*G576*H576,IF(AND(F576,G576),C576*E576*F576*G576,IF(AND(F576,H576),C576*E576*F576*H576,IF(AND(G576,H576),C576*E576*G576*H576,IF(F576,C576*E576*F576,IF(G576,C576*E576*G576,IF(H576,C576*E576*H576,C576*E576))))))),2)</f>
        <v>0.72</v>
      </c>
      <c r="J576" s="532" t="s">
        <v>5</v>
      </c>
      <c r="K576" s="111"/>
      <c r="L576" s="81"/>
      <c r="M576" s="111"/>
    </row>
    <row r="577" spans="1:13" s="525" customFormat="1" ht="16.5" hidden="1" customHeight="1">
      <c r="A577" s="81"/>
      <c r="B577" s="526"/>
      <c r="C577" s="527"/>
      <c r="D577" s="528"/>
      <c r="E577" s="529"/>
      <c r="F577" s="113"/>
      <c r="G577" s="113"/>
      <c r="H577" s="113"/>
      <c r="I577" s="531"/>
      <c r="J577" s="532"/>
      <c r="K577" s="111"/>
      <c r="L577" s="517"/>
      <c r="M577" s="111"/>
    </row>
    <row r="578" spans="1:13" hidden="1">
      <c r="A578" s="81"/>
      <c r="B578" s="111"/>
      <c r="C578" s="112"/>
      <c r="D578" s="533"/>
      <c r="E578" s="534"/>
      <c r="F578" s="113"/>
      <c r="G578" s="539"/>
      <c r="H578" s="81"/>
      <c r="I578" s="531"/>
      <c r="J578" s="532" t="s">
        <v>5</v>
      </c>
      <c r="K578" s="12">
        <f>'DATA 2024-25'!F198</f>
        <v>13565.57</v>
      </c>
      <c r="L578" s="517" t="s">
        <v>266</v>
      </c>
      <c r="M578" s="11">
        <f>ROUND(I578*K578,0)</f>
        <v>0</v>
      </c>
    </row>
    <row r="579" spans="1:13" ht="17.25" hidden="1" customHeight="1">
      <c r="A579" s="81">
        <v>5</v>
      </c>
      <c r="B579" s="910" t="s">
        <v>632</v>
      </c>
      <c r="C579" s="910"/>
      <c r="D579" s="910"/>
      <c r="E579" s="910"/>
      <c r="F579" s="910"/>
      <c r="G579" s="910"/>
      <c r="H579" s="910"/>
      <c r="I579" s="515"/>
      <c r="J579" s="516"/>
      <c r="K579" s="81"/>
      <c r="L579" s="517"/>
      <c r="M579" s="110"/>
    </row>
    <row r="580" spans="1:13" s="525" customFormat="1" ht="15" hidden="1">
      <c r="A580" s="81"/>
      <c r="B580" s="111"/>
      <c r="C580" s="515">
        <v>1</v>
      </c>
      <c r="D580" s="553" t="s">
        <v>265</v>
      </c>
      <c r="E580" s="534">
        <v>6</v>
      </c>
      <c r="F580" s="113">
        <v>1.5</v>
      </c>
      <c r="G580" s="113">
        <v>0</v>
      </c>
      <c r="H580" s="113">
        <v>0</v>
      </c>
      <c r="I580" s="523">
        <f>ROUND(IF(AND(F580:H580),C580*E580*F580*G580*H580,IF(AND(F580,G580),C580*E580*F580*G580,IF(AND(F580,H580),C580*E580*F580*H580,IF(AND(G580,H580),C580*E580*G580*H580,IF(F580,C580*E580*F580,IF(G580,C580*E580*G580,IF(H580,C580*E580*H580,C580*E580))))))),2)</f>
        <v>9</v>
      </c>
      <c r="J580" s="532" t="s">
        <v>271</v>
      </c>
      <c r="K580" s="111"/>
      <c r="L580" s="81"/>
      <c r="M580" s="111"/>
    </row>
    <row r="581" spans="1:13" s="525" customFormat="1" ht="15" hidden="1">
      <c r="A581" s="81"/>
      <c r="B581" s="526"/>
      <c r="C581" s="527"/>
      <c r="D581" s="528"/>
      <c r="E581" s="529"/>
      <c r="F581" s="530"/>
      <c r="G581" s="530"/>
      <c r="H581" s="530"/>
      <c r="I581" s="531"/>
      <c r="J581" s="532"/>
      <c r="K581" s="111"/>
      <c r="L581" s="517"/>
      <c r="M581" s="111"/>
    </row>
    <row r="582" spans="1:13" hidden="1">
      <c r="A582" s="81"/>
      <c r="B582" s="111"/>
      <c r="C582" s="112"/>
      <c r="D582" s="533"/>
      <c r="E582" s="534"/>
      <c r="F582" s="113"/>
      <c r="G582" s="539"/>
      <c r="H582" s="81"/>
      <c r="I582" s="531"/>
      <c r="J582" s="532" t="s">
        <v>271</v>
      </c>
      <c r="K582" s="12">
        <f>'DATA 2024-25'!F269</f>
        <v>1086.3900000000001</v>
      </c>
      <c r="L582" s="517" t="s">
        <v>273</v>
      </c>
      <c r="M582" s="11">
        <f>ROUND(I582*K582,0)</f>
        <v>0</v>
      </c>
    </row>
    <row r="583" spans="1:13" ht="64.5" hidden="1" customHeight="1">
      <c r="A583" s="81">
        <v>1</v>
      </c>
      <c r="B583" s="910" t="s">
        <v>144</v>
      </c>
      <c r="C583" s="910"/>
      <c r="D583" s="910"/>
      <c r="E583" s="910"/>
      <c r="F583" s="910"/>
      <c r="G583" s="910"/>
      <c r="H583" s="910"/>
      <c r="I583" s="515"/>
      <c r="J583" s="516"/>
      <c r="K583" s="81"/>
      <c r="L583" s="517"/>
      <c r="M583" s="110"/>
    </row>
    <row r="584" spans="1:13" hidden="1">
      <c r="A584" s="81"/>
      <c r="B584" s="473" t="s">
        <v>2086</v>
      </c>
      <c r="C584" s="565"/>
      <c r="D584" s="566"/>
      <c r="E584" s="567"/>
      <c r="F584" s="473"/>
      <c r="G584" s="473"/>
      <c r="H584" s="473"/>
      <c r="I584" s="515"/>
      <c r="J584" s="516"/>
      <c r="K584" s="81"/>
      <c r="L584" s="517"/>
      <c r="M584" s="110"/>
    </row>
    <row r="585" spans="1:13" s="525" customFormat="1" ht="16.5" hidden="1" customHeight="1">
      <c r="A585" s="81"/>
      <c r="B585" s="111" t="s">
        <v>1843</v>
      </c>
      <c r="C585" s="515">
        <v>1</v>
      </c>
      <c r="D585" s="553" t="s">
        <v>265</v>
      </c>
      <c r="E585" s="534">
        <v>1</v>
      </c>
      <c r="F585" s="113">
        <v>9</v>
      </c>
      <c r="G585" s="113">
        <v>7.8</v>
      </c>
      <c r="H585" s="113">
        <v>0</v>
      </c>
      <c r="I585" s="523">
        <f>ROUND(IF(AND(F585:H585),C585*E585*F585*G585*H585,IF(AND(F585,G585),C585*E585*F585*G585,IF(AND(F585,H585),C585*E585*F585*H585,IF(AND(G585,H585),C585*E585*G585*H585,IF(F585,C585*E585*F585,IF(G585,C585*E585*G585,IF(H585,C585*E585*H585,C585*E585))))))),2)</f>
        <v>70.2</v>
      </c>
      <c r="J585" s="532" t="s">
        <v>102</v>
      </c>
      <c r="K585" s="111"/>
      <c r="L585" s="81"/>
      <c r="M585" s="111"/>
    </row>
    <row r="586" spans="1:13" s="525" customFormat="1" ht="16.5" hidden="1" customHeight="1">
      <c r="A586" s="81"/>
      <c r="B586" s="111"/>
      <c r="C586" s="515">
        <v>1</v>
      </c>
      <c r="D586" s="553" t="s">
        <v>265</v>
      </c>
      <c r="E586" s="534">
        <v>1</v>
      </c>
      <c r="F586" s="113">
        <v>1.8</v>
      </c>
      <c r="G586" s="113">
        <v>1.65</v>
      </c>
      <c r="H586" s="113">
        <v>0</v>
      </c>
      <c r="I586" s="523">
        <f>-ROUND(IF(AND(F586:H586),C586*E586*F586*G586*H586,IF(AND(F586,G586),C586*E586*F586*G586,IF(AND(F586,H586),C586*E586*F586*H586,IF(AND(G586,H586),C586*E586*G586*H586,IF(F586,C586*E586*F586,IF(G586,C586*E586*G586,IF(H586,C586*E586*H586,C586*E586))))))),2)</f>
        <v>-2.97</v>
      </c>
      <c r="J586" s="532" t="s">
        <v>102</v>
      </c>
      <c r="K586" s="111"/>
      <c r="L586" s="81"/>
      <c r="M586" s="111"/>
    </row>
    <row r="587" spans="1:13" s="525" customFormat="1" ht="16.5" hidden="1" customHeight="1">
      <c r="A587" s="81"/>
      <c r="B587" s="526"/>
      <c r="C587" s="527"/>
      <c r="D587" s="528"/>
      <c r="E587" s="529"/>
      <c r="F587" s="530"/>
      <c r="G587" s="530"/>
      <c r="H587" s="530"/>
      <c r="I587" s="531"/>
      <c r="J587" s="532"/>
      <c r="K587" s="111"/>
      <c r="L587" s="517"/>
      <c r="M587" s="111"/>
    </row>
    <row r="588" spans="1:13" hidden="1">
      <c r="A588" s="81"/>
      <c r="B588" s="111"/>
      <c r="C588" s="112"/>
      <c r="D588" s="533"/>
      <c r="E588" s="534"/>
      <c r="F588" s="113"/>
      <c r="G588" s="539"/>
      <c r="H588" s="81"/>
      <c r="I588" s="531"/>
      <c r="J588" s="532" t="s">
        <v>102</v>
      </c>
      <c r="K588" s="12">
        <f>'DATA 2024-25'!F633</f>
        <v>406.34</v>
      </c>
      <c r="L588" s="517" t="s">
        <v>267</v>
      </c>
      <c r="M588" s="11">
        <f>ROUND(I588*K588,0)</f>
        <v>0</v>
      </c>
    </row>
    <row r="589" spans="1:13" ht="64.5" hidden="1" customHeight="1">
      <c r="A589" s="81">
        <v>13</v>
      </c>
      <c r="B589" s="910" t="s">
        <v>1105</v>
      </c>
      <c r="C589" s="910"/>
      <c r="D589" s="910"/>
      <c r="E589" s="910"/>
      <c r="F589" s="910"/>
      <c r="G589" s="910"/>
      <c r="H589" s="910"/>
      <c r="I589" s="515"/>
      <c r="J589" s="516"/>
      <c r="K589" s="81"/>
      <c r="L589" s="517"/>
      <c r="M589" s="110"/>
    </row>
    <row r="590" spans="1:13" s="525" customFormat="1" ht="16.5" hidden="1" customHeight="1">
      <c r="A590" s="81"/>
      <c r="B590" s="111" t="s">
        <v>1298</v>
      </c>
      <c r="C590" s="515"/>
      <c r="D590" s="553"/>
      <c r="E590" s="534"/>
      <c r="F590" s="113"/>
      <c r="G590" s="113"/>
      <c r="H590" s="113"/>
      <c r="I590" s="554"/>
      <c r="J590" s="532"/>
      <c r="K590" s="111"/>
      <c r="L590" s="517"/>
      <c r="M590" s="111"/>
    </row>
    <row r="591" spans="1:13" s="525" customFormat="1" ht="16.5" hidden="1" customHeight="1">
      <c r="A591" s="81"/>
      <c r="B591" s="111"/>
      <c r="C591" s="515">
        <v>1</v>
      </c>
      <c r="D591" s="553" t="s">
        <v>265</v>
      </c>
      <c r="E591" s="534">
        <v>1</v>
      </c>
      <c r="F591" s="113">
        <v>10.45</v>
      </c>
      <c r="G591" s="113">
        <v>12</v>
      </c>
      <c r="H591" s="113">
        <v>0</v>
      </c>
      <c r="I591" s="523">
        <f>ROUND(IF(AND(F591:H591),C591*E591*F591*G591*H591,IF(AND(F591,G591),C591*E591*F591*G591,IF(AND(F591,H591),C591*E591*F591*H591,IF(AND(G591,H591),C591*E591*G591*H591,IF(F591,C591*E591*F591,IF(G591,C591*E591*G591,IF(H591,C591*E591*H591,C591*E591))))))),2)</f>
        <v>125.4</v>
      </c>
      <c r="J591" s="532" t="s">
        <v>102</v>
      </c>
      <c r="K591" s="111"/>
      <c r="L591" s="517"/>
      <c r="M591" s="111"/>
    </row>
    <row r="592" spans="1:13" s="525" customFormat="1" ht="16.5" hidden="1" customHeight="1">
      <c r="A592" s="81"/>
      <c r="B592" s="111"/>
      <c r="C592" s="515">
        <v>1</v>
      </c>
      <c r="D592" s="553" t="s">
        <v>265</v>
      </c>
      <c r="E592" s="534">
        <v>1</v>
      </c>
      <c r="F592" s="113">
        <v>3.52</v>
      </c>
      <c r="G592" s="113">
        <v>0.92</v>
      </c>
      <c r="H592" s="113">
        <v>0</v>
      </c>
      <c r="I592" s="523">
        <f>ROUND(IF(AND(F592:H592),C592*E592*F592*G592*H592,IF(AND(F592,G592),C592*E592*F592*G592,IF(AND(F592,H592),C592*E592*F592*H592,IF(AND(G592,H592),C592*E592*G592*H592,IF(F592,C592*E592*F592,IF(G592,C592*E592*G592,IF(H592,C592*E592*H592,C592*E592))))))),2)</f>
        <v>3.24</v>
      </c>
      <c r="J592" s="532" t="s">
        <v>102</v>
      </c>
      <c r="K592" s="111"/>
      <c r="L592" s="517"/>
      <c r="M592" s="111"/>
    </row>
    <row r="593" spans="1:13" s="525" customFormat="1" ht="16.5" hidden="1" customHeight="1">
      <c r="A593" s="81"/>
      <c r="B593" s="526"/>
      <c r="C593" s="527"/>
      <c r="D593" s="528"/>
      <c r="E593" s="529"/>
      <c r="F593" s="530"/>
      <c r="G593" s="530"/>
      <c r="H593" s="530"/>
      <c r="I593" s="531"/>
      <c r="J593" s="532"/>
      <c r="K593" s="111"/>
      <c r="L593" s="517"/>
      <c r="M593" s="111"/>
    </row>
    <row r="594" spans="1:13" hidden="1">
      <c r="A594" s="81"/>
      <c r="B594" s="111"/>
      <c r="C594" s="112"/>
      <c r="D594" s="533"/>
      <c r="E594" s="534"/>
      <c r="F594" s="113"/>
      <c r="G594" s="539"/>
      <c r="H594" s="81"/>
      <c r="I594" s="531"/>
      <c r="J594" s="532" t="s">
        <v>102</v>
      </c>
      <c r="K594" s="12">
        <f>'DATA 2024-25'!F648</f>
        <v>465.44</v>
      </c>
      <c r="L594" s="517" t="s">
        <v>267</v>
      </c>
      <c r="M594" s="11">
        <f>ROUND(I594*K594,0)</f>
        <v>0</v>
      </c>
    </row>
    <row r="595" spans="1:13" ht="69.75" hidden="1" customHeight="1">
      <c r="A595" s="81">
        <v>7</v>
      </c>
      <c r="B595" s="910" t="s">
        <v>298</v>
      </c>
      <c r="C595" s="910"/>
      <c r="D595" s="910"/>
      <c r="E595" s="910"/>
      <c r="F595" s="910"/>
      <c r="G595" s="910"/>
      <c r="H595" s="910"/>
      <c r="I595" s="515"/>
      <c r="J595" s="516"/>
      <c r="K595" s="81"/>
      <c r="L595" s="517"/>
      <c r="M595" s="110"/>
    </row>
    <row r="596" spans="1:13" s="525" customFormat="1" ht="16.5" hidden="1" customHeight="1">
      <c r="A596" s="81"/>
      <c r="B596" s="111" t="s">
        <v>1796</v>
      </c>
      <c r="C596" s="515">
        <v>1</v>
      </c>
      <c r="D596" s="553" t="s">
        <v>265</v>
      </c>
      <c r="E596" s="534">
        <v>2</v>
      </c>
      <c r="F596" s="113">
        <v>7.3100000000000005</v>
      </c>
      <c r="G596" s="113">
        <v>0.23</v>
      </c>
      <c r="H596" s="113">
        <v>2.75</v>
      </c>
      <c r="I596" s="523">
        <f>ROUND(IF(AND(F596:H596),C596*E596*F596*G596*H596,IF(AND(F596,G596),C596*E596*F596*G596,IF(AND(F596,H596),C596*E596*F596*H596,IF(AND(G596,H596),C596*E596*G596*H596,IF(F596,C596*E596*F596,IF(G596,C596*E596*G596,IF(H596,C596*E596*H596,C596*E596))))))),2)</f>
        <v>9.25</v>
      </c>
      <c r="J596" s="532" t="s">
        <v>5</v>
      </c>
      <c r="K596" s="111"/>
      <c r="L596" s="81"/>
      <c r="M596" s="111"/>
    </row>
    <row r="597" spans="1:13" s="525" customFormat="1" ht="16.5" hidden="1" customHeight="1">
      <c r="A597" s="81"/>
      <c r="B597" s="111" t="s">
        <v>1805</v>
      </c>
      <c r="C597" s="515">
        <v>1</v>
      </c>
      <c r="D597" s="553" t="s">
        <v>265</v>
      </c>
      <c r="E597" s="534">
        <v>2</v>
      </c>
      <c r="F597" s="113">
        <v>5.9400000000000013</v>
      </c>
      <c r="G597" s="113">
        <v>0.23</v>
      </c>
      <c r="H597" s="113">
        <v>2.75</v>
      </c>
      <c r="I597" s="523">
        <f>ROUND(IF(AND(F597:H597),C597*E597*F597*G597*H597,IF(AND(F597,G597),C597*E597*F597*G597,IF(AND(F597,H597),C597*E597*F597*H597,IF(AND(G597,H597),C597*E597*G597*H597,IF(F597,C597*E597*F597,IF(G597,C597*E597*G597,IF(H597,C597*E597*H597,C597*E597))))))),2)</f>
        <v>7.51</v>
      </c>
      <c r="J597" s="532" t="s">
        <v>5</v>
      </c>
      <c r="K597" s="111"/>
      <c r="L597" s="81"/>
      <c r="M597" s="111"/>
    </row>
    <row r="598" spans="1:13" s="525" customFormat="1" ht="16.5" hidden="1" customHeight="1">
      <c r="A598" s="81"/>
      <c r="B598" s="111" t="s">
        <v>1797</v>
      </c>
      <c r="C598" s="515"/>
      <c r="D598" s="553"/>
      <c r="E598" s="534"/>
      <c r="F598" s="113"/>
      <c r="G598" s="113"/>
      <c r="H598" s="113"/>
      <c r="I598" s="523"/>
      <c r="J598" s="532"/>
      <c r="K598" s="111"/>
      <c r="L598" s="81"/>
      <c r="M598" s="111"/>
    </row>
    <row r="599" spans="1:13" s="525" customFormat="1" ht="16.5" hidden="1" customHeight="1">
      <c r="A599" s="81"/>
      <c r="B599" s="111" t="s">
        <v>1798</v>
      </c>
      <c r="C599" s="515">
        <v>-1</v>
      </c>
      <c r="D599" s="553" t="s">
        <v>265</v>
      </c>
      <c r="E599" s="534">
        <v>1</v>
      </c>
      <c r="F599" s="113">
        <v>1.05</v>
      </c>
      <c r="G599" s="113">
        <v>0.23</v>
      </c>
      <c r="H599" s="113">
        <v>2.13</v>
      </c>
      <c r="I599" s="523">
        <f t="shared" ref="I599:I604" si="67">ROUND(IF(AND(F599:H599),C599*E599*F599*G599*H599,IF(AND(F599,G599),C599*E599*F599*G599,IF(AND(F599,H599),C599*E599*F599*H599,IF(AND(G599,H599),C599*E599*G599*H599,IF(F599,C599*E599*F599,IF(G599,C599*E599*G599,IF(H599,C599*E599*H599,C599*E599))))))),2)</f>
        <v>-0.51</v>
      </c>
      <c r="J599" s="532" t="s">
        <v>5</v>
      </c>
      <c r="K599" s="111"/>
      <c r="L599" s="81"/>
      <c r="M599" s="111"/>
    </row>
    <row r="600" spans="1:13" s="525" customFormat="1" ht="16.5" hidden="1" customHeight="1">
      <c r="A600" s="81"/>
      <c r="B600" s="111" t="s">
        <v>1799</v>
      </c>
      <c r="C600" s="515">
        <v>-1</v>
      </c>
      <c r="D600" s="553" t="s">
        <v>265</v>
      </c>
      <c r="E600" s="534">
        <v>6</v>
      </c>
      <c r="F600" s="113">
        <v>1.22</v>
      </c>
      <c r="G600" s="113">
        <v>0.23</v>
      </c>
      <c r="H600" s="113">
        <v>1.22</v>
      </c>
      <c r="I600" s="523">
        <f t="shared" si="67"/>
        <v>-2.0499999999999998</v>
      </c>
      <c r="J600" s="532" t="s">
        <v>5</v>
      </c>
      <c r="K600" s="111"/>
      <c r="L600" s="81"/>
      <c r="M600" s="111"/>
    </row>
    <row r="601" spans="1:13" s="525" customFormat="1" ht="16.5" hidden="1" customHeight="1">
      <c r="A601" s="81"/>
      <c r="B601" s="111"/>
      <c r="C601" s="515">
        <v>-1</v>
      </c>
      <c r="D601" s="553" t="s">
        <v>265</v>
      </c>
      <c r="E601" s="534">
        <v>2</v>
      </c>
      <c r="F601" s="113">
        <v>0.9</v>
      </c>
      <c r="G601" s="113">
        <v>0.23</v>
      </c>
      <c r="H601" s="113">
        <v>0.9</v>
      </c>
      <c r="I601" s="523">
        <f t="shared" si="67"/>
        <v>-0.37</v>
      </c>
      <c r="J601" s="532" t="s">
        <v>5</v>
      </c>
      <c r="K601" s="111"/>
      <c r="L601" s="81"/>
      <c r="M601" s="111"/>
    </row>
    <row r="602" spans="1:13" s="525" customFormat="1" ht="16.5" hidden="1" customHeight="1">
      <c r="A602" s="81"/>
      <c r="B602" s="111" t="s">
        <v>1800</v>
      </c>
      <c r="C602" s="515">
        <v>-1</v>
      </c>
      <c r="D602" s="553" t="s">
        <v>265</v>
      </c>
      <c r="E602" s="534">
        <v>8</v>
      </c>
      <c r="F602" s="113">
        <v>0.9</v>
      </c>
      <c r="G602" s="113">
        <v>0.23</v>
      </c>
      <c r="H602" s="113">
        <v>0.3</v>
      </c>
      <c r="I602" s="523">
        <f t="shared" si="67"/>
        <v>-0.5</v>
      </c>
      <c r="J602" s="532" t="s">
        <v>5</v>
      </c>
      <c r="K602" s="111"/>
      <c r="L602" s="81"/>
      <c r="M602" s="111"/>
    </row>
    <row r="603" spans="1:13" s="525" customFormat="1" ht="16.5" hidden="1" customHeight="1">
      <c r="A603" s="81"/>
      <c r="B603" s="111" t="s">
        <v>1801</v>
      </c>
      <c r="C603" s="515">
        <v>-1</v>
      </c>
      <c r="D603" s="553" t="s">
        <v>265</v>
      </c>
      <c r="E603" s="534">
        <v>2</v>
      </c>
      <c r="F603" s="113">
        <v>7.3100000000000005</v>
      </c>
      <c r="G603" s="113">
        <v>0.23</v>
      </c>
      <c r="H603" s="113">
        <v>0.23</v>
      </c>
      <c r="I603" s="523">
        <f t="shared" si="67"/>
        <v>-0.77</v>
      </c>
      <c r="J603" s="532" t="s">
        <v>5</v>
      </c>
      <c r="K603" s="111"/>
      <c r="L603" s="81"/>
      <c r="M603" s="111"/>
    </row>
    <row r="604" spans="1:13" s="525" customFormat="1" ht="16.5" hidden="1" customHeight="1">
      <c r="A604" s="81"/>
      <c r="B604" s="111"/>
      <c r="C604" s="515">
        <v>-1</v>
      </c>
      <c r="D604" s="553" t="s">
        <v>265</v>
      </c>
      <c r="E604" s="534">
        <v>2</v>
      </c>
      <c r="F604" s="113">
        <v>5.9400000000000013</v>
      </c>
      <c r="G604" s="113">
        <v>0.23</v>
      </c>
      <c r="H604" s="113">
        <v>0.23</v>
      </c>
      <c r="I604" s="523">
        <f t="shared" si="67"/>
        <v>-0.63</v>
      </c>
      <c r="J604" s="532" t="s">
        <v>5</v>
      </c>
      <c r="K604" s="111"/>
      <c r="L604" s="81"/>
      <c r="M604" s="111"/>
    </row>
    <row r="605" spans="1:13" s="525" customFormat="1" ht="16.5" hidden="1" customHeight="1">
      <c r="A605" s="81"/>
      <c r="B605" s="526"/>
      <c r="C605" s="527"/>
      <c r="D605" s="528"/>
      <c r="E605" s="529"/>
      <c r="F605" s="530"/>
      <c r="G605" s="530"/>
      <c r="H605" s="530"/>
      <c r="I605" s="531"/>
      <c r="J605" s="532"/>
      <c r="K605" s="111"/>
      <c r="L605" s="517"/>
      <c r="M605" s="111"/>
    </row>
    <row r="606" spans="1:13" hidden="1">
      <c r="A606" s="81"/>
      <c r="B606" s="111"/>
      <c r="C606" s="112"/>
      <c r="D606" s="533"/>
      <c r="E606" s="534"/>
      <c r="F606" s="113"/>
      <c r="G606" s="539"/>
      <c r="H606" s="81"/>
      <c r="I606" s="531"/>
      <c r="J606" s="532" t="s">
        <v>5</v>
      </c>
      <c r="K606" s="12">
        <f>'DATA 2024-25'!F453</f>
        <v>8653.09</v>
      </c>
      <c r="L606" s="517" t="s">
        <v>266</v>
      </c>
      <c r="M606" s="11">
        <f>ROUND(I606*K606,0)</f>
        <v>0</v>
      </c>
    </row>
    <row r="607" spans="1:13" ht="69.75" hidden="1" customHeight="1">
      <c r="A607" s="81">
        <v>8</v>
      </c>
      <c r="B607" s="910" t="s">
        <v>633</v>
      </c>
      <c r="C607" s="910"/>
      <c r="D607" s="910"/>
      <c r="E607" s="910"/>
      <c r="F607" s="910"/>
      <c r="G607" s="910"/>
      <c r="H607" s="910"/>
      <c r="I607" s="515"/>
      <c r="J607" s="516"/>
      <c r="K607" s="81"/>
      <c r="L607" s="517"/>
      <c r="M607" s="110"/>
    </row>
    <row r="608" spans="1:13" s="525" customFormat="1" ht="16.5" hidden="1" customHeight="1">
      <c r="A608" s="81"/>
      <c r="B608" s="111" t="s">
        <v>1373</v>
      </c>
      <c r="C608" s="515"/>
      <c r="D608" s="553"/>
      <c r="E608" s="534"/>
      <c r="F608" s="113"/>
      <c r="G608" s="113"/>
      <c r="H608" s="113"/>
      <c r="I608" s="554"/>
      <c r="J608" s="532"/>
      <c r="K608" s="111"/>
      <c r="L608" s="81"/>
      <c r="M608" s="111"/>
    </row>
    <row r="609" spans="1:13" s="525" customFormat="1" ht="16.5" hidden="1" customHeight="1">
      <c r="A609" s="81"/>
      <c r="B609" s="111" t="s">
        <v>1351</v>
      </c>
      <c r="C609" s="515">
        <v>1</v>
      </c>
      <c r="D609" s="553" t="s">
        <v>265</v>
      </c>
      <c r="E609" s="534">
        <v>1</v>
      </c>
      <c r="F609" s="113">
        <v>9.06</v>
      </c>
      <c r="G609" s="113">
        <v>0.23</v>
      </c>
      <c r="H609" s="113">
        <v>2.1</v>
      </c>
      <c r="I609" s="523">
        <f t="shared" ref="I609:I615" si="68">ROUND(IF(AND(F609:H609),C609*E609*F609*G609*H609,IF(AND(F609,G609),C609*E609*F609*G609,IF(AND(F609,H609),C609*E609*F609*H609,IF(AND(G609,H609),C609*E609*G609*H609,IF(F609,C609*E609*F609,IF(G609,C609*E609*G609,IF(H609,C609*E609*H609,C609*E609))))))),2)</f>
        <v>4.38</v>
      </c>
      <c r="J609" s="532" t="s">
        <v>5</v>
      </c>
      <c r="K609" s="111"/>
      <c r="L609" s="81"/>
      <c r="M609" s="111"/>
    </row>
    <row r="610" spans="1:13" s="525" customFormat="1" ht="16.5" hidden="1" customHeight="1">
      <c r="A610" s="81"/>
      <c r="B610" s="111" t="s">
        <v>1352</v>
      </c>
      <c r="C610" s="515">
        <v>1</v>
      </c>
      <c r="D610" s="553" t="s">
        <v>265</v>
      </c>
      <c r="E610" s="534">
        <v>1</v>
      </c>
      <c r="F610" s="113">
        <v>3.16</v>
      </c>
      <c r="G610" s="113">
        <v>0.23</v>
      </c>
      <c r="H610" s="113">
        <v>2.1</v>
      </c>
      <c r="I610" s="523">
        <f t="shared" si="68"/>
        <v>1.53</v>
      </c>
      <c r="J610" s="532" t="s">
        <v>5</v>
      </c>
      <c r="K610" s="111"/>
      <c r="L610" s="81"/>
      <c r="M610" s="111"/>
    </row>
    <row r="611" spans="1:13" s="525" customFormat="1" ht="16.5" hidden="1" customHeight="1">
      <c r="A611" s="81"/>
      <c r="B611" s="111" t="s">
        <v>1346</v>
      </c>
      <c r="C611" s="515">
        <v>1</v>
      </c>
      <c r="D611" s="553" t="s">
        <v>265</v>
      </c>
      <c r="E611" s="534">
        <v>1</v>
      </c>
      <c r="F611" s="113">
        <v>3.1</v>
      </c>
      <c r="G611" s="113">
        <v>0.23</v>
      </c>
      <c r="H611" s="113">
        <v>2.1</v>
      </c>
      <c r="I611" s="523">
        <f t="shared" si="68"/>
        <v>1.5</v>
      </c>
      <c r="J611" s="532" t="s">
        <v>5</v>
      </c>
      <c r="K611" s="111"/>
      <c r="L611" s="81"/>
      <c r="M611" s="111"/>
    </row>
    <row r="612" spans="1:13" s="525" customFormat="1" ht="16.5" hidden="1" customHeight="1">
      <c r="A612" s="81"/>
      <c r="B612" s="111" t="s">
        <v>1353</v>
      </c>
      <c r="C612" s="515">
        <v>1</v>
      </c>
      <c r="D612" s="553" t="s">
        <v>265</v>
      </c>
      <c r="E612" s="534">
        <v>1</v>
      </c>
      <c r="F612" s="113">
        <v>12</v>
      </c>
      <c r="G612" s="113">
        <v>0.23</v>
      </c>
      <c r="H612" s="113">
        <v>2.1</v>
      </c>
      <c r="I612" s="523">
        <f t="shared" si="68"/>
        <v>5.8</v>
      </c>
      <c r="J612" s="532" t="s">
        <v>5</v>
      </c>
      <c r="K612" s="111"/>
      <c r="L612" s="81"/>
      <c r="M612" s="111"/>
    </row>
    <row r="613" spans="1:13" s="525" customFormat="1" ht="16.5" hidden="1" customHeight="1">
      <c r="A613" s="81"/>
      <c r="B613" s="111" t="s">
        <v>1343</v>
      </c>
      <c r="C613" s="515">
        <v>1</v>
      </c>
      <c r="D613" s="553" t="s">
        <v>265</v>
      </c>
      <c r="E613" s="534">
        <v>1</v>
      </c>
      <c r="F613" s="113">
        <v>3.16</v>
      </c>
      <c r="G613" s="113">
        <v>0.23</v>
      </c>
      <c r="H613" s="113">
        <v>2.1</v>
      </c>
      <c r="I613" s="523">
        <f t="shared" si="68"/>
        <v>1.53</v>
      </c>
      <c r="J613" s="532" t="s">
        <v>5</v>
      </c>
      <c r="K613" s="111"/>
      <c r="L613" s="81"/>
      <c r="M613" s="111"/>
    </row>
    <row r="614" spans="1:13" s="525" customFormat="1" ht="16.5" hidden="1" customHeight="1">
      <c r="A614" s="81"/>
      <c r="B614" s="111" t="s">
        <v>1350</v>
      </c>
      <c r="C614" s="515">
        <v>1</v>
      </c>
      <c r="D614" s="553" t="s">
        <v>265</v>
      </c>
      <c r="E614" s="534">
        <v>1</v>
      </c>
      <c r="F614" s="113">
        <v>3.1</v>
      </c>
      <c r="G614" s="113">
        <v>0.23</v>
      </c>
      <c r="H614" s="113">
        <v>2.1</v>
      </c>
      <c r="I614" s="523">
        <f t="shared" si="68"/>
        <v>1.5</v>
      </c>
      <c r="J614" s="532" t="s">
        <v>5</v>
      </c>
      <c r="K614" s="111"/>
      <c r="L614" s="81"/>
      <c r="M614" s="111"/>
    </row>
    <row r="615" spans="1:13" s="525" customFormat="1" ht="16.5" hidden="1" customHeight="1">
      <c r="A615" s="81"/>
      <c r="B615" s="111" t="s">
        <v>1349</v>
      </c>
      <c r="C615" s="515">
        <v>1</v>
      </c>
      <c r="D615" s="553" t="s">
        <v>265</v>
      </c>
      <c r="E615" s="534">
        <v>1</v>
      </c>
      <c r="F615" s="113">
        <v>3.16</v>
      </c>
      <c r="G615" s="113">
        <v>0.23</v>
      </c>
      <c r="H615" s="113">
        <v>2.1</v>
      </c>
      <c r="I615" s="523">
        <f t="shared" si="68"/>
        <v>1.53</v>
      </c>
      <c r="J615" s="532" t="s">
        <v>5</v>
      </c>
      <c r="K615" s="111"/>
      <c r="L615" s="81"/>
      <c r="M615" s="111"/>
    </row>
    <row r="616" spans="1:13" s="525" customFormat="1" ht="16.5" hidden="1" customHeight="1">
      <c r="A616" s="81"/>
      <c r="B616" s="111" t="s">
        <v>274</v>
      </c>
      <c r="C616" s="515">
        <v>1</v>
      </c>
      <c r="D616" s="553" t="s">
        <v>265</v>
      </c>
      <c r="E616" s="534">
        <v>5</v>
      </c>
      <c r="F616" s="113">
        <v>1.35</v>
      </c>
      <c r="G616" s="113">
        <v>0.23</v>
      </c>
      <c r="H616" s="113">
        <v>1.5</v>
      </c>
      <c r="I616" s="523">
        <f>-ROUND(IF(AND(F616:H616),C616*E616*F616*G616*H616,IF(AND(F616,G616),C616*E616*F616*G616,IF(AND(F616,H616),C616*E616*F616*H616,IF(AND(G616,H616),C616*E616*G616*H616,IF(F616,C616*E616*F616,IF(G616,C616*E616*G616,IF(H616,C616*E616*H616,C616*E616))))))),2)</f>
        <v>-2.33</v>
      </c>
      <c r="J616" s="532" t="s">
        <v>5</v>
      </c>
      <c r="K616" s="111"/>
      <c r="L616" s="81"/>
      <c r="M616" s="111"/>
    </row>
    <row r="617" spans="1:13" s="525" customFormat="1" ht="16.5" hidden="1" customHeight="1">
      <c r="A617" s="81"/>
      <c r="B617" s="111" t="s">
        <v>565</v>
      </c>
      <c r="C617" s="515">
        <v>1</v>
      </c>
      <c r="D617" s="553" t="s">
        <v>265</v>
      </c>
      <c r="E617" s="534">
        <v>1</v>
      </c>
      <c r="F617" s="113">
        <v>1.2</v>
      </c>
      <c r="G617" s="113">
        <v>0.23</v>
      </c>
      <c r="H617" s="113">
        <v>2.1</v>
      </c>
      <c r="I617" s="523">
        <f>-ROUND(IF(AND(F617:H617),C617*E617*F617*G617*H617,IF(AND(F617,G617),C617*E617*F617*G617,IF(AND(F617,H617),C617*E617*F617*H617,IF(AND(G617,H617),C617*E617*G617*H617,IF(F617,C617*E617*F617,IF(G617,C617*E617*G617,IF(H617,C617*E617*H617,C617*E617))))))),2)</f>
        <v>-0.57999999999999996</v>
      </c>
      <c r="J617" s="532" t="s">
        <v>5</v>
      </c>
      <c r="K617" s="111"/>
      <c r="L617" s="81"/>
      <c r="M617" s="111"/>
    </row>
    <row r="618" spans="1:13" s="525" customFormat="1" ht="16.5" hidden="1" customHeight="1">
      <c r="A618" s="81"/>
      <c r="B618" s="111" t="s">
        <v>565</v>
      </c>
      <c r="C618" s="515">
        <v>1</v>
      </c>
      <c r="D618" s="553" t="s">
        <v>265</v>
      </c>
      <c r="E618" s="534">
        <v>2</v>
      </c>
      <c r="F618" s="113">
        <v>1.0900000000000001</v>
      </c>
      <c r="G618" s="113">
        <v>0.23</v>
      </c>
      <c r="H618" s="113">
        <v>2.1</v>
      </c>
      <c r="I618" s="523">
        <f>-ROUND(IF(AND(F618:H618),C618*E618*F618*G618*H618,IF(AND(F618,G618),C618*E618*F618*G618,IF(AND(F618,H618),C618*E618*F618*H618,IF(AND(G618,H618),C618*E618*G618*H618,IF(F618,C618*E618*F618,IF(G618,C618*E618*G618,IF(H618,C618*E618*H618,C618*E618))))))),2)</f>
        <v>-1.05</v>
      </c>
      <c r="J618" s="532" t="s">
        <v>5</v>
      </c>
      <c r="K618" s="111"/>
      <c r="L618" s="81"/>
      <c r="M618" s="111"/>
    </row>
    <row r="619" spans="1:13" s="525" customFormat="1" ht="16.5" hidden="1" customHeight="1">
      <c r="A619" s="81"/>
      <c r="B619" s="111" t="s">
        <v>276</v>
      </c>
      <c r="C619" s="515">
        <v>1</v>
      </c>
      <c r="D619" s="553" t="s">
        <v>265</v>
      </c>
      <c r="E619" s="534">
        <v>5</v>
      </c>
      <c r="F619" s="113">
        <v>0.38</v>
      </c>
      <c r="G619" s="113">
        <v>0.23</v>
      </c>
      <c r="H619" s="113">
        <v>2.1</v>
      </c>
      <c r="I619" s="523">
        <f>-ROUND(IF(AND(F619:H619),C619*E619*F619*G619*H619,IF(AND(F619,G619),C619*E619*F619*G619,IF(AND(F619,H619),C619*E619*F619*H619,IF(AND(G619,H619),C619*E619*G619*H619,IF(F619,C619*E619*F619,IF(G619,C619*E619*G619,IF(H619,C619*E619*H619,C619*E619))))))),2)</f>
        <v>-0.92</v>
      </c>
      <c r="J619" s="532" t="s">
        <v>5</v>
      </c>
      <c r="K619" s="111"/>
      <c r="L619" s="81"/>
      <c r="M619" s="111"/>
    </row>
    <row r="620" spans="1:13" s="525" customFormat="1" ht="16.5" hidden="1" customHeight="1">
      <c r="A620" s="81"/>
      <c r="B620" s="111" t="s">
        <v>1375</v>
      </c>
      <c r="C620" s="515"/>
      <c r="D620" s="553"/>
      <c r="E620" s="534"/>
      <c r="F620" s="113"/>
      <c r="G620" s="113"/>
      <c r="H620" s="113"/>
      <c r="I620" s="554"/>
      <c r="J620" s="532"/>
      <c r="K620" s="111"/>
      <c r="L620" s="81"/>
      <c r="M620" s="111"/>
    </row>
    <row r="621" spans="1:13" s="525" customFormat="1" ht="16.5" hidden="1" customHeight="1">
      <c r="A621" s="81"/>
      <c r="B621" s="111" t="s">
        <v>1351</v>
      </c>
      <c r="C621" s="515">
        <v>1</v>
      </c>
      <c r="D621" s="553" t="s">
        <v>265</v>
      </c>
      <c r="E621" s="534">
        <v>1</v>
      </c>
      <c r="F621" s="113">
        <v>9.06</v>
      </c>
      <c r="G621" s="113">
        <v>0.23</v>
      </c>
      <c r="H621" s="113">
        <v>0.6</v>
      </c>
      <c r="I621" s="523">
        <f t="shared" ref="I621:I627" si="69">ROUND(IF(AND(F621:H621),C621*E621*F621*G621*H621,IF(AND(F621,G621),C621*E621*F621*G621,IF(AND(F621,H621),C621*E621*F621*H621,IF(AND(G621,H621),C621*E621*G621*H621,IF(F621,C621*E621*F621,IF(G621,C621*E621*G621,IF(H621,C621*E621*H621,C621*E621))))))),2)</f>
        <v>1.25</v>
      </c>
      <c r="J621" s="532" t="s">
        <v>5</v>
      </c>
      <c r="K621" s="111"/>
      <c r="L621" s="81"/>
      <c r="M621" s="111"/>
    </row>
    <row r="622" spans="1:13" s="525" customFormat="1" ht="16.5" hidden="1" customHeight="1">
      <c r="A622" s="81"/>
      <c r="B622" s="111" t="s">
        <v>1352</v>
      </c>
      <c r="C622" s="515">
        <v>1</v>
      </c>
      <c r="D622" s="553" t="s">
        <v>265</v>
      </c>
      <c r="E622" s="534">
        <v>1</v>
      </c>
      <c r="F622" s="113">
        <v>3.16</v>
      </c>
      <c r="G622" s="113">
        <v>0.23</v>
      </c>
      <c r="H622" s="113">
        <v>0.6</v>
      </c>
      <c r="I622" s="523">
        <f t="shared" si="69"/>
        <v>0.44</v>
      </c>
      <c r="J622" s="532" t="s">
        <v>5</v>
      </c>
      <c r="K622" s="111"/>
      <c r="L622" s="81"/>
      <c r="M622" s="111"/>
    </row>
    <row r="623" spans="1:13" s="525" customFormat="1" ht="16.5" hidden="1" customHeight="1">
      <c r="A623" s="81"/>
      <c r="B623" s="111" t="s">
        <v>1346</v>
      </c>
      <c r="C623" s="515">
        <v>1</v>
      </c>
      <c r="D623" s="553" t="s">
        <v>265</v>
      </c>
      <c r="E623" s="534">
        <v>1</v>
      </c>
      <c r="F623" s="113">
        <v>3.1</v>
      </c>
      <c r="G623" s="113">
        <v>0.23</v>
      </c>
      <c r="H623" s="113">
        <v>0.6</v>
      </c>
      <c r="I623" s="523">
        <f t="shared" si="69"/>
        <v>0.43</v>
      </c>
      <c r="J623" s="532" t="s">
        <v>5</v>
      </c>
      <c r="K623" s="111"/>
      <c r="L623" s="81"/>
      <c r="M623" s="111"/>
    </row>
    <row r="624" spans="1:13" s="525" customFormat="1" ht="16.5" hidden="1" customHeight="1">
      <c r="A624" s="81"/>
      <c r="B624" s="111" t="s">
        <v>1353</v>
      </c>
      <c r="C624" s="515">
        <v>1</v>
      </c>
      <c r="D624" s="553" t="s">
        <v>265</v>
      </c>
      <c r="E624" s="534">
        <v>1</v>
      </c>
      <c r="F624" s="113">
        <v>12</v>
      </c>
      <c r="G624" s="113">
        <v>0.23</v>
      </c>
      <c r="H624" s="113">
        <v>0.6</v>
      </c>
      <c r="I624" s="523">
        <f t="shared" si="69"/>
        <v>1.66</v>
      </c>
      <c r="J624" s="532" t="s">
        <v>5</v>
      </c>
      <c r="K624" s="111"/>
      <c r="L624" s="81"/>
      <c r="M624" s="111"/>
    </row>
    <row r="625" spans="1:13" s="525" customFormat="1" ht="16.5" hidden="1" customHeight="1">
      <c r="A625" s="81"/>
      <c r="B625" s="111" t="s">
        <v>1343</v>
      </c>
      <c r="C625" s="515">
        <v>1</v>
      </c>
      <c r="D625" s="553" t="s">
        <v>265</v>
      </c>
      <c r="E625" s="534">
        <v>1</v>
      </c>
      <c r="F625" s="113">
        <v>3.16</v>
      </c>
      <c r="G625" s="113">
        <v>0.23</v>
      </c>
      <c r="H625" s="113">
        <v>0.6</v>
      </c>
      <c r="I625" s="523">
        <f t="shared" si="69"/>
        <v>0.44</v>
      </c>
      <c r="J625" s="532" t="s">
        <v>5</v>
      </c>
      <c r="K625" s="111"/>
      <c r="L625" s="81"/>
      <c r="M625" s="111"/>
    </row>
    <row r="626" spans="1:13" s="525" customFormat="1" ht="16.5" hidden="1" customHeight="1">
      <c r="A626" s="81"/>
      <c r="B626" s="111" t="s">
        <v>1350</v>
      </c>
      <c r="C626" s="515">
        <v>1</v>
      </c>
      <c r="D626" s="553" t="s">
        <v>265</v>
      </c>
      <c r="E626" s="534">
        <v>1</v>
      </c>
      <c r="F626" s="113">
        <v>3.1</v>
      </c>
      <c r="G626" s="113">
        <v>0.23</v>
      </c>
      <c r="H626" s="113">
        <v>0.6</v>
      </c>
      <c r="I626" s="523">
        <f t="shared" si="69"/>
        <v>0.43</v>
      </c>
      <c r="J626" s="532" t="s">
        <v>5</v>
      </c>
      <c r="K626" s="111"/>
      <c r="L626" s="81"/>
      <c r="M626" s="111"/>
    </row>
    <row r="627" spans="1:13" s="525" customFormat="1" ht="16.5" hidden="1" customHeight="1">
      <c r="A627" s="81"/>
      <c r="B627" s="111"/>
      <c r="C627" s="515">
        <v>1</v>
      </c>
      <c r="D627" s="553" t="s">
        <v>265</v>
      </c>
      <c r="E627" s="534">
        <v>1</v>
      </c>
      <c r="F627" s="113">
        <v>3.16</v>
      </c>
      <c r="G627" s="113">
        <v>0.23</v>
      </c>
      <c r="H627" s="113">
        <v>0.6</v>
      </c>
      <c r="I627" s="523">
        <f t="shared" si="69"/>
        <v>0.44</v>
      </c>
      <c r="J627" s="532" t="s">
        <v>5</v>
      </c>
      <c r="K627" s="111"/>
      <c r="L627" s="81"/>
      <c r="M627" s="111"/>
    </row>
    <row r="628" spans="1:13" s="525" customFormat="1" ht="16.5" hidden="1" customHeight="1">
      <c r="A628" s="81"/>
      <c r="B628" s="111" t="s">
        <v>276</v>
      </c>
      <c r="C628" s="515">
        <v>1</v>
      </c>
      <c r="D628" s="553" t="s">
        <v>265</v>
      </c>
      <c r="E628" s="534">
        <v>5</v>
      </c>
      <c r="F628" s="113">
        <v>0.38</v>
      </c>
      <c r="G628" s="113">
        <v>0.23</v>
      </c>
      <c r="H628" s="113">
        <v>0.6</v>
      </c>
      <c r="I628" s="523">
        <f>-ROUND(IF(AND(F628:H628),C628*E628*F628*G628*H628,IF(AND(F628,G628),C628*E628*F628*G628,IF(AND(F628,H628),C628*E628*F628*H628,IF(AND(G628,H628),C628*E628*G628*H628,IF(F628,C628*E628*F628,IF(G628,C628*E628*G628,IF(H628,C628*E628*H628,C628*E628))))))),2)</f>
        <v>-0.26</v>
      </c>
      <c r="J628" s="532" t="s">
        <v>5</v>
      </c>
      <c r="K628" s="111"/>
      <c r="L628" s="81"/>
      <c r="M628" s="111"/>
    </row>
    <row r="629" spans="1:13" s="525" customFormat="1" ht="16.5" hidden="1" customHeight="1">
      <c r="A629" s="81"/>
      <c r="B629" s="111" t="s">
        <v>567</v>
      </c>
      <c r="C629" s="515">
        <v>1</v>
      </c>
      <c r="D629" s="553" t="s">
        <v>265</v>
      </c>
      <c r="E629" s="534">
        <v>8</v>
      </c>
      <c r="F629" s="113">
        <v>0.6</v>
      </c>
      <c r="G629" s="113">
        <v>0.23</v>
      </c>
      <c r="H629" s="113">
        <v>0.3</v>
      </c>
      <c r="I629" s="523">
        <f>-ROUND(IF(AND(F629:H629),C629*E629*F629*G629*H629,IF(AND(F629,G629),C629*E629*F629*G629,IF(AND(F629,H629),C629*E629*F629*H629,IF(AND(G629,H629),C629*E629*G629*H629,IF(F629,C629*E629*F629,IF(G629,C629*E629*G629,IF(H629,C629*E629*H629,C629*E629))))))),2)</f>
        <v>-0.33</v>
      </c>
      <c r="J629" s="532" t="s">
        <v>5</v>
      </c>
      <c r="K629" s="111"/>
      <c r="L629" s="81"/>
      <c r="M629" s="111"/>
    </row>
    <row r="630" spans="1:13" s="525" customFormat="1" ht="16.5" hidden="1" customHeight="1">
      <c r="A630" s="81"/>
      <c r="B630" s="526"/>
      <c r="C630" s="527"/>
      <c r="D630" s="528"/>
      <c r="E630" s="529"/>
      <c r="F630" s="530"/>
      <c r="G630" s="530"/>
      <c r="H630" s="530"/>
      <c r="I630" s="531"/>
      <c r="J630" s="532"/>
      <c r="K630" s="111"/>
      <c r="L630" s="517"/>
      <c r="M630" s="111"/>
    </row>
    <row r="631" spans="1:13" hidden="1">
      <c r="A631" s="81"/>
      <c r="B631" s="111"/>
      <c r="C631" s="112"/>
      <c r="D631" s="533"/>
      <c r="E631" s="534"/>
      <c r="F631" s="113"/>
      <c r="G631" s="539"/>
      <c r="H631" s="81"/>
      <c r="I631" s="531"/>
      <c r="J631" s="532" t="s">
        <v>5</v>
      </c>
      <c r="K631" s="12">
        <f>'DATA 2024-25'!F435</f>
        <v>8710.5999999999985</v>
      </c>
      <c r="L631" s="517" t="s">
        <v>266</v>
      </c>
      <c r="M631" s="11">
        <f>ROUND(I631*K631,0)</f>
        <v>0</v>
      </c>
    </row>
    <row r="632" spans="1:13" ht="132.75" hidden="1" customHeight="1">
      <c r="A632" s="81">
        <v>9</v>
      </c>
      <c r="B632" s="910" t="s">
        <v>849</v>
      </c>
      <c r="C632" s="910"/>
      <c r="D632" s="910"/>
      <c r="E632" s="910"/>
      <c r="F632" s="910"/>
      <c r="G632" s="910"/>
      <c r="H632" s="910"/>
      <c r="I632" s="515"/>
      <c r="J632" s="516"/>
      <c r="K632" s="81"/>
      <c r="L632" s="517"/>
      <c r="M632" s="110"/>
    </row>
    <row r="633" spans="1:13" s="525" customFormat="1" ht="16.5" hidden="1" customHeight="1">
      <c r="A633" s="81"/>
      <c r="B633" s="111" t="s">
        <v>1370</v>
      </c>
      <c r="C633" s="515"/>
      <c r="D633" s="553"/>
      <c r="E633" s="534"/>
      <c r="F633" s="113"/>
      <c r="G633" s="113"/>
      <c r="H633" s="113"/>
      <c r="I633" s="554"/>
      <c r="J633" s="532"/>
      <c r="K633" s="111"/>
      <c r="L633" s="81"/>
      <c r="M633" s="111"/>
    </row>
    <row r="634" spans="1:13" s="525" customFormat="1" ht="15" hidden="1">
      <c r="A634" s="81"/>
      <c r="B634" s="111" t="s">
        <v>1354</v>
      </c>
      <c r="C634" s="515">
        <v>1</v>
      </c>
      <c r="D634" s="553" t="s">
        <v>265</v>
      </c>
      <c r="E634" s="534">
        <v>1</v>
      </c>
      <c r="F634" s="113">
        <v>9.3000000000000007</v>
      </c>
      <c r="G634" s="113">
        <v>0</v>
      </c>
      <c r="H634" s="113">
        <v>2.1</v>
      </c>
      <c r="I634" s="523">
        <f t="shared" ref="I634:I640" si="70">ROUND(IF(AND(F634:H634),C634*E634*F634*G634*H634,IF(AND(F634,G634),C634*E634*F634*G634,IF(AND(F634,H634),C634*E634*F634*H634,IF(AND(G634,H634),C634*E634*G634*H634,IF(F634,C634*E634*F634,IF(G634,C634*E634*G634,IF(H634,C634*E634*H634,C634*E634))))))),2)</f>
        <v>19.53</v>
      </c>
      <c r="J634" s="532" t="s">
        <v>102</v>
      </c>
      <c r="K634" s="111"/>
      <c r="L634" s="81"/>
      <c r="M634" s="111"/>
    </row>
    <row r="635" spans="1:13" s="525" customFormat="1" ht="15" hidden="1">
      <c r="A635" s="81"/>
      <c r="B635" s="111" t="s">
        <v>1354</v>
      </c>
      <c r="C635" s="515">
        <v>1</v>
      </c>
      <c r="D635" s="553" t="s">
        <v>265</v>
      </c>
      <c r="E635" s="534">
        <v>1</v>
      </c>
      <c r="F635" s="113">
        <v>9.3000000000000007</v>
      </c>
      <c r="G635" s="113">
        <v>0</v>
      </c>
      <c r="H635" s="113">
        <v>2.1</v>
      </c>
      <c r="I635" s="523">
        <f t="shared" si="70"/>
        <v>19.53</v>
      </c>
      <c r="J635" s="532" t="s">
        <v>102</v>
      </c>
      <c r="K635" s="111"/>
      <c r="L635" s="81"/>
      <c r="M635" s="111"/>
    </row>
    <row r="636" spans="1:13" s="525" customFormat="1" ht="15" hidden="1">
      <c r="A636" s="81"/>
      <c r="B636" s="111" t="s">
        <v>1343</v>
      </c>
      <c r="C636" s="515">
        <v>1</v>
      </c>
      <c r="D636" s="553" t="s">
        <v>265</v>
      </c>
      <c r="E636" s="534">
        <v>1</v>
      </c>
      <c r="F636" s="113">
        <v>3.16</v>
      </c>
      <c r="G636" s="113">
        <v>0</v>
      </c>
      <c r="H636" s="113">
        <v>2.1</v>
      </c>
      <c r="I636" s="523">
        <f t="shared" si="70"/>
        <v>6.64</v>
      </c>
      <c r="J636" s="532" t="s">
        <v>102</v>
      </c>
      <c r="K636" s="111"/>
      <c r="L636" s="81"/>
      <c r="M636" s="111"/>
    </row>
    <row r="637" spans="1:13" s="525" customFormat="1" ht="15" hidden="1">
      <c r="A637" s="81"/>
      <c r="B637" s="111" t="s">
        <v>1344</v>
      </c>
      <c r="C637" s="515">
        <v>1</v>
      </c>
      <c r="D637" s="553" t="s">
        <v>265</v>
      </c>
      <c r="E637" s="534">
        <v>1</v>
      </c>
      <c r="F637" s="113">
        <v>3.16</v>
      </c>
      <c r="G637" s="113">
        <v>0</v>
      </c>
      <c r="H637" s="113">
        <v>2.1</v>
      </c>
      <c r="I637" s="523">
        <f t="shared" si="70"/>
        <v>6.64</v>
      </c>
      <c r="J637" s="532" t="s">
        <v>102</v>
      </c>
      <c r="K637" s="111"/>
      <c r="L637" s="81"/>
      <c r="M637" s="111"/>
    </row>
    <row r="638" spans="1:13" s="525" customFormat="1" ht="15" hidden="1">
      <c r="A638" s="81"/>
      <c r="B638" s="111" t="s">
        <v>1345</v>
      </c>
      <c r="C638" s="515">
        <v>1</v>
      </c>
      <c r="D638" s="553" t="s">
        <v>265</v>
      </c>
      <c r="E638" s="534">
        <v>1</v>
      </c>
      <c r="F638" s="113">
        <v>3.16</v>
      </c>
      <c r="G638" s="113">
        <v>0</v>
      </c>
      <c r="H638" s="113">
        <v>2.1</v>
      </c>
      <c r="I638" s="523">
        <f t="shared" si="70"/>
        <v>6.64</v>
      </c>
      <c r="J638" s="532" t="s">
        <v>102</v>
      </c>
      <c r="K638" s="111"/>
      <c r="L638" s="81"/>
      <c r="M638" s="111"/>
    </row>
    <row r="639" spans="1:13" s="525" customFormat="1" ht="15" hidden="1">
      <c r="A639" s="81"/>
      <c r="B639" s="111" t="s">
        <v>1355</v>
      </c>
      <c r="C639" s="515">
        <v>1</v>
      </c>
      <c r="D639" s="553" t="s">
        <v>265</v>
      </c>
      <c r="E639" s="534">
        <v>1</v>
      </c>
      <c r="F639" s="113">
        <v>3.1</v>
      </c>
      <c r="G639" s="113">
        <v>0</v>
      </c>
      <c r="H639" s="113">
        <v>2.1</v>
      </c>
      <c r="I639" s="523">
        <f t="shared" si="70"/>
        <v>6.51</v>
      </c>
      <c r="J639" s="532" t="s">
        <v>102</v>
      </c>
      <c r="K639" s="111"/>
      <c r="L639" s="81"/>
      <c r="M639" s="111"/>
    </row>
    <row r="640" spans="1:13" s="525" customFormat="1" ht="15" hidden="1">
      <c r="A640" s="81"/>
      <c r="B640" s="111"/>
      <c r="C640" s="515">
        <v>1</v>
      </c>
      <c r="D640" s="553" t="s">
        <v>265</v>
      </c>
      <c r="E640" s="534">
        <v>1</v>
      </c>
      <c r="F640" s="113">
        <v>3.2</v>
      </c>
      <c r="G640" s="113">
        <v>0</v>
      </c>
      <c r="H640" s="113">
        <v>2.1</v>
      </c>
      <c r="I640" s="523">
        <f t="shared" si="70"/>
        <v>6.72</v>
      </c>
      <c r="J640" s="532" t="s">
        <v>102</v>
      </c>
      <c r="K640" s="111"/>
      <c r="L640" s="81"/>
      <c r="M640" s="111"/>
    </row>
    <row r="641" spans="1:13" s="525" customFormat="1" ht="15" hidden="1">
      <c r="A641" s="81"/>
      <c r="B641" s="111" t="s">
        <v>575</v>
      </c>
      <c r="C641" s="515">
        <v>1</v>
      </c>
      <c r="D641" s="553" t="s">
        <v>265</v>
      </c>
      <c r="E641" s="534">
        <v>5</v>
      </c>
      <c r="F641" s="113">
        <v>1.0900000000000001</v>
      </c>
      <c r="G641" s="113">
        <v>0</v>
      </c>
      <c r="H641" s="113">
        <v>2.1</v>
      </c>
      <c r="I641" s="523">
        <f>-ROUND(IF(AND(F641:H641),C641*E641*F641*G641*H641,IF(AND(F641,G641),C641*E641*F641*G641,IF(AND(F641,H641),C641*E641*F641*H641,IF(AND(G641,H641),C641*E641*G641*H641,IF(F641,C641*E641*F641,IF(G641,C641*E641*G641,IF(H641,C641*E641*H641,C641*E641))))))),2)</f>
        <v>-11.45</v>
      </c>
      <c r="J641" s="532" t="s">
        <v>102</v>
      </c>
      <c r="K641" s="111"/>
      <c r="L641" s="81"/>
      <c r="M641" s="111"/>
    </row>
    <row r="642" spans="1:13" s="525" customFormat="1" ht="15" hidden="1">
      <c r="A642" s="81"/>
      <c r="B642" s="111" t="s">
        <v>276</v>
      </c>
      <c r="C642" s="515">
        <v>1</v>
      </c>
      <c r="D642" s="553" t="s">
        <v>265</v>
      </c>
      <c r="E642" s="534">
        <v>2</v>
      </c>
      <c r="F642" s="113">
        <v>0.38</v>
      </c>
      <c r="G642" s="113">
        <v>0</v>
      </c>
      <c r="H642" s="113">
        <v>2.1</v>
      </c>
      <c r="I642" s="523">
        <f>-ROUND(IF(AND(F642:H642),C642*E642*F642*G642*H642,IF(AND(F642,G642),C642*E642*F642*G642,IF(AND(F642,H642),C642*E642*F642*H642,IF(AND(G642,H642),C642*E642*G642*H642,IF(F642,C642*E642*F642,IF(G642,C642*E642*G642,IF(H642,C642*E642*H642,C642*E642))))))),2)</f>
        <v>-1.6</v>
      </c>
      <c r="J642" s="532" t="s">
        <v>102</v>
      </c>
      <c r="K642" s="111"/>
      <c r="L642" s="81"/>
      <c r="M642" s="111"/>
    </row>
    <row r="643" spans="1:13" s="525" customFormat="1" ht="15" hidden="1">
      <c r="A643" s="81"/>
      <c r="B643" s="111" t="s">
        <v>1374</v>
      </c>
      <c r="C643" s="515">
        <v>1</v>
      </c>
      <c r="D643" s="553" t="s">
        <v>265</v>
      </c>
      <c r="E643" s="534">
        <v>1</v>
      </c>
      <c r="F643" s="113">
        <v>13.45</v>
      </c>
      <c r="G643" s="113">
        <v>0</v>
      </c>
      <c r="H643" s="113">
        <v>0.75</v>
      </c>
      <c r="I643" s="523">
        <f>ROUND(IF(AND(F643:H643),C643*E643*F643*G643*H643,IF(AND(F643,G643),C643*E643*F643*G643,IF(AND(F643,H643),C643*E643*F643*H643,IF(AND(G643,H643),C643*E643*G643*H643,IF(F643,C643*E643*F643,IF(G643,C643*E643*G643,IF(H643,C643*E643*H643,C643*E643))))))),2)</f>
        <v>10.09</v>
      </c>
      <c r="J643" s="532" t="s">
        <v>102</v>
      </c>
      <c r="K643" s="111"/>
      <c r="L643" s="81"/>
      <c r="M643" s="111"/>
    </row>
    <row r="644" spans="1:13" s="525" customFormat="1" ht="16.5" hidden="1" customHeight="1">
      <c r="A644" s="81"/>
      <c r="B644" s="111" t="s">
        <v>1376</v>
      </c>
      <c r="C644" s="515"/>
      <c r="D644" s="553"/>
      <c r="E644" s="534"/>
      <c r="F644" s="113"/>
      <c r="G644" s="113"/>
      <c r="H644" s="113"/>
      <c r="I644" s="554"/>
      <c r="J644" s="532"/>
      <c r="K644" s="111"/>
      <c r="L644" s="81"/>
      <c r="M644" s="111"/>
    </row>
    <row r="645" spans="1:13" s="525" customFormat="1" ht="15" hidden="1">
      <c r="A645" s="81"/>
      <c r="B645" s="111" t="s">
        <v>1354</v>
      </c>
      <c r="C645" s="515">
        <v>1</v>
      </c>
      <c r="D645" s="553" t="s">
        <v>265</v>
      </c>
      <c r="E645" s="534">
        <v>1</v>
      </c>
      <c r="F645" s="113">
        <v>9.3000000000000007</v>
      </c>
      <c r="G645" s="113">
        <v>0</v>
      </c>
      <c r="H645" s="113">
        <v>0.6</v>
      </c>
      <c r="I645" s="523">
        <f t="shared" ref="I645:I653" si="71">ROUND(IF(AND(F645:H645),C645*E645*F645*G645*H645,IF(AND(F645,G645),C645*E645*F645*G645,IF(AND(F645,H645),C645*E645*F645*H645,IF(AND(G645,H645),C645*E645*G645*H645,IF(F645,C645*E645*F645,IF(G645,C645*E645*G645,IF(H645,C645*E645*H645,C645*E645))))))),2)</f>
        <v>5.58</v>
      </c>
      <c r="J645" s="532" t="s">
        <v>102</v>
      </c>
      <c r="K645" s="111"/>
      <c r="L645" s="81"/>
      <c r="M645" s="111"/>
    </row>
    <row r="646" spans="1:13" s="525" customFormat="1" ht="15" hidden="1">
      <c r="A646" s="81"/>
      <c r="B646" s="111" t="s">
        <v>1354</v>
      </c>
      <c r="C646" s="515">
        <v>1</v>
      </c>
      <c r="D646" s="553" t="s">
        <v>265</v>
      </c>
      <c r="E646" s="534">
        <v>1</v>
      </c>
      <c r="F646" s="113">
        <v>9.3000000000000007</v>
      </c>
      <c r="G646" s="113">
        <v>0</v>
      </c>
      <c r="H646" s="113">
        <v>0.6</v>
      </c>
      <c r="I646" s="523">
        <f t="shared" si="71"/>
        <v>5.58</v>
      </c>
      <c r="J646" s="532" t="s">
        <v>102</v>
      </c>
      <c r="K646" s="111"/>
      <c r="L646" s="81"/>
      <c r="M646" s="111"/>
    </row>
    <row r="647" spans="1:13" s="525" customFormat="1" ht="15" hidden="1">
      <c r="A647" s="81"/>
      <c r="B647" s="111" t="s">
        <v>1343</v>
      </c>
      <c r="C647" s="515">
        <v>1</v>
      </c>
      <c r="D647" s="553" t="s">
        <v>265</v>
      </c>
      <c r="E647" s="534">
        <v>1</v>
      </c>
      <c r="F647" s="113">
        <v>3.16</v>
      </c>
      <c r="G647" s="113">
        <v>0</v>
      </c>
      <c r="H647" s="113">
        <v>0.6</v>
      </c>
      <c r="I647" s="523">
        <f t="shared" si="71"/>
        <v>1.9</v>
      </c>
      <c r="J647" s="532" t="s">
        <v>102</v>
      </c>
      <c r="K647" s="111"/>
      <c r="L647" s="81"/>
      <c r="M647" s="111"/>
    </row>
    <row r="648" spans="1:13" s="525" customFormat="1" ht="15" hidden="1">
      <c r="A648" s="81"/>
      <c r="B648" s="111" t="s">
        <v>1344</v>
      </c>
      <c r="C648" s="515">
        <v>1</v>
      </c>
      <c r="D648" s="553" t="s">
        <v>265</v>
      </c>
      <c r="E648" s="534">
        <v>1</v>
      </c>
      <c r="F648" s="113">
        <v>3.16</v>
      </c>
      <c r="G648" s="113">
        <v>0</v>
      </c>
      <c r="H648" s="113">
        <v>0.6</v>
      </c>
      <c r="I648" s="523">
        <f t="shared" si="71"/>
        <v>1.9</v>
      </c>
      <c r="J648" s="532" t="s">
        <v>102</v>
      </c>
      <c r="K648" s="111"/>
      <c r="L648" s="81"/>
      <c r="M648" s="111"/>
    </row>
    <row r="649" spans="1:13" s="525" customFormat="1" ht="15" hidden="1">
      <c r="A649" s="81"/>
      <c r="B649" s="111" t="s">
        <v>1345</v>
      </c>
      <c r="C649" s="515">
        <v>1</v>
      </c>
      <c r="D649" s="553" t="s">
        <v>265</v>
      </c>
      <c r="E649" s="534">
        <v>1</v>
      </c>
      <c r="F649" s="113">
        <v>3.16</v>
      </c>
      <c r="G649" s="113">
        <v>0</v>
      </c>
      <c r="H649" s="113">
        <v>0.6</v>
      </c>
      <c r="I649" s="523">
        <f t="shared" si="71"/>
        <v>1.9</v>
      </c>
      <c r="J649" s="532" t="s">
        <v>102</v>
      </c>
      <c r="K649" s="111"/>
      <c r="L649" s="81"/>
      <c r="M649" s="111"/>
    </row>
    <row r="650" spans="1:13" s="525" customFormat="1" ht="15" hidden="1">
      <c r="A650" s="81"/>
      <c r="B650" s="111" t="s">
        <v>1355</v>
      </c>
      <c r="C650" s="515">
        <v>1</v>
      </c>
      <c r="D650" s="553" t="s">
        <v>265</v>
      </c>
      <c r="E650" s="534">
        <v>1</v>
      </c>
      <c r="F650" s="113">
        <v>3.1</v>
      </c>
      <c r="G650" s="113">
        <v>0</v>
      </c>
      <c r="H650" s="113">
        <v>0.6</v>
      </c>
      <c r="I650" s="523">
        <f t="shared" si="71"/>
        <v>1.86</v>
      </c>
      <c r="J650" s="532" t="s">
        <v>102</v>
      </c>
      <c r="K650" s="111"/>
      <c r="L650" s="81"/>
      <c r="M650" s="111"/>
    </row>
    <row r="651" spans="1:13" s="525" customFormat="1" ht="15" hidden="1">
      <c r="A651" s="81"/>
      <c r="B651" s="111"/>
      <c r="C651" s="515">
        <v>1</v>
      </c>
      <c r="D651" s="553" t="s">
        <v>265</v>
      </c>
      <c r="E651" s="534">
        <v>1</v>
      </c>
      <c r="F651" s="113">
        <v>3.1</v>
      </c>
      <c r="G651" s="113">
        <v>0</v>
      </c>
      <c r="H651" s="113">
        <v>0.6</v>
      </c>
      <c r="I651" s="523">
        <f t="shared" si="71"/>
        <v>1.86</v>
      </c>
      <c r="J651" s="532" t="s">
        <v>102</v>
      </c>
      <c r="K651" s="111"/>
      <c r="L651" s="81"/>
      <c r="M651" s="111"/>
    </row>
    <row r="652" spans="1:13" s="525" customFormat="1" ht="15" hidden="1">
      <c r="A652" s="81"/>
      <c r="B652" s="111"/>
      <c r="C652" s="515">
        <v>1</v>
      </c>
      <c r="D652" s="553" t="s">
        <v>265</v>
      </c>
      <c r="E652" s="534">
        <v>1</v>
      </c>
      <c r="F652" s="113">
        <v>3.2</v>
      </c>
      <c r="G652" s="113">
        <v>0</v>
      </c>
      <c r="H652" s="113">
        <v>0.6</v>
      </c>
      <c r="I652" s="523">
        <f t="shared" si="71"/>
        <v>1.92</v>
      </c>
      <c r="J652" s="532" t="s">
        <v>102</v>
      </c>
      <c r="K652" s="111"/>
      <c r="L652" s="81"/>
      <c r="M652" s="111"/>
    </row>
    <row r="653" spans="1:13" s="525" customFormat="1" ht="15" hidden="1">
      <c r="A653" s="81"/>
      <c r="B653" s="111"/>
      <c r="C653" s="515">
        <v>1</v>
      </c>
      <c r="D653" s="553" t="s">
        <v>265</v>
      </c>
      <c r="E653" s="534">
        <v>1</v>
      </c>
      <c r="F653" s="113">
        <v>13.45</v>
      </c>
      <c r="G653" s="113">
        <v>0</v>
      </c>
      <c r="H653" s="113">
        <v>0.75</v>
      </c>
      <c r="I653" s="523">
        <f t="shared" si="71"/>
        <v>10.09</v>
      </c>
      <c r="J653" s="532" t="s">
        <v>102</v>
      </c>
      <c r="K653" s="111"/>
      <c r="L653" s="81"/>
      <c r="M653" s="111"/>
    </row>
    <row r="654" spans="1:13" s="525" customFormat="1" ht="15" hidden="1">
      <c r="A654" s="81"/>
      <c r="B654" s="111" t="s">
        <v>276</v>
      </c>
      <c r="C654" s="515">
        <v>1</v>
      </c>
      <c r="D654" s="553" t="s">
        <v>265</v>
      </c>
      <c r="E654" s="534">
        <v>2</v>
      </c>
      <c r="F654" s="113">
        <v>0.38</v>
      </c>
      <c r="G654" s="113">
        <v>0</v>
      </c>
      <c r="H654" s="113">
        <v>0.6</v>
      </c>
      <c r="I654" s="523">
        <f>-ROUND(IF(AND(F654:H654),C654*E654*F654*G654*H654,IF(AND(F654,G654),C654*E654*F654*G654,IF(AND(F654,H654),C654*E654*F654*H654,IF(AND(G654,H654),C654*E654*G654*H654,IF(F654,C654*E654*F654,IF(G654,C654*E654*G654,IF(H654,C654*E654*H654,C654*E654))))))),2)</f>
        <v>-0.46</v>
      </c>
      <c r="J654" s="532" t="s">
        <v>102</v>
      </c>
      <c r="K654" s="111"/>
      <c r="L654" s="81"/>
      <c r="M654" s="111"/>
    </row>
    <row r="655" spans="1:13" s="525" customFormat="1" ht="16.5" hidden="1" customHeight="1">
      <c r="A655" s="81"/>
      <c r="B655" s="111" t="s">
        <v>1384</v>
      </c>
      <c r="C655" s="515"/>
      <c r="D655" s="553"/>
      <c r="E655" s="534"/>
      <c r="F655" s="113"/>
      <c r="G655" s="113"/>
      <c r="H655" s="113"/>
      <c r="I655" s="554"/>
      <c r="J655" s="532"/>
      <c r="K655" s="111"/>
      <c r="L655" s="517"/>
      <c r="M655" s="111"/>
    </row>
    <row r="656" spans="1:13" s="525" customFormat="1" ht="16.5" hidden="1" customHeight="1">
      <c r="A656" s="81"/>
      <c r="B656" s="111" t="s">
        <v>1383</v>
      </c>
      <c r="C656" s="515">
        <v>1</v>
      </c>
      <c r="D656" s="553" t="s">
        <v>265</v>
      </c>
      <c r="E656" s="534">
        <v>1</v>
      </c>
      <c r="F656" s="113">
        <v>10.3</v>
      </c>
      <c r="G656" s="113">
        <v>0</v>
      </c>
      <c r="H656" s="113">
        <v>0.75</v>
      </c>
      <c r="I656" s="523">
        <f>ROUND(IF(AND(F656:H656),C656*E656*F656*G656*H656,IF(AND(F656,G656),C656*E656*F656*G656,IF(AND(F656,H656),C656*E656*F656*H656,IF(AND(G656,H656),C656*E656*G656*H656,IF(F656,C656*E656*F656,IF(G656,C656*E656*G656,IF(H656,C656*E656*H656,C656*E656))))))),2)</f>
        <v>7.73</v>
      </c>
      <c r="J656" s="532" t="s">
        <v>102</v>
      </c>
      <c r="K656" s="111"/>
      <c r="L656" s="517"/>
      <c r="M656" s="111"/>
    </row>
    <row r="657" spans="1:13" s="525" customFormat="1" ht="16.5" hidden="1" customHeight="1">
      <c r="A657" s="81"/>
      <c r="B657" s="111"/>
      <c r="C657" s="515"/>
      <c r="D657" s="553"/>
      <c r="E657" s="534"/>
      <c r="F657" s="113"/>
      <c r="G657" s="113"/>
      <c r="H657" s="113"/>
      <c r="I657" s="523"/>
      <c r="J657" s="532"/>
      <c r="K657" s="111"/>
      <c r="L657" s="517"/>
      <c r="M657" s="111"/>
    </row>
    <row r="658" spans="1:13" hidden="1">
      <c r="A658" s="81"/>
      <c r="B658" s="111"/>
      <c r="C658" s="112"/>
      <c r="D658" s="533"/>
      <c r="E658" s="534"/>
      <c r="F658" s="113"/>
      <c r="G658" s="539"/>
      <c r="H658" s="81"/>
      <c r="I658" s="531"/>
      <c r="J658" s="532" t="s">
        <v>102</v>
      </c>
      <c r="K658" s="12">
        <f>'DATA 2024-25'!F471</f>
        <v>992.92</v>
      </c>
      <c r="L658" s="517" t="s">
        <v>267</v>
      </c>
      <c r="M658" s="11">
        <f>ROUND(I658*K658/1,0)</f>
        <v>0</v>
      </c>
    </row>
    <row r="659" spans="1:13" ht="79.5" hidden="1" customHeight="1">
      <c r="A659" s="81">
        <v>20</v>
      </c>
      <c r="B659" s="910" t="s">
        <v>967</v>
      </c>
      <c r="C659" s="910"/>
      <c r="D659" s="910"/>
      <c r="E659" s="910"/>
      <c r="F659" s="910"/>
      <c r="G659" s="910"/>
      <c r="H659" s="910"/>
      <c r="I659" s="515"/>
      <c r="J659" s="516"/>
      <c r="K659" s="81"/>
      <c r="L659" s="517"/>
      <c r="M659" s="110"/>
    </row>
    <row r="660" spans="1:13" s="525" customFormat="1" ht="16.5" hidden="1" customHeight="1">
      <c r="A660" s="81"/>
      <c r="B660" s="111" t="s">
        <v>1300</v>
      </c>
      <c r="C660" s="515"/>
      <c r="D660" s="553"/>
      <c r="E660" s="534"/>
      <c r="F660" s="113"/>
      <c r="G660" s="113"/>
      <c r="H660" s="113"/>
      <c r="I660" s="554"/>
      <c r="J660" s="532"/>
      <c r="K660" s="111"/>
      <c r="L660" s="517"/>
      <c r="M660" s="111"/>
    </row>
    <row r="661" spans="1:13" s="525" customFormat="1" ht="16.5" hidden="1" customHeight="1">
      <c r="A661" s="81"/>
      <c r="B661" s="111" t="s">
        <v>1020</v>
      </c>
      <c r="C661" s="515">
        <v>1</v>
      </c>
      <c r="D661" s="553" t="s">
        <v>265</v>
      </c>
      <c r="E661" s="534">
        <v>2</v>
      </c>
      <c r="F661" s="113">
        <v>0.75</v>
      </c>
      <c r="G661" s="113">
        <v>0.15</v>
      </c>
      <c r="H661" s="113">
        <v>1.05</v>
      </c>
      <c r="I661" s="523">
        <f t="shared" ref="I661:I667" si="72">ROUND(IF(AND(F661:H661),C661*E661*F661*G661*H661,IF(AND(F661,G661),C661*E661*F661*G661,IF(AND(F661,H661),C661*E661*F661*H661,IF(AND(G661,H661),C661*E661*G661*H661,IF(F661,C661*E661*F661,IF(G661,C661*E661*G661,IF(H661,C661*E661*H661,C661*E661))))))),2)</f>
        <v>0.24</v>
      </c>
      <c r="J661" s="532" t="s">
        <v>5</v>
      </c>
      <c r="K661" s="111"/>
      <c r="L661" s="517"/>
      <c r="M661" s="111"/>
    </row>
    <row r="662" spans="1:13" s="525" customFormat="1" ht="16.5" hidden="1" customHeight="1">
      <c r="A662" s="81"/>
      <c r="B662" s="111"/>
      <c r="C662" s="515">
        <v>1</v>
      </c>
      <c r="D662" s="553" t="s">
        <v>265</v>
      </c>
      <c r="E662" s="534">
        <v>1</v>
      </c>
      <c r="F662" s="113">
        <v>1.2</v>
      </c>
      <c r="G662" s="113">
        <v>0.15</v>
      </c>
      <c r="H662" s="113">
        <v>0.75</v>
      </c>
      <c r="I662" s="523">
        <f t="shared" si="72"/>
        <v>0.14000000000000001</v>
      </c>
      <c r="J662" s="532" t="s">
        <v>5</v>
      </c>
      <c r="K662" s="111"/>
      <c r="L662" s="517"/>
      <c r="M662" s="111"/>
    </row>
    <row r="663" spans="1:13" s="525" customFormat="1" ht="16.5" hidden="1" customHeight="1">
      <c r="A663" s="81"/>
      <c r="B663" s="111"/>
      <c r="C663" s="515">
        <v>1</v>
      </c>
      <c r="D663" s="553" t="s">
        <v>265</v>
      </c>
      <c r="E663" s="534">
        <v>0.5</v>
      </c>
      <c r="F663" s="113">
        <v>2.7</v>
      </c>
      <c r="G663" s="113">
        <v>0.15</v>
      </c>
      <c r="H663" s="113">
        <v>1.8</v>
      </c>
      <c r="I663" s="523">
        <f t="shared" si="72"/>
        <v>0.36</v>
      </c>
      <c r="J663" s="532" t="s">
        <v>5</v>
      </c>
      <c r="K663" s="111"/>
      <c r="L663" s="517"/>
      <c r="M663" s="111"/>
    </row>
    <row r="664" spans="1:13" s="525" customFormat="1" ht="16.5" hidden="1" customHeight="1">
      <c r="A664" s="81"/>
      <c r="B664" s="111"/>
      <c r="C664" s="515">
        <v>1</v>
      </c>
      <c r="D664" s="553" t="s">
        <v>265</v>
      </c>
      <c r="E664" s="534">
        <v>1</v>
      </c>
      <c r="F664" s="113">
        <v>1</v>
      </c>
      <c r="G664" s="113">
        <v>0.15</v>
      </c>
      <c r="H664" s="113">
        <v>1.4</v>
      </c>
      <c r="I664" s="523">
        <f t="shared" si="72"/>
        <v>0.21</v>
      </c>
      <c r="J664" s="532" t="s">
        <v>5</v>
      </c>
      <c r="K664" s="111"/>
      <c r="L664" s="517"/>
      <c r="M664" s="111"/>
    </row>
    <row r="665" spans="1:13" s="525" customFormat="1" ht="16.5" hidden="1" customHeight="1">
      <c r="A665" s="81"/>
      <c r="B665" s="111"/>
      <c r="C665" s="515">
        <v>1</v>
      </c>
      <c r="D665" s="553" t="s">
        <v>265</v>
      </c>
      <c r="E665" s="534">
        <v>1</v>
      </c>
      <c r="F665" s="113">
        <v>1.73</v>
      </c>
      <c r="G665" s="113">
        <v>0.15</v>
      </c>
      <c r="H665" s="113">
        <v>1.8</v>
      </c>
      <c r="I665" s="523">
        <f t="shared" si="72"/>
        <v>0.47</v>
      </c>
      <c r="J665" s="532" t="s">
        <v>5</v>
      </c>
      <c r="K665" s="111"/>
      <c r="L665" s="517"/>
      <c r="M665" s="111"/>
    </row>
    <row r="666" spans="1:13" s="525" customFormat="1" ht="16.5" hidden="1" customHeight="1">
      <c r="A666" s="81"/>
      <c r="B666" s="111"/>
      <c r="C666" s="515">
        <v>1</v>
      </c>
      <c r="D666" s="553" t="s">
        <v>265</v>
      </c>
      <c r="E666" s="534">
        <v>1</v>
      </c>
      <c r="F666" s="113">
        <v>2.65</v>
      </c>
      <c r="G666" s="113">
        <v>0.15</v>
      </c>
      <c r="H666" s="113">
        <v>1.2</v>
      </c>
      <c r="I666" s="523">
        <f t="shared" si="72"/>
        <v>0.48</v>
      </c>
      <c r="J666" s="532" t="s">
        <v>5</v>
      </c>
      <c r="K666" s="111"/>
      <c r="L666" s="517"/>
      <c r="M666" s="111"/>
    </row>
    <row r="667" spans="1:13" s="525" customFormat="1" ht="16.5" hidden="1" customHeight="1">
      <c r="A667" s="81"/>
      <c r="B667" s="111"/>
      <c r="C667" s="515">
        <v>1</v>
      </c>
      <c r="D667" s="553" t="s">
        <v>265</v>
      </c>
      <c r="E667" s="534">
        <v>1</v>
      </c>
      <c r="F667" s="113">
        <v>2.85</v>
      </c>
      <c r="G667" s="113">
        <v>0.15</v>
      </c>
      <c r="H667" s="113">
        <v>1.2</v>
      </c>
      <c r="I667" s="523">
        <f t="shared" si="72"/>
        <v>0.51</v>
      </c>
      <c r="J667" s="532" t="s">
        <v>5</v>
      </c>
      <c r="K667" s="111"/>
      <c r="L667" s="517"/>
      <c r="M667" s="111"/>
    </row>
    <row r="668" spans="1:13" s="525" customFormat="1" ht="16.5" hidden="1" customHeight="1">
      <c r="A668" s="81"/>
      <c r="B668" s="526"/>
      <c r="C668" s="527"/>
      <c r="D668" s="528"/>
      <c r="E668" s="529"/>
      <c r="F668" s="530"/>
      <c r="G668" s="530"/>
      <c r="H668" s="530"/>
      <c r="I668" s="531"/>
      <c r="J668" s="532"/>
      <c r="K668" s="111"/>
      <c r="L668" s="517"/>
      <c r="M668" s="111"/>
    </row>
    <row r="669" spans="1:13" hidden="1">
      <c r="A669" s="81"/>
      <c r="B669" s="111"/>
      <c r="C669" s="112"/>
      <c r="D669" s="533"/>
      <c r="E669" s="534"/>
      <c r="F669" s="113"/>
      <c r="G669" s="539"/>
      <c r="H669" s="81"/>
      <c r="I669" s="531"/>
      <c r="J669" s="532" t="s">
        <v>5</v>
      </c>
      <c r="K669" s="12">
        <f>'DATA 2024-25'!F488</f>
        <v>7262.62</v>
      </c>
      <c r="L669" s="517" t="s">
        <v>266</v>
      </c>
      <c r="M669" s="11">
        <f>ROUND(I669*K669,0)</f>
        <v>0</v>
      </c>
    </row>
    <row r="670" spans="1:13" ht="103.5" hidden="1" customHeight="1">
      <c r="A670" s="81">
        <v>19</v>
      </c>
      <c r="B670" s="910" t="s">
        <v>943</v>
      </c>
      <c r="C670" s="910"/>
      <c r="D670" s="910"/>
      <c r="E670" s="910"/>
      <c r="F670" s="910"/>
      <c r="G670" s="910"/>
      <c r="H670" s="910"/>
      <c r="I670" s="515"/>
      <c r="J670" s="516"/>
      <c r="K670" s="81"/>
      <c r="L670" s="517"/>
      <c r="M670" s="110"/>
    </row>
    <row r="671" spans="1:13" s="525" customFormat="1" ht="16.5" hidden="1" customHeight="1">
      <c r="A671" s="81"/>
      <c r="B671" s="111" t="s">
        <v>1287</v>
      </c>
      <c r="C671" s="515"/>
      <c r="D671" s="553"/>
      <c r="E671" s="534"/>
      <c r="F671" s="113"/>
      <c r="G671" s="113"/>
      <c r="H671" s="113"/>
      <c r="I671" s="554"/>
      <c r="J671" s="532"/>
      <c r="K671" s="111"/>
      <c r="L671" s="517"/>
      <c r="M671" s="111"/>
    </row>
    <row r="672" spans="1:13" s="525" customFormat="1" ht="16.5" hidden="1" customHeight="1">
      <c r="A672" s="81"/>
      <c r="B672" s="111"/>
      <c r="C672" s="515">
        <v>1</v>
      </c>
      <c r="D672" s="553" t="s">
        <v>265</v>
      </c>
      <c r="E672" s="534">
        <v>2</v>
      </c>
      <c r="F672" s="113">
        <v>2.0499999999999998</v>
      </c>
      <c r="G672" s="113">
        <v>1.7</v>
      </c>
      <c r="H672" s="113">
        <v>0</v>
      </c>
      <c r="I672" s="523">
        <f>ROUND(IF(AND(F672:H672),C672*E672*F672*G672*H672,IF(AND(F672,G672),C672*E672*F672*G672,IF(AND(F672,H672),C672*E672*F672*H672,IF(AND(G672,H672),C672*E672*G672*H672,IF(F672,C672*E672*F672,IF(G672,C672*E672*G672,IF(H672,C672*E672*H672,C672*E672))))))),2)</f>
        <v>6.97</v>
      </c>
      <c r="J672" s="532" t="s">
        <v>102</v>
      </c>
      <c r="K672" s="111"/>
      <c r="L672" s="517"/>
      <c r="M672" s="111"/>
    </row>
    <row r="673" spans="1:13" s="525" customFormat="1" ht="16.5" hidden="1" customHeight="1">
      <c r="A673" s="81"/>
      <c r="B673" s="111"/>
      <c r="C673" s="515">
        <v>1</v>
      </c>
      <c r="D673" s="553" t="s">
        <v>265</v>
      </c>
      <c r="E673" s="534">
        <v>2</v>
      </c>
      <c r="F673" s="113">
        <v>3.6</v>
      </c>
      <c r="G673" s="113">
        <v>0.95</v>
      </c>
      <c r="H673" s="113">
        <v>0</v>
      </c>
      <c r="I673" s="523">
        <f>ROUND(IF(AND(F673:H673),C673*E673*F673*G673*H673,IF(AND(F673,G673),C673*E673*F673*G673,IF(AND(F673,H673),C673*E673*F673*H673,IF(AND(G673,H673),C673*E673*G673*H673,IF(F673,C673*E673*F673,IF(G673,C673*E673*G673,IF(H673,C673*E673*H673,C673*E673))))))),2)</f>
        <v>6.84</v>
      </c>
      <c r="J673" s="532" t="s">
        <v>102</v>
      </c>
      <c r="K673" s="111"/>
      <c r="L673" s="517"/>
      <c r="M673" s="111"/>
    </row>
    <row r="674" spans="1:13" s="525" customFormat="1" ht="16.5" hidden="1" customHeight="1">
      <c r="A674" s="81"/>
      <c r="B674" s="111"/>
      <c r="C674" s="515"/>
      <c r="D674" s="553"/>
      <c r="E674" s="534"/>
      <c r="F674" s="113"/>
      <c r="G674" s="113"/>
      <c r="H674" s="113"/>
      <c r="I674" s="523"/>
      <c r="J674" s="532"/>
      <c r="K674" s="111"/>
      <c r="L674" s="517"/>
      <c r="M674" s="111"/>
    </row>
    <row r="675" spans="1:13" hidden="1">
      <c r="A675" s="81"/>
      <c r="B675" s="111"/>
      <c r="C675" s="112"/>
      <c r="D675" s="533"/>
      <c r="E675" s="534"/>
      <c r="F675" s="113"/>
      <c r="G675" s="539"/>
      <c r="H675" s="81"/>
      <c r="I675" s="531"/>
      <c r="J675" s="532" t="s">
        <v>102</v>
      </c>
      <c r="K675" s="12">
        <f>'DATA 2024-25'!F617</f>
        <v>2600.25</v>
      </c>
      <c r="L675" s="517" t="s">
        <v>267</v>
      </c>
      <c r="M675" s="11">
        <f>ROUND(I675*K675/1,0)</f>
        <v>0</v>
      </c>
    </row>
    <row r="676" spans="1:13" ht="54.75" hidden="1" customHeight="1">
      <c r="A676" s="81">
        <v>8</v>
      </c>
      <c r="B676" s="910" t="s">
        <v>123</v>
      </c>
      <c r="C676" s="910"/>
      <c r="D676" s="910"/>
      <c r="E676" s="910"/>
      <c r="F676" s="910"/>
      <c r="G676" s="910"/>
      <c r="H676" s="910"/>
      <c r="I676" s="515"/>
      <c r="J676" s="516"/>
      <c r="K676" s="81"/>
      <c r="L676" s="517"/>
      <c r="M676" s="110"/>
    </row>
    <row r="677" spans="1:13" s="525" customFormat="1" ht="16.5" hidden="1" customHeight="1">
      <c r="A677" s="81"/>
      <c r="B677" s="111" t="s">
        <v>1812</v>
      </c>
      <c r="C677" s="515">
        <v>1</v>
      </c>
      <c r="D677" s="553" t="s">
        <v>265</v>
      </c>
      <c r="E677" s="534">
        <v>1</v>
      </c>
      <c r="F677" s="113">
        <v>5.48</v>
      </c>
      <c r="G677" s="113">
        <v>6.85</v>
      </c>
      <c r="H677" s="113">
        <v>0</v>
      </c>
      <c r="I677" s="523">
        <f>ROUND(IF(AND(F677:H677),C677*E677*F677*G677*H677,IF(AND(F677,G677),C677*E677*F677*G677,IF(AND(F677,H677),C677*E677*F677*H677,IF(AND(G677,H677),C677*E677*G677*H677,IF(F677,C677*E677*F677,IF(G677,C677*E677*G677,IF(H677,C677*E677*H677,C677*E677))))))),2)</f>
        <v>37.54</v>
      </c>
      <c r="J677" s="532" t="s">
        <v>102</v>
      </c>
      <c r="K677" s="111"/>
      <c r="L677" s="81"/>
      <c r="M677" s="111"/>
    </row>
    <row r="678" spans="1:13" s="525" customFormat="1" ht="16.5" hidden="1" customHeight="1">
      <c r="A678" s="81"/>
      <c r="B678" s="111"/>
      <c r="C678" s="515">
        <v>1</v>
      </c>
      <c r="D678" s="553" t="s">
        <v>265</v>
      </c>
      <c r="E678" s="534">
        <v>2</v>
      </c>
      <c r="F678" s="113">
        <v>5.48</v>
      </c>
      <c r="G678" s="113">
        <v>0</v>
      </c>
      <c r="H678" s="113">
        <v>0.45</v>
      </c>
      <c r="I678" s="523">
        <f>ROUND(IF(AND(F678:H678),C678*E678*F678*G678*H678,IF(AND(F678,G678),C678*E678*F678*G678,IF(AND(F678,H678),C678*E678*F678*H678,IF(AND(G678,H678),C678*E678*G678*H678,IF(F678,C678*E678*F678,IF(G678,C678*E678*G678,IF(H678,C678*E678*H678,C678*E678))))))),2)</f>
        <v>4.93</v>
      </c>
      <c r="J678" s="532" t="s">
        <v>102</v>
      </c>
      <c r="K678" s="111"/>
      <c r="L678" s="81"/>
      <c r="M678" s="111"/>
    </row>
    <row r="679" spans="1:13" s="525" customFormat="1" ht="16.5" hidden="1" customHeight="1">
      <c r="A679" s="81"/>
      <c r="B679" s="111" t="s">
        <v>1803</v>
      </c>
      <c r="C679" s="515">
        <v>1</v>
      </c>
      <c r="D679" s="553" t="s">
        <v>265</v>
      </c>
      <c r="E679" s="534">
        <v>1</v>
      </c>
      <c r="F679" s="113">
        <v>29.510000000000005</v>
      </c>
      <c r="G679" s="113">
        <v>0.3</v>
      </c>
      <c r="H679" s="113">
        <v>0</v>
      </c>
      <c r="I679" s="523">
        <f>ROUND(IF(AND(F679:H679),C679*E679*F679*G679*H679,IF(AND(F679,G679),C679*E679*F679*G679,IF(AND(F679,H679),C679*E679*F679*H679,IF(AND(G679,H679),C679*E679*G679*H679,IF(F679,C679*E679*F679,IF(G679,C679*E679*G679,IF(H679,C679*E679*H679,C679*E679))))))),2)</f>
        <v>8.85</v>
      </c>
      <c r="J679" s="532" t="s">
        <v>102</v>
      </c>
      <c r="K679" s="111"/>
      <c r="L679" s="81"/>
      <c r="M679" s="111"/>
    </row>
    <row r="680" spans="1:13" s="525" customFormat="1" ht="16.5" hidden="1" customHeight="1">
      <c r="A680" s="81"/>
      <c r="B680" s="111" t="s">
        <v>1804</v>
      </c>
      <c r="C680" s="515">
        <v>1</v>
      </c>
      <c r="D680" s="553" t="s">
        <v>265</v>
      </c>
      <c r="E680" s="534">
        <v>6</v>
      </c>
      <c r="F680" s="113">
        <v>1.2</v>
      </c>
      <c r="G680" s="113">
        <v>0.6</v>
      </c>
      <c r="H680" s="113">
        <v>0</v>
      </c>
      <c r="I680" s="523">
        <f>ROUND(IF(AND(F680:H680),C680*E680*F680*G680*H680,IF(AND(F680,G680),C680*E680*F680*G680,IF(AND(F680,H680),C680*E680*F680*H680,IF(AND(G680,H680),C680*E680*G680*H680,IF(F680,C680*E680*F680,IF(G680,C680*E680*G680,IF(H680,C680*E680*H680,C680*E680))))))),2)</f>
        <v>4.32</v>
      </c>
      <c r="J680" s="532" t="s">
        <v>102</v>
      </c>
      <c r="K680" s="111"/>
      <c r="L680" s="81"/>
      <c r="M680" s="111"/>
    </row>
    <row r="681" spans="1:13" s="525" customFormat="1" ht="16.5" hidden="1" customHeight="1">
      <c r="A681" s="81"/>
      <c r="B681" s="111"/>
      <c r="C681" s="515">
        <v>6</v>
      </c>
      <c r="D681" s="553" t="s">
        <v>265</v>
      </c>
      <c r="E681" s="534">
        <v>2</v>
      </c>
      <c r="F681" s="113">
        <v>0.6</v>
      </c>
      <c r="G681" s="113">
        <v>0.05</v>
      </c>
      <c r="H681" s="113">
        <v>0</v>
      </c>
      <c r="I681" s="523">
        <f>ROUND(IF(AND(F681:H681),C681*E681*F681*G681*H681,IF(AND(F681,G681),C681*E681*F681*G681,IF(AND(F681,H681),C681*E681*F681*H681,IF(AND(G681,H681),C681*E681*G681*H681,IF(F681,C681*E681*F681,IF(G681,C681*E681*G681,IF(H681,C681*E681*H681,C681*E681))))))),2)</f>
        <v>0.36</v>
      </c>
      <c r="J681" s="532" t="s">
        <v>102</v>
      </c>
      <c r="K681" s="111"/>
      <c r="L681" s="81"/>
      <c r="M681" s="111"/>
    </row>
    <row r="682" spans="1:13" s="525" customFormat="1" ht="16.5" hidden="1" customHeight="1">
      <c r="A682" s="81"/>
      <c r="B682" s="526"/>
      <c r="C682" s="527"/>
      <c r="D682" s="528"/>
      <c r="E682" s="529"/>
      <c r="F682" s="530"/>
      <c r="G682" s="530"/>
      <c r="H682" s="530"/>
      <c r="I682" s="531"/>
      <c r="J682" s="532"/>
      <c r="K682" s="111"/>
      <c r="L682" s="517"/>
      <c r="M682" s="111"/>
    </row>
    <row r="683" spans="1:13" hidden="1">
      <c r="A683" s="81"/>
      <c r="B683" s="111"/>
      <c r="C683" s="112"/>
      <c r="D683" s="533"/>
      <c r="E683" s="534"/>
      <c r="F683" s="113"/>
      <c r="G683" s="539"/>
      <c r="H683" s="81"/>
      <c r="I683" s="531"/>
      <c r="J683" s="532" t="s">
        <v>102</v>
      </c>
      <c r="K683" s="12">
        <f>'DATA 2024-25'!F505</f>
        <v>419.76</v>
      </c>
      <c r="L683" s="517" t="s">
        <v>267</v>
      </c>
      <c r="M683" s="11">
        <f>ROUND(I683*K683,0)</f>
        <v>0</v>
      </c>
    </row>
    <row r="684" spans="1:13" ht="42" hidden="1" customHeight="1">
      <c r="A684" s="81">
        <v>9</v>
      </c>
      <c r="B684" s="910" t="s">
        <v>124</v>
      </c>
      <c r="C684" s="910"/>
      <c r="D684" s="910"/>
      <c r="E684" s="910"/>
      <c r="F684" s="910"/>
      <c r="G684" s="910"/>
      <c r="H684" s="910"/>
      <c r="I684" s="515"/>
      <c r="J684" s="516"/>
      <c r="K684" s="81"/>
      <c r="L684" s="517"/>
      <c r="M684" s="110"/>
    </row>
    <row r="685" spans="1:13" s="525" customFormat="1" ht="16.5" hidden="1" customHeight="1">
      <c r="A685" s="81"/>
      <c r="B685" s="111" t="s">
        <v>1796</v>
      </c>
      <c r="C685" s="515">
        <v>1</v>
      </c>
      <c r="D685" s="553" t="s">
        <v>265</v>
      </c>
      <c r="E685" s="534">
        <v>2</v>
      </c>
      <c r="F685" s="113">
        <v>6.85</v>
      </c>
      <c r="G685" s="113">
        <v>0</v>
      </c>
      <c r="H685" s="113">
        <v>3.2</v>
      </c>
      <c r="I685" s="523">
        <f>ROUND(IF(AND(F685:H685),C685*E685*F685*G685*H685,IF(AND(F685,G685),C685*E685*F685*G685,IF(AND(F685,H685),C685*E685*F685*H685,IF(AND(G685,H685),C685*E685*G685*H685,IF(F685,C685*E685*F685,IF(G685,C685*E685*G685,IF(H685,C685*E685*H685,C685*E685))))))),2)</f>
        <v>43.84</v>
      </c>
      <c r="J685" s="532" t="s">
        <v>102</v>
      </c>
      <c r="K685" s="111"/>
      <c r="L685" s="517"/>
      <c r="M685" s="111"/>
    </row>
    <row r="686" spans="1:13" s="525" customFormat="1" ht="16.5" hidden="1" customHeight="1">
      <c r="A686" s="81"/>
      <c r="B686" s="111" t="s">
        <v>1805</v>
      </c>
      <c r="C686" s="515">
        <v>1</v>
      </c>
      <c r="D686" s="553" t="s">
        <v>265</v>
      </c>
      <c r="E686" s="534">
        <v>2</v>
      </c>
      <c r="F686" s="113">
        <v>5.48</v>
      </c>
      <c r="G686" s="113">
        <v>0</v>
      </c>
      <c r="H686" s="113">
        <v>3.2</v>
      </c>
      <c r="I686" s="523">
        <f>ROUND(IF(AND(F686:H686),C686*E686*F686*G686*H686,IF(AND(F686,G686),C686*E686*F686*G686,IF(AND(F686,H686),C686*E686*F686*H686,IF(AND(G686,H686),C686*E686*G686*H686,IF(F686,C686*E686*F686,IF(G686,C686*E686*G686,IF(H686,C686*E686*H686,C686*E686))))))),2)</f>
        <v>35.07</v>
      </c>
      <c r="J686" s="532" t="s">
        <v>102</v>
      </c>
      <c r="K686" s="111"/>
      <c r="L686" s="517"/>
      <c r="M686" s="111"/>
    </row>
    <row r="687" spans="1:13" s="525" customFormat="1" ht="16.5" hidden="1" customHeight="1">
      <c r="A687" s="81"/>
      <c r="B687" s="111" t="s">
        <v>1797</v>
      </c>
      <c r="C687" s="515"/>
      <c r="D687" s="553"/>
      <c r="E687" s="534"/>
      <c r="F687" s="113"/>
      <c r="G687" s="113"/>
      <c r="H687" s="113"/>
      <c r="I687" s="523"/>
      <c r="J687" s="532"/>
      <c r="K687" s="111"/>
      <c r="L687" s="517"/>
      <c r="M687" s="111"/>
    </row>
    <row r="688" spans="1:13" s="525" customFormat="1" ht="16.5" hidden="1" customHeight="1">
      <c r="A688" s="81"/>
      <c r="B688" s="111" t="s">
        <v>1798</v>
      </c>
      <c r="C688" s="515">
        <v>-1</v>
      </c>
      <c r="D688" s="553" t="s">
        <v>265</v>
      </c>
      <c r="E688" s="534">
        <v>1</v>
      </c>
      <c r="F688" s="113">
        <v>1.05</v>
      </c>
      <c r="G688" s="113">
        <v>0</v>
      </c>
      <c r="H688" s="113">
        <v>2.13</v>
      </c>
      <c r="I688" s="523">
        <f>ROUND(IF(AND(F688:H688),C688*E688*F688*G688*H688,IF(AND(F688,G688),C688*E688*F688*G688,IF(AND(F688,H688),C688*E688*F688*H688,IF(AND(G688,H688),C688*E688*G688*H688,IF(F688,C688*E688*F688,IF(G688,C688*E688*G688,IF(H688,C688*E688*H688,C688*E688))))))),2)</f>
        <v>-2.2400000000000002</v>
      </c>
      <c r="J688" s="532" t="s">
        <v>102</v>
      </c>
      <c r="K688" s="111"/>
      <c r="L688" s="517"/>
      <c r="M688" s="111"/>
    </row>
    <row r="689" spans="1:13" s="525" customFormat="1" ht="16.5" hidden="1" customHeight="1">
      <c r="A689" s="81"/>
      <c r="B689" s="111" t="s">
        <v>1799</v>
      </c>
      <c r="C689" s="515">
        <v>-1</v>
      </c>
      <c r="D689" s="553" t="s">
        <v>265</v>
      </c>
      <c r="E689" s="534">
        <v>6</v>
      </c>
      <c r="F689" s="113">
        <v>1.22</v>
      </c>
      <c r="G689" s="113">
        <v>0</v>
      </c>
      <c r="H689" s="113">
        <v>1.22</v>
      </c>
      <c r="I689" s="523">
        <f>ROUND(IF(AND(F689:H689),C689*E689*F689*G689*H689,IF(AND(F689,G689),C689*E689*F689*G689,IF(AND(F689,H689),C689*E689*F689*H689,IF(AND(G689,H689),C689*E689*G689*H689,IF(F689,C689*E689*F689,IF(G689,C689*E689*G689,IF(H689,C689*E689*H689,C689*E689))))))),2)</f>
        <v>-8.93</v>
      </c>
      <c r="J689" s="532" t="s">
        <v>102</v>
      </c>
      <c r="K689" s="111"/>
      <c r="L689" s="517"/>
      <c r="M689" s="111"/>
    </row>
    <row r="690" spans="1:13" s="525" customFormat="1" ht="16.5" hidden="1" customHeight="1">
      <c r="A690" s="81"/>
      <c r="B690" s="111"/>
      <c r="C690" s="515">
        <v>-1</v>
      </c>
      <c r="D690" s="553" t="s">
        <v>265</v>
      </c>
      <c r="E690" s="534">
        <v>2</v>
      </c>
      <c r="F690" s="113">
        <v>0.9</v>
      </c>
      <c r="G690" s="113">
        <v>0</v>
      </c>
      <c r="H690" s="113">
        <v>0.9</v>
      </c>
      <c r="I690" s="523">
        <f>ROUND(IF(AND(F690:H690),C690*E690*F690*G690*H690,IF(AND(F690,G690),C690*E690*F690*G690,IF(AND(F690,H690),C690*E690*F690*H690,IF(AND(G690,H690),C690*E690*G690*H690,IF(F690,C690*E690*F690,IF(G690,C690*E690*G690,IF(H690,C690*E690*H690,C690*E690))))))),2)</f>
        <v>-1.62</v>
      </c>
      <c r="J690" s="532" t="s">
        <v>102</v>
      </c>
      <c r="K690" s="111"/>
      <c r="L690" s="517"/>
      <c r="M690" s="111"/>
    </row>
    <row r="691" spans="1:13" s="525" customFormat="1" ht="16.5" hidden="1" customHeight="1">
      <c r="A691" s="81"/>
      <c r="B691" s="111" t="s">
        <v>1806</v>
      </c>
      <c r="C691" s="515">
        <v>-1</v>
      </c>
      <c r="D691" s="553" t="s">
        <v>265</v>
      </c>
      <c r="E691" s="534">
        <v>8</v>
      </c>
      <c r="F691" s="113">
        <v>0.9</v>
      </c>
      <c r="G691" s="113">
        <v>0</v>
      </c>
      <c r="H691" s="113">
        <v>0.3</v>
      </c>
      <c r="I691" s="523">
        <f>ROUND(IF(AND(F691:H691),C691*E691*F691*G691*H691,IF(AND(F691,G691),C691*E691*F691*G691,IF(AND(F691,H691),C691*E691*F691*H691,IF(AND(G691,H691),C691*E691*G691*H691,IF(F691,C691*E691*F691,IF(G691,C691*E691*G691,IF(H691,C691*E691*H691,C691*E691))))))),2)</f>
        <v>-2.16</v>
      </c>
      <c r="J691" s="532" t="s">
        <v>102</v>
      </c>
      <c r="K691" s="111"/>
      <c r="L691" s="517"/>
      <c r="M691" s="111"/>
    </row>
    <row r="692" spans="1:13" s="525" customFormat="1" ht="16.5" hidden="1" customHeight="1">
      <c r="A692" s="81"/>
      <c r="B692" s="526"/>
      <c r="C692" s="527"/>
      <c r="D692" s="528"/>
      <c r="E692" s="529"/>
      <c r="F692" s="530"/>
      <c r="G692" s="530"/>
      <c r="H692" s="530"/>
      <c r="I692" s="531"/>
      <c r="J692" s="532"/>
      <c r="K692" s="111"/>
      <c r="L692" s="517"/>
      <c r="M692" s="111"/>
    </row>
    <row r="693" spans="1:13" hidden="1">
      <c r="A693" s="81"/>
      <c r="B693" s="111"/>
      <c r="C693" s="112"/>
      <c r="D693" s="533"/>
      <c r="E693" s="534"/>
      <c r="F693" s="113"/>
      <c r="G693" s="539"/>
      <c r="H693" s="81"/>
      <c r="I693" s="531"/>
      <c r="J693" s="532" t="s">
        <v>102</v>
      </c>
      <c r="K693" s="12">
        <f>'DATA 2024-25'!F522</f>
        <v>342.71</v>
      </c>
      <c r="L693" s="517" t="s">
        <v>267</v>
      </c>
      <c r="M693" s="11">
        <f>ROUND(I693*K693,0)</f>
        <v>0</v>
      </c>
    </row>
    <row r="694" spans="1:13" ht="52.5" hidden="1" customHeight="1">
      <c r="A694" s="81">
        <v>10</v>
      </c>
      <c r="B694" s="910" t="s">
        <v>583</v>
      </c>
      <c r="C694" s="910"/>
      <c r="D694" s="910"/>
      <c r="E694" s="910"/>
      <c r="F694" s="910"/>
      <c r="G694" s="910"/>
      <c r="H694" s="910"/>
      <c r="I694" s="515"/>
      <c r="J694" s="516"/>
      <c r="K694" s="81"/>
      <c r="L694" s="517"/>
      <c r="M694" s="110"/>
    </row>
    <row r="695" spans="1:13" s="525" customFormat="1" ht="16.5" hidden="1" customHeight="1">
      <c r="A695" s="81"/>
      <c r="B695" s="111" t="s">
        <v>1796</v>
      </c>
      <c r="C695" s="515">
        <v>1</v>
      </c>
      <c r="D695" s="553" t="s">
        <v>265</v>
      </c>
      <c r="E695" s="534">
        <v>2</v>
      </c>
      <c r="F695" s="113">
        <v>7.32</v>
      </c>
      <c r="G695" s="113">
        <v>0</v>
      </c>
      <c r="H695" s="113">
        <v>3.5</v>
      </c>
      <c r="I695" s="523">
        <f>ROUND(IF(AND(F695:H695),C695*E695*F695*G695*H695,IF(AND(F695,G695),C695*E695*F695*G695,IF(AND(F695,H695),C695*E695*F695*H695,IF(AND(G695,H695),C695*E695*G695*H695,IF(F695,C695*E695*F695,IF(G695,C695*E695*G695,IF(H695,C695*E695*H695,C695*E695))))))),2)</f>
        <v>51.24</v>
      </c>
      <c r="J695" s="532" t="s">
        <v>102</v>
      </c>
      <c r="K695" s="111"/>
      <c r="L695" s="81"/>
      <c r="M695" s="111"/>
    </row>
    <row r="696" spans="1:13" s="525" customFormat="1" ht="16.5" hidden="1" customHeight="1">
      <c r="A696" s="81"/>
      <c r="B696" s="111" t="s">
        <v>1805</v>
      </c>
      <c r="C696" s="515">
        <v>1</v>
      </c>
      <c r="D696" s="553" t="s">
        <v>265</v>
      </c>
      <c r="E696" s="534">
        <v>2</v>
      </c>
      <c r="F696" s="113">
        <v>5.9600000000000009</v>
      </c>
      <c r="G696" s="113">
        <v>0</v>
      </c>
      <c r="H696" s="113">
        <v>3.5</v>
      </c>
      <c r="I696" s="523">
        <f>ROUND(IF(AND(F696:H696),C696*E696*F696*G696*H696,IF(AND(F696,G696),C696*E696*F696*G696,IF(AND(F696,H696),C696*E696*F696*H696,IF(AND(G696,H696),C696*E696*G696*H696,IF(F696,C696*E696*F696,IF(G696,C696*E696*G696,IF(H696,C696*E696*H696,C696*E696))))))),2)</f>
        <v>41.72</v>
      </c>
      <c r="J696" s="532" t="s">
        <v>102</v>
      </c>
      <c r="K696" s="111"/>
      <c r="L696" s="81"/>
      <c r="M696" s="111"/>
    </row>
    <row r="697" spans="1:13" s="525" customFormat="1" ht="16.5" hidden="1" customHeight="1">
      <c r="A697" s="81"/>
      <c r="B697" s="111" t="s">
        <v>1807</v>
      </c>
      <c r="C697" s="515">
        <v>-1</v>
      </c>
      <c r="D697" s="553" t="s">
        <v>265</v>
      </c>
      <c r="E697" s="534">
        <v>1</v>
      </c>
      <c r="F697" s="113">
        <v>1.05</v>
      </c>
      <c r="G697" s="113">
        <v>0</v>
      </c>
      <c r="H697" s="113">
        <v>2.13</v>
      </c>
      <c r="I697" s="523">
        <f>ROUND(IF(AND(F697:H697),C697*E697*F697*G697*H697,IF(AND(F697,G697),C697*E697*F697*G697,IF(AND(F697,H697),C697*E697*F697*H697,IF(AND(G697,H697),C697*E697*G697*H697,IF(F697,C697*E697*F697,IF(G697,C697*E697*G697,IF(H697,C697*E697*H697,C697*E697))))))),2)</f>
        <v>-2.2400000000000002</v>
      </c>
      <c r="J697" s="532" t="s">
        <v>102</v>
      </c>
      <c r="K697" s="111"/>
      <c r="L697" s="81"/>
      <c r="M697" s="111"/>
    </row>
    <row r="698" spans="1:13" s="525" customFormat="1" ht="16.5" hidden="1" customHeight="1">
      <c r="A698" s="81"/>
      <c r="B698" s="111" t="s">
        <v>1808</v>
      </c>
      <c r="C698" s="515">
        <v>-1</v>
      </c>
      <c r="D698" s="553" t="s">
        <v>265</v>
      </c>
      <c r="E698" s="534">
        <v>8</v>
      </c>
      <c r="F698" s="113">
        <v>1.22</v>
      </c>
      <c r="G698" s="113">
        <v>0</v>
      </c>
      <c r="H698" s="113">
        <v>1.22</v>
      </c>
      <c r="I698" s="523">
        <f>ROUND(IF(AND(F698:H698),C698*E698*F698*G698*H698,IF(AND(F698,G698),C698*E698*F698*G698,IF(AND(F698,H698),C698*E698*F698*H698,IF(AND(G698,H698),C698*E698*G698*H698,IF(F698,C698*E698*F698,IF(G698,C698*E698*G698,IF(H698,C698*E698*H698,C698*E698))))))),2)</f>
        <v>-11.91</v>
      </c>
      <c r="J698" s="532" t="s">
        <v>102</v>
      </c>
      <c r="K698" s="111"/>
      <c r="L698" s="81"/>
      <c r="M698" s="111"/>
    </row>
    <row r="699" spans="1:13" s="525" customFormat="1" ht="16.5" hidden="1" customHeight="1">
      <c r="A699" s="81"/>
      <c r="B699" s="111" t="s">
        <v>1809</v>
      </c>
      <c r="C699" s="515">
        <v>-1</v>
      </c>
      <c r="D699" s="553" t="s">
        <v>265</v>
      </c>
      <c r="E699" s="534">
        <v>8</v>
      </c>
      <c r="F699" s="113">
        <v>0.9</v>
      </c>
      <c r="G699" s="113">
        <v>0</v>
      </c>
      <c r="H699" s="113">
        <v>0.3</v>
      </c>
      <c r="I699" s="523">
        <f>ROUND(IF(AND(F699:H699),C699*E699*F699*G699*H699,IF(AND(F699,G699),C699*E699*F699*G699,IF(AND(F699,H699),C699*E699*F699*H699,IF(AND(G699,H699),C699*E699*G699*H699,IF(F699,C699*E699*F699,IF(G699,C699*E699*G699,IF(H699,C699*E699*H699,C699*E699))))))),2)</f>
        <v>-2.16</v>
      </c>
      <c r="J699" s="532" t="s">
        <v>102</v>
      </c>
      <c r="K699" s="111"/>
      <c r="L699" s="81"/>
      <c r="M699" s="111"/>
    </row>
    <row r="700" spans="1:13" s="525" customFormat="1" ht="16.5" hidden="1" customHeight="1">
      <c r="A700" s="81"/>
      <c r="B700" s="526"/>
      <c r="C700" s="527"/>
      <c r="D700" s="528"/>
      <c r="E700" s="529"/>
      <c r="F700" s="530"/>
      <c r="G700" s="530"/>
      <c r="H700" s="530"/>
      <c r="I700" s="531"/>
      <c r="J700" s="532"/>
      <c r="K700" s="111"/>
      <c r="L700" s="517"/>
      <c r="M700" s="111"/>
    </row>
    <row r="701" spans="1:13" hidden="1">
      <c r="A701" s="81"/>
      <c r="B701" s="111"/>
      <c r="C701" s="112"/>
      <c r="D701" s="533"/>
      <c r="E701" s="534"/>
      <c r="F701" s="113"/>
      <c r="G701" s="539"/>
      <c r="H701" s="81"/>
      <c r="I701" s="531"/>
      <c r="J701" s="532" t="s">
        <v>102</v>
      </c>
      <c r="K701" s="12">
        <f>'DATA 2024-25'!F539</f>
        <v>357.1</v>
      </c>
      <c r="L701" s="517" t="s">
        <v>267</v>
      </c>
      <c r="M701" s="11">
        <f>ROUND(I701*K701,0)</f>
        <v>0</v>
      </c>
    </row>
    <row r="702" spans="1:13" ht="71.25" hidden="1" customHeight="1">
      <c r="A702" s="81">
        <v>2</v>
      </c>
      <c r="B702" s="910" t="s">
        <v>747</v>
      </c>
      <c r="C702" s="910"/>
      <c r="D702" s="910"/>
      <c r="E702" s="910"/>
      <c r="F702" s="910"/>
      <c r="G702" s="910"/>
      <c r="H702" s="910"/>
      <c r="I702" s="515"/>
      <c r="J702" s="516"/>
      <c r="K702" s="81"/>
      <c r="L702" s="517"/>
      <c r="M702" s="110"/>
    </row>
    <row r="703" spans="1:13" hidden="1">
      <c r="A703" s="81"/>
      <c r="B703" s="473" t="s">
        <v>1887</v>
      </c>
      <c r="C703" s="565"/>
      <c r="D703" s="566"/>
      <c r="E703" s="567"/>
      <c r="F703" s="473"/>
      <c r="G703" s="473"/>
      <c r="H703" s="473"/>
      <c r="I703" s="515"/>
      <c r="J703" s="516"/>
      <c r="K703" s="81"/>
      <c r="L703" s="517"/>
      <c r="M703" s="110"/>
    </row>
    <row r="704" spans="1:13" s="525" customFormat="1" ht="16.5" hidden="1" customHeight="1">
      <c r="A704" s="81"/>
      <c r="B704" s="111" t="s">
        <v>1840</v>
      </c>
      <c r="C704" s="515">
        <v>1</v>
      </c>
      <c r="D704" s="553" t="s">
        <v>265</v>
      </c>
      <c r="E704" s="534">
        <v>2</v>
      </c>
      <c r="F704" s="113">
        <v>3.37</v>
      </c>
      <c r="G704" s="113">
        <v>0</v>
      </c>
      <c r="H704" s="113">
        <v>3.15</v>
      </c>
      <c r="I704" s="523">
        <f>ROUND(IF(AND(F704:H704),C704*E704*F704*G704*H704,IF(AND(F704,G704),C704*E704*F704*G704,IF(AND(F704,H704),C704*E704*F704*H704,IF(AND(G704,H704),C704*E704*G704*H704,IF(F704,C704*E704*F704,IF(G704,C704*E704*G704,IF(H704,C704*E704*H704,C704*E704))))))),2)</f>
        <v>21.23</v>
      </c>
      <c r="J704" s="532" t="s">
        <v>102</v>
      </c>
      <c r="K704" s="111"/>
      <c r="L704" s="81"/>
      <c r="M704" s="111"/>
    </row>
    <row r="705" spans="1:13" s="525" customFormat="1" ht="16.5" hidden="1" customHeight="1">
      <c r="A705" s="81"/>
      <c r="B705" s="111"/>
      <c r="C705" s="515">
        <v>1</v>
      </c>
      <c r="D705" s="553" t="s">
        <v>265</v>
      </c>
      <c r="E705" s="534">
        <v>2</v>
      </c>
      <c r="F705" s="113">
        <v>3.37</v>
      </c>
      <c r="G705" s="113">
        <v>0</v>
      </c>
      <c r="H705" s="113">
        <v>3.15</v>
      </c>
      <c r="I705" s="523">
        <f t="shared" ref="I705:I710" si="73">ROUND(IF(AND(F705:H705),C705*E705*F705*G705*H705,IF(AND(F705,G705),C705*E705*F705*G705,IF(AND(F705,H705),C705*E705*F705*H705,IF(AND(G705,H705),C705*E705*G705*H705,IF(F705,C705*E705*F705,IF(G705,C705*E705*G705,IF(H705,C705*E705*H705,C705*E705))))))),2)</f>
        <v>21.23</v>
      </c>
      <c r="J705" s="532" t="s">
        <v>102</v>
      </c>
      <c r="K705" s="111"/>
      <c r="L705" s="81"/>
      <c r="M705" s="111"/>
    </row>
    <row r="706" spans="1:13" s="525" customFormat="1" ht="16.5" hidden="1" customHeight="1">
      <c r="A706" s="81"/>
      <c r="B706" s="111" t="s">
        <v>565</v>
      </c>
      <c r="C706" s="515">
        <v>1</v>
      </c>
      <c r="D706" s="553" t="s">
        <v>265</v>
      </c>
      <c r="E706" s="534">
        <v>1</v>
      </c>
      <c r="F706" s="113">
        <v>1.05</v>
      </c>
      <c r="G706" s="113">
        <v>0</v>
      </c>
      <c r="H706" s="113">
        <v>2.1</v>
      </c>
      <c r="I706" s="523">
        <f>-ROUND(IF(AND(F706:H706),C706*E706*F706*G706*H706,IF(AND(F706,G706),C706*E706*F706*G706,IF(AND(F706,H706),C706*E706*F706*H706,IF(AND(G706,H706),C706*E706*G706*H706,IF(F706,C706*E706*F706,IF(G706,C706*E706*G706,IF(H706,C706*E706*H706,C706*E706))))))),2)</f>
        <v>-2.21</v>
      </c>
      <c r="J706" s="532" t="s">
        <v>102</v>
      </c>
      <c r="K706" s="111"/>
      <c r="L706" s="81"/>
      <c r="M706" s="111"/>
    </row>
    <row r="707" spans="1:13" s="525" customFormat="1" ht="16.5" hidden="1" customHeight="1">
      <c r="A707" s="81"/>
      <c r="B707" s="111" t="s">
        <v>565</v>
      </c>
      <c r="C707" s="515">
        <v>1</v>
      </c>
      <c r="D707" s="553" t="s">
        <v>265</v>
      </c>
      <c r="E707" s="534">
        <v>1</v>
      </c>
      <c r="F707" s="113">
        <v>0.75</v>
      </c>
      <c r="G707" s="113">
        <v>0</v>
      </c>
      <c r="H707" s="113">
        <v>2.1</v>
      </c>
      <c r="I707" s="523">
        <f>-ROUND(IF(AND(F707:H707),C707*E707*F707*G707*H707,IF(AND(F707,G707),C707*E707*F707*G707,IF(AND(F707,H707),C707*E707*F707*H707,IF(AND(G707,H707),C707*E707*G707*H707,IF(F707,C707*E707*F707,IF(G707,C707*E707*G707,IF(H707,C707*E707*H707,C707*E707))))))),2)</f>
        <v>-1.58</v>
      </c>
      <c r="J707" s="532" t="s">
        <v>102</v>
      </c>
      <c r="K707" s="111"/>
      <c r="L707" s="81"/>
      <c r="M707" s="111"/>
    </row>
    <row r="708" spans="1:13" s="525" customFormat="1" ht="16.5" hidden="1" customHeight="1">
      <c r="A708" s="81"/>
      <c r="B708" s="111" t="s">
        <v>744</v>
      </c>
      <c r="C708" s="515">
        <v>1</v>
      </c>
      <c r="D708" s="553" t="s">
        <v>265</v>
      </c>
      <c r="E708" s="534">
        <v>1</v>
      </c>
      <c r="F708" s="113">
        <v>1.2</v>
      </c>
      <c r="G708" s="113">
        <v>0</v>
      </c>
      <c r="H708" s="113">
        <v>1.2</v>
      </c>
      <c r="I708" s="523">
        <f>-ROUND(IF(AND(F708:H708),C708*E708*F708*G708*H708,IF(AND(F708,G708),C708*E708*F708*G708,IF(AND(F708,H708),C708*E708*F708*H708,IF(AND(G708,H708),C708*E708*G708*H708,IF(F708,C708*E708*F708,IF(G708,C708*E708*G708,IF(H708,C708*E708*H708,C708*E708))))))),2)</f>
        <v>-1.44</v>
      </c>
      <c r="J708" s="532" t="s">
        <v>102</v>
      </c>
      <c r="K708" s="111"/>
      <c r="L708" s="81"/>
      <c r="M708" s="111"/>
    </row>
    <row r="709" spans="1:13" s="525" customFormat="1" ht="16.5" hidden="1" customHeight="1">
      <c r="A709" s="81"/>
      <c r="B709" s="111" t="s">
        <v>1841</v>
      </c>
      <c r="C709" s="515">
        <v>1</v>
      </c>
      <c r="D709" s="553" t="s">
        <v>265</v>
      </c>
      <c r="E709" s="534">
        <v>2</v>
      </c>
      <c r="F709" s="113">
        <v>1.8</v>
      </c>
      <c r="G709" s="113">
        <v>0</v>
      </c>
      <c r="H709" s="113">
        <v>3.15</v>
      </c>
      <c r="I709" s="523">
        <f t="shared" si="73"/>
        <v>11.34</v>
      </c>
      <c r="J709" s="532" t="s">
        <v>102</v>
      </c>
      <c r="K709" s="111"/>
      <c r="L709" s="81"/>
      <c r="M709" s="111"/>
    </row>
    <row r="710" spans="1:13" s="525" customFormat="1" ht="16.5" hidden="1" customHeight="1">
      <c r="A710" s="81"/>
      <c r="B710" s="111"/>
      <c r="C710" s="515">
        <v>1</v>
      </c>
      <c r="D710" s="553" t="s">
        <v>265</v>
      </c>
      <c r="E710" s="534">
        <v>2</v>
      </c>
      <c r="F710" s="113">
        <v>1.2</v>
      </c>
      <c r="G710" s="113">
        <v>0</v>
      </c>
      <c r="H710" s="113">
        <v>3.15</v>
      </c>
      <c r="I710" s="523">
        <f t="shared" si="73"/>
        <v>7.56</v>
      </c>
      <c r="J710" s="532" t="s">
        <v>102</v>
      </c>
      <c r="K710" s="111"/>
      <c r="L710" s="81"/>
      <c r="M710" s="111"/>
    </row>
    <row r="711" spans="1:13" s="525" customFormat="1" ht="16.5" hidden="1" customHeight="1">
      <c r="A711" s="81"/>
      <c r="B711" s="111" t="s">
        <v>565</v>
      </c>
      <c r="C711" s="515">
        <v>1</v>
      </c>
      <c r="D711" s="553" t="s">
        <v>265</v>
      </c>
      <c r="E711" s="534">
        <v>1</v>
      </c>
      <c r="F711" s="113">
        <v>0.75</v>
      </c>
      <c r="G711" s="113">
        <v>0</v>
      </c>
      <c r="H711" s="113">
        <v>2.1</v>
      </c>
      <c r="I711" s="523">
        <f>-ROUND(IF(AND(F711:H711),C711*E711*F711*G711*H711,IF(AND(F711,G711),C711*E711*F711*G711,IF(AND(F711,H711),C711*E711*F711*H711,IF(AND(G711,H711),C711*E711*G711*H711,IF(F711,C711*E711*F711,IF(G711,C711*E711*G711,IF(H711,C711*E711*H711,C711*E711))))))),2)</f>
        <v>-1.58</v>
      </c>
      <c r="J711" s="532" t="s">
        <v>102</v>
      </c>
      <c r="K711" s="111"/>
      <c r="L711" s="81"/>
      <c r="M711" s="111"/>
    </row>
    <row r="712" spans="1:13" s="525" customFormat="1" ht="16.5" hidden="1" customHeight="1">
      <c r="A712" s="81"/>
      <c r="B712" s="111" t="s">
        <v>567</v>
      </c>
      <c r="C712" s="515">
        <v>1</v>
      </c>
      <c r="D712" s="553" t="s">
        <v>265</v>
      </c>
      <c r="E712" s="534">
        <v>1</v>
      </c>
      <c r="F712" s="113">
        <v>0.6</v>
      </c>
      <c r="G712" s="113">
        <v>0</v>
      </c>
      <c r="H712" s="113">
        <v>0.3</v>
      </c>
      <c r="I712" s="523">
        <f>-ROUND(IF(AND(F712:H712),C712*E712*F712*G712*H712,IF(AND(F712,G712),C712*E712*F712*G712,IF(AND(F712,H712),C712*E712*F712*H712,IF(AND(G712,H712),C712*E712*G712*H712,IF(F712,C712*E712*F712,IF(G712,C712*E712*G712,IF(H712,C712*E712*H712,C712*E712))))))),2)</f>
        <v>-0.18</v>
      </c>
      <c r="J712" s="532" t="s">
        <v>102</v>
      </c>
      <c r="K712" s="111"/>
      <c r="L712" s="81"/>
      <c r="M712" s="111"/>
    </row>
    <row r="713" spans="1:13" s="525" customFormat="1" ht="16.5" hidden="1" customHeight="1">
      <c r="A713" s="81"/>
      <c r="B713" s="111" t="s">
        <v>1842</v>
      </c>
      <c r="C713" s="515">
        <v>1</v>
      </c>
      <c r="D713" s="553" t="s">
        <v>265</v>
      </c>
      <c r="E713" s="534">
        <v>1</v>
      </c>
      <c r="F713" s="113">
        <v>4.47</v>
      </c>
      <c r="G713" s="113">
        <v>0</v>
      </c>
      <c r="H713" s="113">
        <v>3.15</v>
      </c>
      <c r="I713" s="523">
        <f t="shared" ref="I713" si="74">ROUND(IF(AND(F713:H713),C713*E713*F713*G713*H713,IF(AND(F713,G713),C713*E713*F713*G713,IF(AND(F713,H713),C713*E713*F713*H713,IF(AND(G713,H713),C713*E713*G713*H713,IF(F713,C713*E713*F713,IF(G713,C713*E713*G713,IF(H713,C713*E713*H713,C713*E713))))))),2)</f>
        <v>14.08</v>
      </c>
      <c r="J713" s="532" t="s">
        <v>102</v>
      </c>
      <c r="K713" s="111"/>
      <c r="L713" s="81"/>
      <c r="M713" s="111"/>
    </row>
    <row r="714" spans="1:13" s="525" customFormat="1" ht="16.5" hidden="1" customHeight="1">
      <c r="A714" s="81"/>
      <c r="B714" s="111"/>
      <c r="C714" s="515">
        <v>1</v>
      </c>
      <c r="D714" s="553" t="s">
        <v>265</v>
      </c>
      <c r="E714" s="534">
        <v>1</v>
      </c>
      <c r="F714" s="113">
        <v>3.37</v>
      </c>
      <c r="G714" s="113">
        <v>0</v>
      </c>
      <c r="H714" s="113">
        <v>3.15</v>
      </c>
      <c r="I714" s="523">
        <f t="shared" ref="I714:I722" si="75">ROUND(IF(AND(F714:H714),C714*E714*F714*G714*H714,IF(AND(F714,G714),C714*E714*F714*G714,IF(AND(F714,H714),C714*E714*F714*H714,IF(AND(G714,H714),C714*E714*G714*H714,IF(F714,C714*E714*F714,IF(G714,C714*E714*G714,IF(H714,C714*E714*H714,C714*E714))))))),2)</f>
        <v>10.62</v>
      </c>
      <c r="J714" s="532" t="s">
        <v>102</v>
      </c>
      <c r="K714" s="111"/>
      <c r="L714" s="81"/>
      <c r="M714" s="111"/>
    </row>
    <row r="715" spans="1:13" s="525" customFormat="1" ht="16.5" hidden="1" customHeight="1">
      <c r="A715" s="81"/>
      <c r="B715" s="111"/>
      <c r="C715" s="515">
        <v>1</v>
      </c>
      <c r="D715" s="553" t="s">
        <v>265</v>
      </c>
      <c r="E715" s="534">
        <v>1</v>
      </c>
      <c r="F715" s="113">
        <v>2.0699999999999998</v>
      </c>
      <c r="G715" s="113">
        <v>0</v>
      </c>
      <c r="H715" s="113">
        <v>3.15</v>
      </c>
      <c r="I715" s="523">
        <f t="shared" si="75"/>
        <v>6.52</v>
      </c>
      <c r="J715" s="532" t="s">
        <v>102</v>
      </c>
      <c r="K715" s="111"/>
      <c r="L715" s="81"/>
      <c r="M715" s="111"/>
    </row>
    <row r="716" spans="1:13" s="525" customFormat="1" ht="16.5" hidden="1" customHeight="1">
      <c r="A716" s="81"/>
      <c r="B716" s="111"/>
      <c r="C716" s="515">
        <v>1</v>
      </c>
      <c r="D716" s="553" t="s">
        <v>265</v>
      </c>
      <c r="E716" s="534">
        <v>1</v>
      </c>
      <c r="F716" s="113">
        <v>0.9</v>
      </c>
      <c r="G716" s="113">
        <v>0</v>
      </c>
      <c r="H716" s="113">
        <v>3.15</v>
      </c>
      <c r="I716" s="523">
        <f t="shared" si="75"/>
        <v>2.84</v>
      </c>
      <c r="J716" s="532" t="s">
        <v>102</v>
      </c>
      <c r="K716" s="111"/>
      <c r="L716" s="81"/>
      <c r="M716" s="111"/>
    </row>
    <row r="717" spans="1:13" s="525" customFormat="1" ht="16.5" hidden="1" customHeight="1">
      <c r="A717" s="81"/>
      <c r="B717" s="111"/>
      <c r="C717" s="515">
        <v>1</v>
      </c>
      <c r="D717" s="553" t="s">
        <v>265</v>
      </c>
      <c r="E717" s="534">
        <v>1</v>
      </c>
      <c r="F717" s="113">
        <v>0.55000000000000004</v>
      </c>
      <c r="G717" s="113">
        <v>0</v>
      </c>
      <c r="H717" s="113">
        <v>3.15</v>
      </c>
      <c r="I717" s="523">
        <f t="shared" si="75"/>
        <v>1.73</v>
      </c>
      <c r="J717" s="532" t="s">
        <v>102</v>
      </c>
      <c r="K717" s="111"/>
      <c r="L717" s="81"/>
      <c r="M717" s="111"/>
    </row>
    <row r="718" spans="1:13" s="525" customFormat="1" ht="16.5" hidden="1" customHeight="1">
      <c r="A718" s="81"/>
      <c r="B718" s="111" t="s">
        <v>565</v>
      </c>
      <c r="C718" s="515">
        <v>1</v>
      </c>
      <c r="D718" s="553" t="s">
        <v>265</v>
      </c>
      <c r="E718" s="534">
        <v>1</v>
      </c>
      <c r="F718" s="113">
        <v>1.05</v>
      </c>
      <c r="G718" s="113">
        <v>0</v>
      </c>
      <c r="H718" s="113">
        <v>2.1</v>
      </c>
      <c r="I718" s="523">
        <f>-ROUND(IF(AND(F718:H718),C718*E718*F718*G718*H718,IF(AND(F718,G718),C718*E718*F718*G718,IF(AND(F718,H718),C718*E718*F718*H718,IF(AND(G718,H718),C718*E718*G718*H718,IF(F718,C718*E718*F718,IF(G718,C718*E718*G718,IF(H718,C718*E718*H718,C718*E718))))))),2)</f>
        <v>-2.21</v>
      </c>
      <c r="J718" s="532" t="s">
        <v>102</v>
      </c>
      <c r="K718" s="111"/>
      <c r="L718" s="81"/>
      <c r="M718" s="111"/>
    </row>
    <row r="719" spans="1:13" s="525" customFormat="1" ht="16.5" hidden="1" customHeight="1">
      <c r="A719" s="81"/>
      <c r="B719" s="111" t="s">
        <v>744</v>
      </c>
      <c r="C719" s="515">
        <v>1</v>
      </c>
      <c r="D719" s="553" t="s">
        <v>265</v>
      </c>
      <c r="E719" s="534">
        <v>1</v>
      </c>
      <c r="F719" s="113">
        <v>1.2</v>
      </c>
      <c r="G719" s="113">
        <v>0</v>
      </c>
      <c r="H719" s="113">
        <v>1.2</v>
      </c>
      <c r="I719" s="523">
        <f>-ROUND(IF(AND(F719:H719),C719*E719*F719*G719*H719,IF(AND(F719,G719),C719*E719*F719*G719,IF(AND(F719,H719),C719*E719*F719*H719,IF(AND(G719,H719),C719*E719*G719*H719,IF(F719,C719*E719*F719,IF(G719,C719*E719*G719,IF(H719,C719*E719*H719,C719*E719))))))),2)</f>
        <v>-1.44</v>
      </c>
      <c r="J719" s="532" t="s">
        <v>102</v>
      </c>
      <c r="K719" s="111"/>
      <c r="L719" s="81"/>
      <c r="M719" s="111"/>
    </row>
    <row r="720" spans="1:13" s="525" customFormat="1" ht="16.5" hidden="1" customHeight="1">
      <c r="A720" s="81"/>
      <c r="B720" s="111" t="s">
        <v>741</v>
      </c>
      <c r="C720" s="515">
        <v>1</v>
      </c>
      <c r="D720" s="553" t="s">
        <v>265</v>
      </c>
      <c r="E720" s="534">
        <v>2</v>
      </c>
      <c r="F720" s="113">
        <v>6.75</v>
      </c>
      <c r="G720" s="113">
        <v>0</v>
      </c>
      <c r="H720" s="113">
        <v>3.15</v>
      </c>
      <c r="I720" s="523">
        <f t="shared" si="75"/>
        <v>42.53</v>
      </c>
      <c r="J720" s="532" t="s">
        <v>102</v>
      </c>
      <c r="K720" s="111"/>
      <c r="L720" s="81"/>
      <c r="M720" s="111"/>
    </row>
    <row r="721" spans="1:13" s="525" customFormat="1" ht="16.5" hidden="1" customHeight="1">
      <c r="A721" s="81"/>
      <c r="B721" s="111"/>
      <c r="C721" s="515">
        <v>1</v>
      </c>
      <c r="D721" s="553" t="s">
        <v>265</v>
      </c>
      <c r="E721" s="534">
        <v>2</v>
      </c>
      <c r="F721" s="113">
        <v>3.3</v>
      </c>
      <c r="G721" s="113">
        <v>0</v>
      </c>
      <c r="H721" s="113">
        <v>3.15</v>
      </c>
      <c r="I721" s="523">
        <f t="shared" si="75"/>
        <v>20.79</v>
      </c>
      <c r="J721" s="532" t="s">
        <v>102</v>
      </c>
      <c r="K721" s="111"/>
      <c r="L721" s="81"/>
      <c r="M721" s="111"/>
    </row>
    <row r="722" spans="1:13" s="525" customFormat="1" ht="16.5" hidden="1" customHeight="1">
      <c r="A722" s="81"/>
      <c r="B722" s="111"/>
      <c r="C722" s="515">
        <v>1</v>
      </c>
      <c r="D722" s="553" t="s">
        <v>265</v>
      </c>
      <c r="E722" s="534">
        <v>1</v>
      </c>
      <c r="F722" s="113">
        <v>1.8</v>
      </c>
      <c r="G722" s="113">
        <v>0</v>
      </c>
      <c r="H722" s="113">
        <v>3.15</v>
      </c>
      <c r="I722" s="523">
        <f t="shared" si="75"/>
        <v>5.67</v>
      </c>
      <c r="J722" s="532" t="s">
        <v>102</v>
      </c>
      <c r="K722" s="111"/>
      <c r="L722" s="81"/>
      <c r="M722" s="111"/>
    </row>
    <row r="723" spans="1:13" s="525" customFormat="1" ht="16.5" hidden="1" customHeight="1">
      <c r="A723" s="81"/>
      <c r="B723" s="111" t="s">
        <v>565</v>
      </c>
      <c r="C723" s="515">
        <v>1</v>
      </c>
      <c r="D723" s="553" t="s">
        <v>265</v>
      </c>
      <c r="E723" s="534">
        <v>1</v>
      </c>
      <c r="F723" s="113">
        <v>1.05</v>
      </c>
      <c r="G723" s="113">
        <v>0</v>
      </c>
      <c r="H723" s="113">
        <v>2.1</v>
      </c>
      <c r="I723" s="523">
        <f>-ROUND(IF(AND(F723:H723),C723*E723*F723*G723*H723,IF(AND(F723,G723),C723*E723*F723*G723,IF(AND(F723,H723),C723*E723*F723*H723,IF(AND(G723,H723),C723*E723*G723*H723,IF(F723,C723*E723*F723,IF(G723,C723*E723*G723,IF(H723,C723*E723*H723,C723*E723))))))),2)</f>
        <v>-2.21</v>
      </c>
      <c r="J723" s="532" t="s">
        <v>102</v>
      </c>
      <c r="K723" s="111"/>
      <c r="L723" s="81"/>
      <c r="M723" s="111"/>
    </row>
    <row r="724" spans="1:13" s="525" customFormat="1" ht="16.5" hidden="1" customHeight="1">
      <c r="A724" s="81"/>
      <c r="B724" s="111" t="s">
        <v>744</v>
      </c>
      <c r="C724" s="515">
        <v>1</v>
      </c>
      <c r="D724" s="553" t="s">
        <v>265</v>
      </c>
      <c r="E724" s="534">
        <v>2</v>
      </c>
      <c r="F724" s="113">
        <v>1.2</v>
      </c>
      <c r="G724" s="113">
        <v>0</v>
      </c>
      <c r="H724" s="113">
        <v>1.2</v>
      </c>
      <c r="I724" s="523">
        <f>-ROUND(IF(AND(F724:H724),C724*E724*F724*G724*H724,IF(AND(F724,G724),C724*E724*F724*G724,IF(AND(F724,H724),C724*E724*F724*H724,IF(AND(G724,H724),C724*E724*G724*H724,IF(F724,C724*E724*F724,IF(G724,C724*E724*G724,IF(H724,C724*E724*H724,C724*E724))))))),2)</f>
        <v>-2.88</v>
      </c>
      <c r="J724" s="532" t="s">
        <v>102</v>
      </c>
      <c r="K724" s="111"/>
      <c r="L724" s="81"/>
      <c r="M724" s="111"/>
    </row>
    <row r="725" spans="1:13" s="525" customFormat="1" ht="16.5" hidden="1" customHeight="1">
      <c r="A725" s="81"/>
      <c r="B725" s="526"/>
      <c r="C725" s="527"/>
      <c r="D725" s="528"/>
      <c r="E725" s="529"/>
      <c r="F725" s="530"/>
      <c r="G725" s="530"/>
      <c r="H725" s="530"/>
      <c r="I725" s="531"/>
      <c r="J725" s="532"/>
      <c r="K725" s="111"/>
      <c r="L725" s="517"/>
      <c r="M725" s="111"/>
    </row>
    <row r="726" spans="1:13" hidden="1">
      <c r="A726" s="81"/>
      <c r="B726" s="111"/>
      <c r="C726" s="112"/>
      <c r="D726" s="533"/>
      <c r="E726" s="534"/>
      <c r="F726" s="113"/>
      <c r="G726" s="539"/>
      <c r="H726" s="81"/>
      <c r="I726" s="531"/>
      <c r="J726" s="532" t="s">
        <v>102</v>
      </c>
      <c r="K726" s="12">
        <f>'DATA 2024-25'!F576</f>
        <v>521.53</v>
      </c>
      <c r="L726" s="517" t="s">
        <v>267</v>
      </c>
      <c r="M726" s="11">
        <f>ROUND(I726*K726,0)</f>
        <v>0</v>
      </c>
    </row>
    <row r="727" spans="1:13" ht="71.25" hidden="1" customHeight="1">
      <c r="A727" s="81">
        <v>10</v>
      </c>
      <c r="B727" s="910" t="s">
        <v>307</v>
      </c>
      <c r="C727" s="910"/>
      <c r="D727" s="910"/>
      <c r="E727" s="910"/>
      <c r="F727" s="910"/>
      <c r="G727" s="910"/>
      <c r="H727" s="910"/>
      <c r="I727" s="515"/>
      <c r="J727" s="516"/>
      <c r="K727" s="81"/>
      <c r="L727" s="517"/>
      <c r="M727" s="110"/>
    </row>
    <row r="728" spans="1:13" s="525" customFormat="1" ht="16.5" hidden="1" customHeight="1">
      <c r="A728" s="81"/>
      <c r="B728" s="111" t="s">
        <v>1796</v>
      </c>
      <c r="C728" s="515">
        <v>1</v>
      </c>
      <c r="D728" s="553" t="s">
        <v>265</v>
      </c>
      <c r="E728" s="534">
        <v>2</v>
      </c>
      <c r="F728" s="113">
        <v>7.32</v>
      </c>
      <c r="G728" s="113">
        <v>0</v>
      </c>
      <c r="H728" s="113">
        <v>3.5</v>
      </c>
      <c r="I728" s="523">
        <f>ROUND(IF(AND(F728:H728),C728*E728*F728*G728*H728,IF(AND(F728,G728),C728*E728*F728*G728,IF(AND(F728,H728),C728*E728*F728*H728,IF(AND(G728,H728),C728*E728*G728*H728,IF(F728,C728*E728*F728,IF(G728,C728*E728*G728,IF(H728,C728*E728*H728,C728*E728))))))),2)</f>
        <v>51.24</v>
      </c>
      <c r="J728" s="532" t="s">
        <v>102</v>
      </c>
      <c r="K728" s="111"/>
      <c r="L728" s="81"/>
      <c r="M728" s="111"/>
    </row>
    <row r="729" spans="1:13" s="525" customFormat="1" ht="16.5" hidden="1" customHeight="1">
      <c r="A729" s="81"/>
      <c r="B729" s="111" t="s">
        <v>1805</v>
      </c>
      <c r="C729" s="515">
        <v>1</v>
      </c>
      <c r="D729" s="553" t="s">
        <v>265</v>
      </c>
      <c r="E729" s="534">
        <v>2</v>
      </c>
      <c r="F729" s="113">
        <v>5.9600000000000009</v>
      </c>
      <c r="G729" s="113">
        <v>0</v>
      </c>
      <c r="H729" s="113">
        <v>3.5</v>
      </c>
      <c r="I729" s="523">
        <f>ROUND(IF(AND(F729:H729),C729*E729*F729*G729*H729,IF(AND(F729,G729),C729*E729*F729*G729,IF(AND(F729,H729),C729*E729*F729*H729,IF(AND(G729,H729),C729*E729*G729*H729,IF(F729,C729*E729*F729,IF(G729,C729*E729*G729,IF(H729,C729*E729*H729,C729*E729))))))),2)</f>
        <v>41.72</v>
      </c>
      <c r="J729" s="532" t="s">
        <v>102</v>
      </c>
      <c r="K729" s="111"/>
      <c r="L729" s="81"/>
      <c r="M729" s="111"/>
    </row>
    <row r="730" spans="1:13" s="525" customFormat="1" ht="16.5" hidden="1" customHeight="1">
      <c r="A730" s="81"/>
      <c r="B730" s="111" t="s">
        <v>1807</v>
      </c>
      <c r="C730" s="515">
        <v>-1</v>
      </c>
      <c r="D730" s="553" t="s">
        <v>265</v>
      </c>
      <c r="E730" s="534">
        <v>1</v>
      </c>
      <c r="F730" s="113">
        <v>1.05</v>
      </c>
      <c r="G730" s="113">
        <v>0</v>
      </c>
      <c r="H730" s="113">
        <v>2.13</v>
      </c>
      <c r="I730" s="523">
        <f>ROUND(IF(AND(F730:H730),C730*E730*F730*G730*H730,IF(AND(F730,G730),C730*E730*F730*G730,IF(AND(F730,H730),C730*E730*F730*H730,IF(AND(G730,H730),C730*E730*G730*H730,IF(F730,C730*E730*F730,IF(G730,C730*E730*G730,IF(H730,C730*E730*H730,C730*E730))))))),2)</f>
        <v>-2.2400000000000002</v>
      </c>
      <c r="J730" s="532" t="s">
        <v>102</v>
      </c>
      <c r="K730" s="111"/>
      <c r="L730" s="81"/>
      <c r="M730" s="111"/>
    </row>
    <row r="731" spans="1:13" s="525" customFormat="1" ht="16.5" hidden="1" customHeight="1">
      <c r="A731" s="81"/>
      <c r="B731" s="111" t="s">
        <v>1808</v>
      </c>
      <c r="C731" s="515">
        <v>-1</v>
      </c>
      <c r="D731" s="553" t="s">
        <v>265</v>
      </c>
      <c r="E731" s="534">
        <v>8</v>
      </c>
      <c r="F731" s="113">
        <v>1.22</v>
      </c>
      <c r="G731" s="113">
        <v>0</v>
      </c>
      <c r="H731" s="113">
        <v>1.22</v>
      </c>
      <c r="I731" s="523">
        <f>ROUND(IF(AND(F731:H731),C731*E731*F731*G731*H731,IF(AND(F731,G731),C731*E731*F731*G731,IF(AND(F731,H731),C731*E731*F731*H731,IF(AND(G731,H731),C731*E731*G731*H731,IF(F731,C731*E731*F731,IF(G731,C731*E731*G731,IF(H731,C731*E731*H731,C731*E731))))))),2)</f>
        <v>-11.91</v>
      </c>
      <c r="J731" s="532" t="s">
        <v>102</v>
      </c>
      <c r="K731" s="111"/>
      <c r="L731" s="81"/>
      <c r="M731" s="111"/>
    </row>
    <row r="732" spans="1:13" s="525" customFormat="1" ht="16.5" hidden="1" customHeight="1">
      <c r="A732" s="81"/>
      <c r="B732" s="111" t="s">
        <v>1809</v>
      </c>
      <c r="C732" s="515">
        <v>-1</v>
      </c>
      <c r="D732" s="553" t="s">
        <v>265</v>
      </c>
      <c r="E732" s="534">
        <v>8</v>
      </c>
      <c r="F732" s="113">
        <v>0.9</v>
      </c>
      <c r="G732" s="113">
        <v>0</v>
      </c>
      <c r="H732" s="113">
        <v>0.3</v>
      </c>
      <c r="I732" s="523">
        <f>ROUND(IF(AND(F732:H732),C732*E732*F732*G732*H732,IF(AND(F732,G732),C732*E732*F732*G732,IF(AND(F732,H732),C732*E732*F732*H732,IF(AND(G732,H732),C732*E732*G732*H732,IF(F732,C732*E732*F732,IF(G732,C732*E732*G732,IF(H732,C732*E732*H732,C732*E732))))))),2)</f>
        <v>-2.16</v>
      </c>
      <c r="J732" s="532" t="s">
        <v>102</v>
      </c>
      <c r="K732" s="111"/>
      <c r="L732" s="81"/>
      <c r="M732" s="111"/>
    </row>
    <row r="733" spans="1:13" s="525" customFormat="1" ht="16.5" hidden="1" customHeight="1">
      <c r="A733" s="81"/>
      <c r="B733" s="526"/>
      <c r="C733" s="527"/>
      <c r="D733" s="528"/>
      <c r="E733" s="529"/>
      <c r="F733" s="530"/>
      <c r="G733" s="530"/>
      <c r="H733" s="530"/>
      <c r="I733" s="531"/>
      <c r="J733" s="532"/>
      <c r="K733" s="111"/>
      <c r="L733" s="517"/>
      <c r="M733" s="111"/>
    </row>
    <row r="734" spans="1:13" hidden="1">
      <c r="A734" s="81"/>
      <c r="B734" s="111"/>
      <c r="C734" s="112"/>
      <c r="D734" s="533"/>
      <c r="E734" s="534"/>
      <c r="F734" s="113"/>
      <c r="G734" s="539"/>
      <c r="H734" s="81"/>
      <c r="I734" s="531"/>
      <c r="J734" s="532" t="s">
        <v>102</v>
      </c>
      <c r="K734" s="12">
        <f>'DATA 2024-25'!F597</f>
        <v>532.75</v>
      </c>
      <c r="L734" s="517" t="s">
        <v>267</v>
      </c>
      <c r="M734" s="11">
        <f>ROUND(I734*K734,0)</f>
        <v>0</v>
      </c>
    </row>
    <row r="735" spans="1:13" ht="92.25" hidden="1" customHeight="1">
      <c r="A735" s="81">
        <v>13</v>
      </c>
      <c r="B735" s="910" t="s">
        <v>1223</v>
      </c>
      <c r="C735" s="910"/>
      <c r="D735" s="910"/>
      <c r="E735" s="910"/>
      <c r="F735" s="910"/>
      <c r="G735" s="910"/>
      <c r="H735" s="910"/>
      <c r="I735" s="515"/>
      <c r="J735" s="516"/>
      <c r="K735" s="81"/>
      <c r="L735" s="517"/>
      <c r="M735" s="110"/>
    </row>
    <row r="736" spans="1:13" s="525" customFormat="1" ht="16.5" hidden="1" customHeight="1">
      <c r="A736" s="81"/>
      <c r="B736" s="558" t="s">
        <v>581</v>
      </c>
      <c r="C736" s="547"/>
      <c r="D736" s="548"/>
      <c r="E736" s="549"/>
      <c r="F736" s="550"/>
      <c r="G736" s="550"/>
      <c r="H736" s="551"/>
      <c r="I736" s="552"/>
      <c r="J736" s="532"/>
      <c r="K736" s="111"/>
      <c r="L736" s="517"/>
      <c r="M736" s="111"/>
    </row>
    <row r="737" spans="1:13" s="525" customFormat="1" ht="16.5" hidden="1" customHeight="1">
      <c r="A737" s="81"/>
      <c r="B737" s="526"/>
      <c r="C737" s="527">
        <v>11</v>
      </c>
      <c r="D737" s="528" t="s">
        <v>265</v>
      </c>
      <c r="E737" s="570">
        <v>0.5</v>
      </c>
      <c r="F737" s="530">
        <v>1.8</v>
      </c>
      <c r="G737" s="530">
        <v>0.3</v>
      </c>
      <c r="H737" s="530">
        <v>0.15</v>
      </c>
      <c r="I737" s="531">
        <f>ROUND(IF(AND(F737:H737),C737*E737*F737*G737*H737,IF(AND(F737,G737),C737*E737*F737*G737,IF(AND(F737,H737),C737*E737*F737*H737,IF(AND(G737,H737),C737*E737*G737*H737,IF(F737,C737*E737*F737,IF(G737,C737*E737*G737,IF(H737,C737*E737*H737,C737*E737))))))),2)</f>
        <v>0.45</v>
      </c>
      <c r="J737" s="532" t="s">
        <v>5</v>
      </c>
      <c r="K737" s="111"/>
      <c r="L737" s="517"/>
      <c r="M737" s="111"/>
    </row>
    <row r="738" spans="1:13" s="525" customFormat="1" ht="16.5" hidden="1" customHeight="1">
      <c r="A738" s="81"/>
      <c r="B738" s="558" t="s">
        <v>582</v>
      </c>
      <c r="C738" s="547"/>
      <c r="D738" s="548"/>
      <c r="E738" s="549"/>
      <c r="F738" s="550"/>
      <c r="G738" s="550"/>
      <c r="H738" s="551"/>
      <c r="I738" s="552"/>
      <c r="J738" s="532"/>
      <c r="K738" s="111"/>
      <c r="L738" s="517"/>
      <c r="M738" s="111"/>
    </row>
    <row r="739" spans="1:13" s="525" customFormat="1" ht="16.5" hidden="1" customHeight="1">
      <c r="A739" s="81"/>
      <c r="B739" s="526"/>
      <c r="C739" s="527">
        <v>11</v>
      </c>
      <c r="D739" s="528" t="s">
        <v>265</v>
      </c>
      <c r="E739" s="570">
        <v>0.5</v>
      </c>
      <c r="F739" s="530">
        <v>1.8</v>
      </c>
      <c r="G739" s="530">
        <v>0.3</v>
      </c>
      <c r="H739" s="530">
        <v>0.15</v>
      </c>
      <c r="I739" s="531">
        <f>ROUND(IF(AND(F739:H739),C739*E739*F739*G739*H739,IF(AND(F739,G739),C739*E739*F739*G739,IF(AND(F739,H739),C739*E739*F739*H739,IF(AND(G739,H739),C739*E739*G739*H739,IF(F739,C739*E739*F739,IF(G739,C739*E739*G739,IF(H739,C739*E739*H739,C739*E739))))))),2)</f>
        <v>0.45</v>
      </c>
      <c r="J739" s="532" t="s">
        <v>5</v>
      </c>
      <c r="K739" s="111"/>
      <c r="L739" s="517"/>
      <c r="M739" s="111"/>
    </row>
    <row r="740" spans="1:13" hidden="1">
      <c r="A740" s="81"/>
      <c r="B740" s="111"/>
      <c r="C740" s="112"/>
      <c r="D740" s="533"/>
      <c r="E740" s="534"/>
      <c r="F740" s="113"/>
      <c r="G740" s="539"/>
      <c r="H740" s="81"/>
      <c r="I740" s="531"/>
      <c r="J740" s="532" t="s">
        <v>5</v>
      </c>
      <c r="K740" s="12">
        <f>'DATA 2024-25'!F320</f>
        <v>6970.28</v>
      </c>
      <c r="L740" s="517" t="s">
        <v>266</v>
      </c>
      <c r="M740" s="11">
        <f>ROUND(I740*K740,0)</f>
        <v>0</v>
      </c>
    </row>
    <row r="741" spans="1:13" ht="106.5" hidden="1" customHeight="1">
      <c r="A741" s="81">
        <v>3</v>
      </c>
      <c r="B741" s="910" t="s">
        <v>212</v>
      </c>
      <c r="C741" s="910"/>
      <c r="D741" s="910"/>
      <c r="E741" s="910"/>
      <c r="F741" s="910"/>
      <c r="G741" s="910"/>
      <c r="H741" s="910"/>
      <c r="I741" s="515"/>
      <c r="J741" s="516"/>
      <c r="K741" s="81"/>
      <c r="L741" s="517"/>
      <c r="M741" s="110"/>
    </row>
    <row r="742" spans="1:13" hidden="1">
      <c r="A742" s="81"/>
      <c r="B742" s="473" t="s">
        <v>1888</v>
      </c>
      <c r="C742" s="565"/>
      <c r="D742" s="566"/>
      <c r="E742" s="567"/>
      <c r="F742" s="473"/>
      <c r="G742" s="473"/>
      <c r="H742" s="473"/>
      <c r="I742" s="515"/>
      <c r="J742" s="516"/>
      <c r="K742" s="81"/>
      <c r="L742" s="517"/>
      <c r="M742" s="110"/>
    </row>
    <row r="743" spans="1:13" s="525" customFormat="1" ht="16.5" hidden="1" customHeight="1">
      <c r="A743" s="81"/>
      <c r="B743" s="526" t="s">
        <v>1840</v>
      </c>
      <c r="C743" s="527">
        <v>1</v>
      </c>
      <c r="D743" s="528" t="s">
        <v>265</v>
      </c>
      <c r="E743" s="529">
        <v>1</v>
      </c>
      <c r="F743" s="530">
        <v>3.37</v>
      </c>
      <c r="G743" s="530">
        <v>3.37</v>
      </c>
      <c r="H743" s="530">
        <v>0</v>
      </c>
      <c r="I743" s="531">
        <f>ROUND(IF(AND(F743:H743),C743*E743*F743*G743*H743,IF(AND(F743,G743),C743*E743*F743*G743,IF(AND(F743,H743),C743*E743*F743*H743,IF(AND(G743,H743),C743*E743*G743*H743,IF(F743,C743*E743*F743,IF(G743,C743*E743*G743,IF(H743,C743*E743*H743,C743*E743))))))),2)</f>
        <v>11.36</v>
      </c>
      <c r="J743" s="532" t="s">
        <v>102</v>
      </c>
      <c r="K743" s="111"/>
      <c r="L743" s="81"/>
      <c r="M743" s="111"/>
    </row>
    <row r="744" spans="1:13" s="525" customFormat="1" ht="16.5" hidden="1" customHeight="1">
      <c r="A744" s="81"/>
      <c r="B744" s="526" t="s">
        <v>1842</v>
      </c>
      <c r="C744" s="527">
        <v>1</v>
      </c>
      <c r="D744" s="528" t="s">
        <v>265</v>
      </c>
      <c r="E744" s="529">
        <v>1</v>
      </c>
      <c r="F744" s="530">
        <v>2.0699999999999998</v>
      </c>
      <c r="G744" s="530">
        <v>1.9</v>
      </c>
      <c r="H744" s="530">
        <v>0</v>
      </c>
      <c r="I744" s="531">
        <f t="shared" ref="I744:I746" si="76">ROUND(IF(AND(F744:H744),C744*E744*F744*G744*H744,IF(AND(F744,G744),C744*E744*F744*G744,IF(AND(F744,H744),C744*E744*F744*H744,IF(AND(G744,H744),C744*E744*G744*H744,IF(F744,C744*E744*F744,IF(G744,C744*E744*G744,IF(H744,C744*E744*H744,C744*E744))))))),2)</f>
        <v>3.93</v>
      </c>
      <c r="J744" s="532" t="s">
        <v>102</v>
      </c>
      <c r="K744" s="111"/>
      <c r="L744" s="81"/>
      <c r="M744" s="111"/>
    </row>
    <row r="745" spans="1:13" s="525" customFormat="1" ht="16.5" hidden="1" customHeight="1">
      <c r="A745" s="81"/>
      <c r="B745" s="526"/>
      <c r="C745" s="527">
        <v>1</v>
      </c>
      <c r="D745" s="528" t="s">
        <v>265</v>
      </c>
      <c r="E745" s="529">
        <v>1</v>
      </c>
      <c r="F745" s="530">
        <v>3.37</v>
      </c>
      <c r="G745" s="530">
        <v>1.37</v>
      </c>
      <c r="H745" s="530">
        <v>0</v>
      </c>
      <c r="I745" s="531">
        <f t="shared" si="76"/>
        <v>4.62</v>
      </c>
      <c r="J745" s="532" t="s">
        <v>102</v>
      </c>
      <c r="K745" s="111"/>
      <c r="L745" s="81"/>
      <c r="M745" s="111"/>
    </row>
    <row r="746" spans="1:13" s="525" customFormat="1" ht="16.5" hidden="1" customHeight="1">
      <c r="A746" s="81"/>
      <c r="B746" s="526" t="s">
        <v>741</v>
      </c>
      <c r="C746" s="527">
        <v>1</v>
      </c>
      <c r="D746" s="528" t="s">
        <v>265</v>
      </c>
      <c r="E746" s="529">
        <v>1</v>
      </c>
      <c r="F746" s="530">
        <v>6.75</v>
      </c>
      <c r="G746" s="530">
        <v>3.3</v>
      </c>
      <c r="H746" s="530">
        <v>0</v>
      </c>
      <c r="I746" s="531">
        <f t="shared" si="76"/>
        <v>22.28</v>
      </c>
      <c r="J746" s="532" t="s">
        <v>102</v>
      </c>
      <c r="K746" s="111"/>
      <c r="L746" s="81"/>
      <c r="M746" s="111"/>
    </row>
    <row r="747" spans="1:13" s="525" customFormat="1" ht="16.5" hidden="1" customHeight="1">
      <c r="A747" s="81"/>
      <c r="B747" s="526"/>
      <c r="C747" s="527"/>
      <c r="D747" s="528"/>
      <c r="E747" s="529"/>
      <c r="F747" s="530"/>
      <c r="G747" s="530"/>
      <c r="H747" s="530"/>
      <c r="I747" s="531"/>
      <c r="J747" s="532"/>
      <c r="K747" s="111"/>
      <c r="L747" s="517"/>
      <c r="M747" s="111"/>
    </row>
    <row r="748" spans="1:13" hidden="1">
      <c r="A748" s="81"/>
      <c r="B748" s="111"/>
      <c r="C748" s="112"/>
      <c r="D748" s="533"/>
      <c r="E748" s="534"/>
      <c r="F748" s="113"/>
      <c r="G748" s="539"/>
      <c r="H748" s="81"/>
      <c r="I748" s="531"/>
      <c r="J748" s="532" t="s">
        <v>102</v>
      </c>
      <c r="K748" s="12">
        <f>'DATA 2024-25'!F748</f>
        <v>1284.3599999999999</v>
      </c>
      <c r="L748" s="517" t="s">
        <v>267</v>
      </c>
      <c r="M748" s="11">
        <f>ROUND(I748*K748,0)</f>
        <v>0</v>
      </c>
    </row>
    <row r="749" spans="1:13" ht="79.5" hidden="1" customHeight="1">
      <c r="A749" s="81">
        <v>4</v>
      </c>
      <c r="B749" s="910" t="s">
        <v>213</v>
      </c>
      <c r="C749" s="910"/>
      <c r="D749" s="910"/>
      <c r="E749" s="910"/>
      <c r="F749" s="910"/>
      <c r="G749" s="910"/>
      <c r="H749" s="910"/>
      <c r="I749" s="515"/>
      <c r="J749" s="516"/>
      <c r="K749" s="81"/>
      <c r="L749" s="517"/>
      <c r="M749" s="110"/>
    </row>
    <row r="750" spans="1:13" hidden="1">
      <c r="A750" s="81"/>
      <c r="B750" s="473" t="s">
        <v>1889</v>
      </c>
      <c r="C750" s="565"/>
      <c r="D750" s="566"/>
      <c r="E750" s="567"/>
      <c r="F750" s="473"/>
      <c r="G750" s="473"/>
      <c r="H750" s="473"/>
      <c r="I750" s="515"/>
      <c r="J750" s="516"/>
      <c r="K750" s="81"/>
      <c r="L750" s="517"/>
      <c r="M750" s="110"/>
    </row>
    <row r="751" spans="1:13" s="525" customFormat="1" ht="16.5" hidden="1" customHeight="1">
      <c r="A751" s="81"/>
      <c r="B751" s="526" t="s">
        <v>1840</v>
      </c>
      <c r="C751" s="527">
        <v>1</v>
      </c>
      <c r="D751" s="528" t="s">
        <v>265</v>
      </c>
      <c r="E751" s="529">
        <v>2</v>
      </c>
      <c r="F751" s="530">
        <v>3.37</v>
      </c>
      <c r="G751" s="530">
        <v>0</v>
      </c>
      <c r="H751" s="530">
        <v>0.1</v>
      </c>
      <c r="I751" s="531">
        <f>ROUND(IF(AND(F751:H751),C751*E751*F751*G751*H751,IF(AND(F751,G751),C751*E751*F751*G751,IF(AND(F751,H751),C751*E751*F751*H751,IF(AND(G751,H751),C751*E751*G751*H751,IF(F751,C751*E751*F751,IF(G751,C751*E751*G751,IF(H751,C751*E751*H751,C751*E751))))))),2)</f>
        <v>0.67</v>
      </c>
      <c r="J751" s="532" t="s">
        <v>102</v>
      </c>
      <c r="K751" s="111"/>
      <c r="L751" s="81"/>
      <c r="M751" s="111"/>
    </row>
    <row r="752" spans="1:13" s="525" customFormat="1" ht="16.5" hidden="1" customHeight="1">
      <c r="A752" s="81"/>
      <c r="B752" s="526"/>
      <c r="C752" s="527">
        <v>1</v>
      </c>
      <c r="D752" s="528" t="s">
        <v>265</v>
      </c>
      <c r="E752" s="529">
        <v>2</v>
      </c>
      <c r="F752" s="530">
        <v>3.37</v>
      </c>
      <c r="G752" s="530">
        <v>0</v>
      </c>
      <c r="H752" s="530">
        <v>0.1</v>
      </c>
      <c r="I752" s="531">
        <f t="shared" ref="I752:I761" si="77">ROUND(IF(AND(F752:H752),C752*E752*F752*G752*H752,IF(AND(F752,G752),C752*E752*F752*G752,IF(AND(F752,H752),C752*E752*F752*H752,IF(AND(G752,H752),C752*E752*G752*H752,IF(F752,C752*E752*F752,IF(G752,C752*E752*G752,IF(H752,C752*E752*H752,C752*E752))))))),2)</f>
        <v>0.67</v>
      </c>
      <c r="J752" s="532" t="s">
        <v>102</v>
      </c>
      <c r="K752" s="111"/>
      <c r="L752" s="81"/>
      <c r="M752" s="111"/>
    </row>
    <row r="753" spans="1:13" s="525" customFormat="1" ht="16.5" hidden="1" customHeight="1">
      <c r="A753" s="81"/>
      <c r="B753" s="526" t="s">
        <v>1842</v>
      </c>
      <c r="C753" s="527">
        <v>1</v>
      </c>
      <c r="D753" s="528" t="s">
        <v>265</v>
      </c>
      <c r="E753" s="529">
        <v>1</v>
      </c>
      <c r="F753" s="530">
        <v>2.0699999999999998</v>
      </c>
      <c r="G753" s="530">
        <v>0</v>
      </c>
      <c r="H753" s="530">
        <v>0.1</v>
      </c>
      <c r="I753" s="531">
        <f t="shared" si="77"/>
        <v>0.21</v>
      </c>
      <c r="J753" s="532" t="s">
        <v>102</v>
      </c>
      <c r="K753" s="111"/>
      <c r="L753" s="81"/>
      <c r="M753" s="111"/>
    </row>
    <row r="754" spans="1:13" s="525" customFormat="1" ht="16.5" hidden="1" customHeight="1">
      <c r="A754" s="81"/>
      <c r="B754" s="526"/>
      <c r="C754" s="527">
        <v>1</v>
      </c>
      <c r="D754" s="528" t="s">
        <v>265</v>
      </c>
      <c r="E754" s="529">
        <v>1</v>
      </c>
      <c r="F754" s="530">
        <v>1.9</v>
      </c>
      <c r="G754" s="530">
        <v>0</v>
      </c>
      <c r="H754" s="530">
        <v>0.1</v>
      </c>
      <c r="I754" s="531">
        <f t="shared" si="77"/>
        <v>0.19</v>
      </c>
      <c r="J754" s="532" t="s">
        <v>102</v>
      </c>
      <c r="K754" s="111"/>
      <c r="L754" s="81"/>
      <c r="M754" s="111"/>
    </row>
    <row r="755" spans="1:13" s="525" customFormat="1" ht="16.5" hidden="1" customHeight="1">
      <c r="A755" s="81"/>
      <c r="B755" s="526"/>
      <c r="C755" s="527">
        <v>1</v>
      </c>
      <c r="D755" s="528" t="s">
        <v>265</v>
      </c>
      <c r="E755" s="529">
        <v>1</v>
      </c>
      <c r="F755" s="530">
        <v>1.3</v>
      </c>
      <c r="G755" s="530">
        <v>0</v>
      </c>
      <c r="H755" s="530">
        <v>0.1</v>
      </c>
      <c r="I755" s="531">
        <f t="shared" si="77"/>
        <v>0.13</v>
      </c>
      <c r="J755" s="532" t="s">
        <v>102</v>
      </c>
      <c r="K755" s="111"/>
      <c r="L755" s="81"/>
      <c r="M755" s="111"/>
    </row>
    <row r="756" spans="1:13" s="525" customFormat="1" ht="16.5" hidden="1" customHeight="1">
      <c r="A756" s="81"/>
      <c r="B756" s="526"/>
      <c r="C756" s="527">
        <v>1</v>
      </c>
      <c r="D756" s="528" t="s">
        <v>265</v>
      </c>
      <c r="E756" s="529">
        <v>1</v>
      </c>
      <c r="F756" s="530">
        <v>1.37</v>
      </c>
      <c r="G756" s="530">
        <v>0</v>
      </c>
      <c r="H756" s="530">
        <v>0.1</v>
      </c>
      <c r="I756" s="531">
        <f t="shared" si="77"/>
        <v>0.14000000000000001</v>
      </c>
      <c r="J756" s="532" t="s">
        <v>102</v>
      </c>
      <c r="K756" s="111"/>
      <c r="L756" s="81"/>
      <c r="M756" s="111"/>
    </row>
    <row r="757" spans="1:13" s="525" customFormat="1" ht="16.5" hidden="1" customHeight="1">
      <c r="A757" s="81"/>
      <c r="B757" s="526"/>
      <c r="C757" s="527">
        <v>1</v>
      </c>
      <c r="D757" s="528" t="s">
        <v>265</v>
      </c>
      <c r="E757" s="529">
        <v>1</v>
      </c>
      <c r="F757" s="530">
        <v>3.37</v>
      </c>
      <c r="G757" s="530">
        <v>0</v>
      </c>
      <c r="H757" s="530">
        <v>0.1</v>
      </c>
      <c r="I757" s="531">
        <f t="shared" si="77"/>
        <v>0.34</v>
      </c>
      <c r="J757" s="532" t="s">
        <v>102</v>
      </c>
      <c r="K757" s="111"/>
      <c r="L757" s="81"/>
      <c r="M757" s="111"/>
    </row>
    <row r="758" spans="1:13" s="525" customFormat="1" ht="16.5" hidden="1" customHeight="1">
      <c r="A758" s="81"/>
      <c r="B758" s="526"/>
      <c r="C758" s="527">
        <v>1</v>
      </c>
      <c r="D758" s="528" t="s">
        <v>265</v>
      </c>
      <c r="E758" s="529">
        <v>1</v>
      </c>
      <c r="F758" s="530">
        <v>0.55000000000000004</v>
      </c>
      <c r="G758" s="530">
        <v>0</v>
      </c>
      <c r="H758" s="530">
        <v>0.1</v>
      </c>
      <c r="I758" s="531">
        <f t="shared" si="77"/>
        <v>0.06</v>
      </c>
      <c r="J758" s="532" t="s">
        <v>102</v>
      </c>
      <c r="K758" s="111"/>
      <c r="L758" s="81"/>
      <c r="M758" s="111"/>
    </row>
    <row r="759" spans="1:13" s="525" customFormat="1" ht="16.5" hidden="1" customHeight="1">
      <c r="A759" s="81"/>
      <c r="B759" s="526"/>
      <c r="C759" s="527">
        <v>1</v>
      </c>
      <c r="D759" s="528" t="s">
        <v>265</v>
      </c>
      <c r="E759" s="529">
        <v>1</v>
      </c>
      <c r="F759" s="530">
        <v>0.9</v>
      </c>
      <c r="G759" s="530">
        <v>0</v>
      </c>
      <c r="H759" s="530">
        <v>0.1</v>
      </c>
      <c r="I759" s="531">
        <f t="shared" si="77"/>
        <v>0.09</v>
      </c>
      <c r="J759" s="532" t="s">
        <v>102</v>
      </c>
      <c r="K759" s="111"/>
      <c r="L759" s="81"/>
      <c r="M759" s="111"/>
    </row>
    <row r="760" spans="1:13" s="525" customFormat="1" ht="16.5" hidden="1" customHeight="1">
      <c r="A760" s="81"/>
      <c r="B760" s="526" t="s">
        <v>741</v>
      </c>
      <c r="C760" s="527">
        <v>1</v>
      </c>
      <c r="D760" s="528" t="s">
        <v>265</v>
      </c>
      <c r="E760" s="529">
        <v>2</v>
      </c>
      <c r="F760" s="530">
        <v>6.75</v>
      </c>
      <c r="G760" s="530">
        <v>0</v>
      </c>
      <c r="H760" s="530">
        <v>0.1</v>
      </c>
      <c r="I760" s="531">
        <f t="shared" si="77"/>
        <v>1.35</v>
      </c>
      <c r="J760" s="532" t="s">
        <v>102</v>
      </c>
      <c r="K760" s="111"/>
      <c r="L760" s="81"/>
      <c r="M760" s="111"/>
    </row>
    <row r="761" spans="1:13" s="525" customFormat="1" ht="16.5" hidden="1" customHeight="1">
      <c r="A761" s="81"/>
      <c r="B761" s="526"/>
      <c r="C761" s="527">
        <v>1</v>
      </c>
      <c r="D761" s="528" t="s">
        <v>265</v>
      </c>
      <c r="E761" s="529">
        <v>2</v>
      </c>
      <c r="F761" s="530">
        <v>3.3</v>
      </c>
      <c r="G761" s="530">
        <v>0</v>
      </c>
      <c r="H761" s="530">
        <v>0.1</v>
      </c>
      <c r="I761" s="531">
        <f t="shared" si="77"/>
        <v>0.66</v>
      </c>
      <c r="J761" s="532" t="s">
        <v>102</v>
      </c>
      <c r="K761" s="111"/>
      <c r="L761" s="81"/>
      <c r="M761" s="111"/>
    </row>
    <row r="762" spans="1:13" s="525" customFormat="1" ht="16.5" hidden="1" customHeight="1">
      <c r="A762" s="81"/>
      <c r="B762" s="526"/>
      <c r="C762" s="527"/>
      <c r="D762" s="528"/>
      <c r="E762" s="529"/>
      <c r="F762" s="530"/>
      <c r="G762" s="530"/>
      <c r="H762" s="530"/>
      <c r="I762" s="531"/>
      <c r="J762" s="532"/>
      <c r="K762" s="111"/>
      <c r="L762" s="517"/>
      <c r="M762" s="111"/>
    </row>
    <row r="763" spans="1:13" hidden="1">
      <c r="A763" s="81"/>
      <c r="B763" s="111"/>
      <c r="C763" s="112"/>
      <c r="D763" s="533"/>
      <c r="E763" s="534"/>
      <c r="F763" s="113"/>
      <c r="G763" s="539"/>
      <c r="H763" s="81"/>
      <c r="I763" s="531"/>
      <c r="J763" s="532" t="s">
        <v>102</v>
      </c>
      <c r="K763" s="12">
        <f>'DATA 2024-25'!F767</f>
        <v>1279.49</v>
      </c>
      <c r="L763" s="517" t="s">
        <v>267</v>
      </c>
      <c r="M763" s="11">
        <f>ROUND(I763*K763,0)</f>
        <v>0</v>
      </c>
    </row>
    <row r="764" spans="1:13" ht="108" hidden="1" customHeight="1">
      <c r="A764" s="81">
        <v>15</v>
      </c>
      <c r="B764" s="910" t="s">
        <v>650</v>
      </c>
      <c r="C764" s="910"/>
      <c r="D764" s="910"/>
      <c r="E764" s="910"/>
      <c r="F764" s="910"/>
      <c r="G764" s="910"/>
      <c r="H764" s="910"/>
      <c r="I764" s="515"/>
      <c r="J764" s="516"/>
      <c r="K764" s="81"/>
      <c r="L764" s="517"/>
      <c r="M764" s="110"/>
    </row>
    <row r="765" spans="1:13" s="525" customFormat="1" ht="16.5" hidden="1" customHeight="1">
      <c r="A765" s="81"/>
      <c r="B765" s="111" t="s">
        <v>1395</v>
      </c>
      <c r="C765" s="547"/>
      <c r="D765" s="548"/>
      <c r="E765" s="549"/>
      <c r="F765" s="550"/>
      <c r="G765" s="550"/>
      <c r="H765" s="551"/>
      <c r="I765" s="552"/>
      <c r="J765" s="532"/>
      <c r="K765" s="111"/>
      <c r="L765" s="81"/>
      <c r="M765" s="111"/>
    </row>
    <row r="766" spans="1:13" s="525" customFormat="1" ht="16.5" hidden="1" customHeight="1">
      <c r="A766" s="81"/>
      <c r="B766" s="526" t="s">
        <v>1347</v>
      </c>
      <c r="C766" s="527">
        <v>1</v>
      </c>
      <c r="D766" s="528" t="s">
        <v>265</v>
      </c>
      <c r="E766" s="529">
        <v>11</v>
      </c>
      <c r="F766" s="530">
        <v>1.35</v>
      </c>
      <c r="G766" s="530">
        <v>0.3</v>
      </c>
      <c r="H766" s="530">
        <v>0</v>
      </c>
      <c r="I766" s="531">
        <f>ROUND(IF(AND(F766:H766),C766*E766*F766*G766*H766,IF(AND(F766,G766),C766*E766*F766*G766,IF(AND(F766,H766),C766*E766*F766*H766,IF(AND(G766,H766),C766*E766*G766*H766,IF(F766,C766*E766*F766,IF(G766,C766*E766*G766,IF(H766,C766*E766*H766,C766*E766))))))),2)</f>
        <v>4.46</v>
      </c>
      <c r="J766" s="532" t="s">
        <v>102</v>
      </c>
      <c r="K766" s="111"/>
      <c r="L766" s="81"/>
      <c r="M766" s="111"/>
    </row>
    <row r="767" spans="1:13" s="525" customFormat="1" ht="16.5" hidden="1" customHeight="1">
      <c r="A767" s="81"/>
      <c r="B767" s="526"/>
      <c r="C767" s="527">
        <v>1</v>
      </c>
      <c r="D767" s="528" t="s">
        <v>265</v>
      </c>
      <c r="E767" s="529">
        <v>1</v>
      </c>
      <c r="F767" s="530">
        <v>2.75</v>
      </c>
      <c r="G767" s="530">
        <v>1.35</v>
      </c>
      <c r="H767" s="530">
        <v>0</v>
      </c>
      <c r="I767" s="531">
        <f>ROUND(IF(AND(F767:H767),C767*E767*F767*G767*H767,IF(AND(F767,G767),C767*E767*F767*G767,IF(AND(F767,H767),C767*E767*F767*H767,IF(AND(G767,H767),C767*E767*G767*H767,IF(F767,C767*E767*F767,IF(G767,C767*E767*G767,IF(H767,C767*E767*H767,C767*E767))))))),2)</f>
        <v>3.71</v>
      </c>
      <c r="J767" s="532" t="s">
        <v>102</v>
      </c>
      <c r="K767" s="111"/>
      <c r="L767" s="81"/>
      <c r="M767" s="111"/>
    </row>
    <row r="768" spans="1:13" s="525" customFormat="1" ht="16.5" hidden="1" customHeight="1">
      <c r="A768" s="81"/>
      <c r="B768" s="526" t="s">
        <v>742</v>
      </c>
      <c r="C768" s="527">
        <v>1</v>
      </c>
      <c r="D768" s="528" t="s">
        <v>265</v>
      </c>
      <c r="E768" s="529">
        <v>11</v>
      </c>
      <c r="F768" s="530">
        <v>1.35</v>
      </c>
      <c r="G768" s="530">
        <v>0.3</v>
      </c>
      <c r="H768" s="530">
        <v>0</v>
      </c>
      <c r="I768" s="531">
        <f>ROUND(IF(AND(F768:H768),C768*E768*F768*G768*H768,IF(AND(F768,G768),C768*E768*F768*G768,IF(AND(F768,H768),C768*E768*F768*H768,IF(AND(G768,H768),C768*E768*G768*H768,IF(F768,C768*E768*F768,IF(G768,C768*E768*G768,IF(H768,C768*E768*H768,C768*E768))))))),2)</f>
        <v>4.46</v>
      </c>
      <c r="J768" s="532" t="s">
        <v>102</v>
      </c>
      <c r="K768" s="111"/>
      <c r="L768" s="81"/>
      <c r="M768" s="111"/>
    </row>
    <row r="769" spans="1:13" s="525" customFormat="1" ht="16.5" hidden="1" customHeight="1">
      <c r="A769" s="81"/>
      <c r="B769" s="526"/>
      <c r="C769" s="527"/>
      <c r="D769" s="528"/>
      <c r="E769" s="529"/>
      <c r="F769" s="530"/>
      <c r="G769" s="530"/>
      <c r="H769" s="530"/>
      <c r="I769" s="531"/>
      <c r="J769" s="532"/>
      <c r="K769" s="111"/>
      <c r="L769" s="517"/>
      <c r="M769" s="111"/>
    </row>
    <row r="770" spans="1:13" hidden="1">
      <c r="A770" s="81"/>
      <c r="B770" s="111"/>
      <c r="C770" s="112"/>
      <c r="D770" s="533"/>
      <c r="E770" s="534"/>
      <c r="F770" s="113"/>
      <c r="G770" s="539"/>
      <c r="H770" s="81"/>
      <c r="I770" s="531"/>
      <c r="J770" s="532" t="s">
        <v>102</v>
      </c>
      <c r="K770" s="12">
        <f>'DATA 2024-25'!F668</f>
        <v>3278.84</v>
      </c>
      <c r="L770" s="517" t="s">
        <v>267</v>
      </c>
      <c r="M770" s="11">
        <f>ROUND(I770*K770,0)</f>
        <v>0</v>
      </c>
    </row>
    <row r="771" spans="1:13" ht="93.75" hidden="1" customHeight="1">
      <c r="A771" s="81">
        <v>16</v>
      </c>
      <c r="B771" s="910" t="s">
        <v>656</v>
      </c>
      <c r="C771" s="910"/>
      <c r="D771" s="910"/>
      <c r="E771" s="910"/>
      <c r="F771" s="910"/>
      <c r="G771" s="910"/>
      <c r="H771" s="910"/>
      <c r="I771" s="515"/>
      <c r="J771" s="516"/>
      <c r="K771" s="81"/>
      <c r="L771" s="517"/>
      <c r="M771" s="110"/>
    </row>
    <row r="772" spans="1:13" s="525" customFormat="1" ht="16.5" hidden="1" customHeight="1">
      <c r="A772" s="81"/>
      <c r="B772" s="111" t="s">
        <v>1395</v>
      </c>
      <c r="C772" s="547"/>
      <c r="D772" s="548"/>
      <c r="E772" s="549"/>
      <c r="F772" s="550"/>
      <c r="G772" s="550"/>
      <c r="H772" s="551"/>
      <c r="I772" s="552"/>
      <c r="J772" s="532"/>
      <c r="K772" s="111"/>
      <c r="L772" s="81"/>
      <c r="M772" s="111"/>
    </row>
    <row r="773" spans="1:13" s="525" customFormat="1" ht="16.5" hidden="1" customHeight="1">
      <c r="A773" s="81"/>
      <c r="B773" s="526" t="s">
        <v>1356</v>
      </c>
      <c r="C773" s="527">
        <v>1</v>
      </c>
      <c r="D773" s="528" t="s">
        <v>265</v>
      </c>
      <c r="E773" s="529">
        <v>11</v>
      </c>
      <c r="F773" s="530">
        <v>1.35</v>
      </c>
      <c r="G773" s="530">
        <v>0</v>
      </c>
      <c r="H773" s="530">
        <v>0.15</v>
      </c>
      <c r="I773" s="531">
        <f>ROUND(IF(AND(F773:H773),C773*E773*F773*G773*H773,IF(AND(F773,G773),C773*E773*F773*G773,IF(AND(F773,H773),C773*E773*F773*H773,IF(AND(G773,H773),C773*E773*G773*H773,IF(F773,C773*E773*F773,IF(G773,C773*E773*G773,IF(H773,C773*E773*H773,C773*E773))))))),2)</f>
        <v>2.23</v>
      </c>
      <c r="J773" s="532" t="s">
        <v>102</v>
      </c>
      <c r="K773" s="111"/>
      <c r="L773" s="81"/>
      <c r="M773" s="111"/>
    </row>
    <row r="774" spans="1:13" s="525" customFormat="1" ht="16.5" hidden="1" customHeight="1">
      <c r="A774" s="81"/>
      <c r="B774" s="526" t="s">
        <v>774</v>
      </c>
      <c r="C774" s="527">
        <v>1</v>
      </c>
      <c r="D774" s="528" t="s">
        <v>265</v>
      </c>
      <c r="E774" s="529">
        <v>11</v>
      </c>
      <c r="F774" s="530">
        <v>1.35</v>
      </c>
      <c r="G774" s="530">
        <v>0</v>
      </c>
      <c r="H774" s="530">
        <v>0.15</v>
      </c>
      <c r="I774" s="531">
        <f>ROUND(IF(AND(F774:H774),C774*E774*F774*G774*H774,IF(AND(F774,G774),C774*E774*F774*G774,IF(AND(F774,H774),C774*E774*F774*H774,IF(AND(G774,H774),C774*E774*G774*H774,IF(F774,C774*E774*F774,IF(G774,C774*E774*G774,IF(H774,C774*E774*H774,C774*E774))))))),2)</f>
        <v>2.23</v>
      </c>
      <c r="J774" s="532" t="s">
        <v>102</v>
      </c>
      <c r="K774" s="111"/>
      <c r="L774" s="81"/>
      <c r="M774" s="111"/>
    </row>
    <row r="775" spans="1:13" s="525" customFormat="1" ht="16.5" hidden="1" customHeight="1">
      <c r="A775" s="81"/>
      <c r="B775" s="526"/>
      <c r="C775" s="527"/>
      <c r="D775" s="528"/>
      <c r="E775" s="529"/>
      <c r="F775" s="530"/>
      <c r="G775" s="530"/>
      <c r="H775" s="530"/>
      <c r="I775" s="531"/>
      <c r="J775" s="532"/>
      <c r="K775" s="111"/>
      <c r="L775" s="517"/>
      <c r="M775" s="111"/>
    </row>
    <row r="776" spans="1:13" hidden="1">
      <c r="A776" s="81"/>
      <c r="B776" s="111"/>
      <c r="C776" s="112"/>
      <c r="D776" s="533"/>
      <c r="E776" s="534"/>
      <c r="F776" s="113"/>
      <c r="G776" s="539"/>
      <c r="H776" s="81"/>
      <c r="I776" s="531"/>
      <c r="J776" s="532" t="s">
        <v>102</v>
      </c>
      <c r="K776" s="12">
        <f>'DATA 2024-25'!F688</f>
        <v>3022.02</v>
      </c>
      <c r="L776" s="517" t="s">
        <v>267</v>
      </c>
      <c r="M776" s="11">
        <f>ROUND(I776*K776,0)</f>
        <v>0</v>
      </c>
    </row>
    <row r="777" spans="1:13" ht="90" hidden="1" customHeight="1">
      <c r="A777" s="81">
        <v>26</v>
      </c>
      <c r="B777" s="910" t="s">
        <v>657</v>
      </c>
      <c r="C777" s="910"/>
      <c r="D777" s="910"/>
      <c r="E777" s="910"/>
      <c r="F777" s="910"/>
      <c r="G777" s="910"/>
      <c r="H777" s="910"/>
      <c r="I777" s="515"/>
      <c r="J777" s="516"/>
      <c r="K777" s="81"/>
      <c r="L777" s="517"/>
      <c r="M777" s="110"/>
    </row>
    <row r="778" spans="1:13" s="525" customFormat="1" ht="16.5" hidden="1" customHeight="1">
      <c r="A778" s="81"/>
      <c r="B778" s="111" t="s">
        <v>1011</v>
      </c>
      <c r="C778" s="547"/>
      <c r="D778" s="548"/>
      <c r="E778" s="549"/>
      <c r="F778" s="550"/>
      <c r="G778" s="550"/>
      <c r="H778" s="551"/>
      <c r="I778" s="552"/>
      <c r="J778" s="532"/>
      <c r="K778" s="111"/>
      <c r="L778" s="517"/>
      <c r="M778" s="111"/>
    </row>
    <row r="779" spans="1:13" s="525" customFormat="1" ht="16.5" hidden="1" customHeight="1">
      <c r="A779" s="81"/>
      <c r="B779" s="526" t="s">
        <v>564</v>
      </c>
      <c r="C779" s="527">
        <v>1</v>
      </c>
      <c r="D779" s="528" t="s">
        <v>265</v>
      </c>
      <c r="E779" s="529">
        <v>1</v>
      </c>
      <c r="F779" s="530">
        <v>9.8699999999999992</v>
      </c>
      <c r="G779" s="530">
        <v>1.83</v>
      </c>
      <c r="H779" s="530">
        <v>0</v>
      </c>
      <c r="I779" s="531">
        <f t="shared" ref="I779:I789" si="78">ROUND(IF(AND(F779:H779),C779*E779*F779*G779*H779,IF(AND(F779,G779),C779*E779*F779*G779,IF(AND(F779,H779),C779*E779*F779*H779,IF(AND(G779,H779),C779*E779*G779*H779,IF(F779,C779*E779*F779,IF(G779,C779*E779*G779,IF(H779,C779*E779*H779,C779*E779))))))),2)</f>
        <v>18.059999999999999</v>
      </c>
      <c r="J779" s="532" t="s">
        <v>102</v>
      </c>
      <c r="K779" s="111"/>
      <c r="L779" s="517"/>
      <c r="M779" s="111"/>
    </row>
    <row r="780" spans="1:13" s="525" customFormat="1" ht="16.5" hidden="1" customHeight="1">
      <c r="A780" s="81"/>
      <c r="B780" s="526" t="s">
        <v>635</v>
      </c>
      <c r="C780" s="527">
        <v>1</v>
      </c>
      <c r="D780" s="528" t="s">
        <v>265</v>
      </c>
      <c r="E780" s="529">
        <v>1</v>
      </c>
      <c r="F780" s="530">
        <v>2.83</v>
      </c>
      <c r="G780" s="530">
        <v>1.55</v>
      </c>
      <c r="H780" s="530">
        <v>0</v>
      </c>
      <c r="I780" s="531">
        <f t="shared" si="78"/>
        <v>4.3899999999999997</v>
      </c>
      <c r="J780" s="532" t="s">
        <v>102</v>
      </c>
      <c r="K780" s="111"/>
      <c r="L780" s="517"/>
      <c r="M780" s="111"/>
    </row>
    <row r="781" spans="1:13" s="525" customFormat="1" ht="16.5" hidden="1" customHeight="1">
      <c r="A781" s="81"/>
      <c r="B781" s="526"/>
      <c r="C781" s="527">
        <v>1</v>
      </c>
      <c r="D781" s="528" t="s">
        <v>265</v>
      </c>
      <c r="E781" s="529">
        <v>1</v>
      </c>
      <c r="F781" s="530">
        <v>2.65</v>
      </c>
      <c r="G781" s="530">
        <v>0.53</v>
      </c>
      <c r="H781" s="530">
        <v>0</v>
      </c>
      <c r="I781" s="531">
        <f t="shared" si="78"/>
        <v>1.4</v>
      </c>
      <c r="J781" s="532" t="s">
        <v>102</v>
      </c>
      <c r="K781" s="111"/>
      <c r="L781" s="517"/>
      <c r="M781" s="111"/>
    </row>
    <row r="782" spans="1:13" s="525" customFormat="1" ht="16.5" hidden="1" customHeight="1">
      <c r="A782" s="81"/>
      <c r="B782" s="526"/>
      <c r="C782" s="527">
        <v>1</v>
      </c>
      <c r="D782" s="528" t="s">
        <v>265</v>
      </c>
      <c r="E782" s="529">
        <v>1</v>
      </c>
      <c r="F782" s="530">
        <v>2.65</v>
      </c>
      <c r="G782" s="530">
        <v>0.9</v>
      </c>
      <c r="H782" s="530">
        <v>0</v>
      </c>
      <c r="I782" s="531">
        <f t="shared" si="78"/>
        <v>2.39</v>
      </c>
      <c r="J782" s="532" t="s">
        <v>102</v>
      </c>
      <c r="K782" s="111"/>
      <c r="L782" s="517"/>
      <c r="M782" s="111"/>
    </row>
    <row r="783" spans="1:13" s="525" customFormat="1" ht="16.5" hidden="1" customHeight="1">
      <c r="A783" s="81"/>
      <c r="B783" s="526" t="s">
        <v>1030</v>
      </c>
      <c r="C783" s="527">
        <v>1</v>
      </c>
      <c r="D783" s="528" t="s">
        <v>265</v>
      </c>
      <c r="E783" s="529">
        <v>2</v>
      </c>
      <c r="F783" s="530">
        <v>2.65</v>
      </c>
      <c r="G783" s="530">
        <v>1.1000000000000001</v>
      </c>
      <c r="H783" s="530">
        <v>0</v>
      </c>
      <c r="I783" s="531">
        <f t="shared" si="78"/>
        <v>5.83</v>
      </c>
      <c r="J783" s="532" t="s">
        <v>102</v>
      </c>
      <c r="K783" s="111"/>
      <c r="L783" s="517"/>
      <c r="M783" s="111"/>
    </row>
    <row r="784" spans="1:13" s="525" customFormat="1" ht="16.5" hidden="1" customHeight="1">
      <c r="A784" s="81"/>
      <c r="B784" s="526"/>
      <c r="C784" s="527">
        <v>1</v>
      </c>
      <c r="D784" s="528" t="s">
        <v>265</v>
      </c>
      <c r="E784" s="529">
        <v>1</v>
      </c>
      <c r="F784" s="530">
        <v>1.3</v>
      </c>
      <c r="G784" s="530">
        <v>0.56000000000000005</v>
      </c>
      <c r="H784" s="530">
        <v>0</v>
      </c>
      <c r="I784" s="531">
        <f t="shared" si="78"/>
        <v>0.73</v>
      </c>
      <c r="J784" s="532" t="s">
        <v>102</v>
      </c>
      <c r="K784" s="111"/>
      <c r="L784" s="517"/>
      <c r="M784" s="111"/>
    </row>
    <row r="785" spans="1:13" s="525" customFormat="1" ht="16.5" hidden="1" customHeight="1">
      <c r="A785" s="81"/>
      <c r="B785" s="526"/>
      <c r="C785" s="527">
        <v>1</v>
      </c>
      <c r="D785" s="528" t="s">
        <v>265</v>
      </c>
      <c r="E785" s="529">
        <v>1</v>
      </c>
      <c r="F785" s="530">
        <v>2.8</v>
      </c>
      <c r="G785" s="530">
        <v>0.53</v>
      </c>
      <c r="H785" s="530">
        <v>0</v>
      </c>
      <c r="I785" s="531">
        <f t="shared" si="78"/>
        <v>1.48</v>
      </c>
      <c r="J785" s="532" t="s">
        <v>102</v>
      </c>
      <c r="K785" s="111"/>
      <c r="L785" s="517"/>
      <c r="M785" s="111"/>
    </row>
    <row r="786" spans="1:13" s="525" customFormat="1" ht="16.5" hidden="1" customHeight="1">
      <c r="A786" s="81"/>
      <c r="B786" s="526"/>
      <c r="C786" s="527">
        <v>1</v>
      </c>
      <c r="D786" s="528" t="s">
        <v>265</v>
      </c>
      <c r="E786" s="529">
        <v>1</v>
      </c>
      <c r="F786" s="530">
        <v>2.8</v>
      </c>
      <c r="G786" s="530">
        <v>0.9</v>
      </c>
      <c r="H786" s="530">
        <v>0</v>
      </c>
      <c r="I786" s="531">
        <f t="shared" si="78"/>
        <v>2.52</v>
      </c>
      <c r="J786" s="532" t="s">
        <v>102</v>
      </c>
      <c r="K786" s="111"/>
      <c r="L786" s="517"/>
      <c r="M786" s="111"/>
    </row>
    <row r="787" spans="1:13" s="525" customFormat="1" ht="16.5" hidden="1" customHeight="1">
      <c r="A787" s="81"/>
      <c r="B787" s="526" t="s">
        <v>1031</v>
      </c>
      <c r="C787" s="527">
        <v>1</v>
      </c>
      <c r="D787" s="528" t="s">
        <v>265</v>
      </c>
      <c r="E787" s="529">
        <v>4</v>
      </c>
      <c r="F787" s="530">
        <v>2.72</v>
      </c>
      <c r="G787" s="530">
        <v>0.38</v>
      </c>
      <c r="H787" s="530">
        <v>0</v>
      </c>
      <c r="I787" s="531">
        <f t="shared" si="78"/>
        <v>4.13</v>
      </c>
      <c r="J787" s="532" t="s">
        <v>102</v>
      </c>
      <c r="K787" s="111"/>
      <c r="L787" s="517"/>
      <c r="M787" s="111"/>
    </row>
    <row r="788" spans="1:13" s="525" customFormat="1" ht="16.5" hidden="1" customHeight="1">
      <c r="A788" s="81"/>
      <c r="B788" s="526" t="s">
        <v>1032</v>
      </c>
      <c r="C788" s="527">
        <v>1</v>
      </c>
      <c r="D788" s="528" t="s">
        <v>265</v>
      </c>
      <c r="E788" s="529">
        <v>4</v>
      </c>
      <c r="F788" s="530">
        <v>2.5</v>
      </c>
      <c r="G788" s="530">
        <v>0.38</v>
      </c>
      <c r="H788" s="530">
        <v>0</v>
      </c>
      <c r="I788" s="531">
        <f t="shared" si="78"/>
        <v>3.8</v>
      </c>
      <c r="J788" s="532" t="s">
        <v>102</v>
      </c>
      <c r="K788" s="111"/>
      <c r="L788" s="517"/>
      <c r="M788" s="111"/>
    </row>
    <row r="789" spans="1:13" s="525" customFormat="1" ht="16.5" hidden="1" customHeight="1">
      <c r="A789" s="81"/>
      <c r="B789" s="526" t="s">
        <v>1033</v>
      </c>
      <c r="C789" s="527">
        <v>1</v>
      </c>
      <c r="D789" s="528" t="s">
        <v>265</v>
      </c>
      <c r="E789" s="529">
        <v>21</v>
      </c>
      <c r="F789" s="530">
        <v>1.28</v>
      </c>
      <c r="G789" s="530">
        <v>0.3</v>
      </c>
      <c r="H789" s="530">
        <v>0</v>
      </c>
      <c r="I789" s="531">
        <f t="shared" si="78"/>
        <v>8.06</v>
      </c>
      <c r="J789" s="532" t="s">
        <v>102</v>
      </c>
      <c r="K789" s="111"/>
      <c r="L789" s="517"/>
      <c r="M789" s="111"/>
    </row>
    <row r="790" spans="1:13" s="525" customFormat="1" ht="16.5" hidden="1" customHeight="1">
      <c r="A790" s="81"/>
      <c r="B790" s="526"/>
      <c r="C790" s="527"/>
      <c r="D790" s="528"/>
      <c r="E790" s="529"/>
      <c r="F790" s="530"/>
      <c r="G790" s="530"/>
      <c r="H790" s="530"/>
      <c r="I790" s="531"/>
      <c r="J790" s="532"/>
      <c r="K790" s="111"/>
      <c r="L790" s="517"/>
      <c r="M790" s="111"/>
    </row>
    <row r="791" spans="1:13" hidden="1">
      <c r="A791" s="81"/>
      <c r="B791" s="111"/>
      <c r="C791" s="112"/>
      <c r="D791" s="533"/>
      <c r="E791" s="534"/>
      <c r="F791" s="113"/>
      <c r="G791" s="539"/>
      <c r="H791" s="81"/>
      <c r="I791" s="531"/>
      <c r="J791" s="532" t="s">
        <v>102</v>
      </c>
      <c r="K791" s="12">
        <f>'DATA 2024-25'!F709</f>
        <v>787.52</v>
      </c>
      <c r="L791" s="517" t="s">
        <v>267</v>
      </c>
      <c r="M791" s="11">
        <f>ROUND(I791*K791,0)</f>
        <v>0</v>
      </c>
    </row>
    <row r="792" spans="1:13" ht="96" hidden="1" customHeight="1">
      <c r="A792" s="81">
        <v>27</v>
      </c>
      <c r="B792" s="910" t="s">
        <v>663</v>
      </c>
      <c r="C792" s="910"/>
      <c r="D792" s="910"/>
      <c r="E792" s="910"/>
      <c r="F792" s="910"/>
      <c r="G792" s="910"/>
      <c r="H792" s="910"/>
      <c r="I792" s="515"/>
      <c r="J792" s="516"/>
      <c r="K792" s="81"/>
      <c r="L792" s="517"/>
      <c r="M792" s="110"/>
    </row>
    <row r="793" spans="1:13" s="525" customFormat="1" ht="16.5" hidden="1" customHeight="1">
      <c r="A793" s="81"/>
      <c r="B793" s="111" t="s">
        <v>1012</v>
      </c>
      <c r="C793" s="547"/>
      <c r="D793" s="548"/>
      <c r="E793" s="549"/>
      <c r="F793" s="550"/>
      <c r="G793" s="550"/>
      <c r="H793" s="551"/>
      <c r="I793" s="552"/>
      <c r="J793" s="532"/>
      <c r="K793" s="111"/>
      <c r="L793" s="517"/>
      <c r="M793" s="111"/>
    </row>
    <row r="794" spans="1:13" s="525" customFormat="1" ht="16.5" hidden="1" customHeight="1">
      <c r="A794" s="81"/>
      <c r="B794" s="526" t="s">
        <v>1030</v>
      </c>
      <c r="C794" s="527">
        <v>1</v>
      </c>
      <c r="D794" s="528" t="s">
        <v>265</v>
      </c>
      <c r="E794" s="529">
        <v>2</v>
      </c>
      <c r="F794" s="530">
        <v>5.25</v>
      </c>
      <c r="G794" s="530">
        <v>0</v>
      </c>
      <c r="H794" s="530">
        <v>0.1</v>
      </c>
      <c r="I794" s="531">
        <f t="shared" ref="I794:I799" si="79">ROUND(IF(AND(F794:H794),C794*E794*F794*G794*H794,IF(AND(F794,G794),C794*E794*F794*G794,IF(AND(F794,H794),C794*E794*F794*H794,IF(AND(G794,H794),C794*E794*G794*H794,IF(F794,C794*E794*F794,IF(G794,C794*E794*G794,IF(H794,C794*E794*H794,C794*E794))))))),2)</f>
        <v>1.05</v>
      </c>
      <c r="J794" s="532" t="s">
        <v>102</v>
      </c>
      <c r="K794" s="111"/>
      <c r="L794" s="517"/>
      <c r="M794" s="111"/>
    </row>
    <row r="795" spans="1:13" s="525" customFormat="1" ht="16.5" hidden="1" customHeight="1">
      <c r="A795" s="81"/>
      <c r="B795" s="526" t="s">
        <v>564</v>
      </c>
      <c r="C795" s="527">
        <v>1</v>
      </c>
      <c r="D795" s="528" t="s">
        <v>265</v>
      </c>
      <c r="E795" s="529">
        <v>1</v>
      </c>
      <c r="F795" s="530">
        <v>9.8699999999999992</v>
      </c>
      <c r="G795" s="530">
        <v>0</v>
      </c>
      <c r="H795" s="530">
        <v>0.1</v>
      </c>
      <c r="I795" s="531">
        <f t="shared" si="79"/>
        <v>0.99</v>
      </c>
      <c r="J795" s="532" t="s">
        <v>102</v>
      </c>
      <c r="K795" s="111"/>
      <c r="L795" s="517"/>
      <c r="M795" s="111"/>
    </row>
    <row r="796" spans="1:13" s="525" customFormat="1" ht="16.5" hidden="1" customHeight="1">
      <c r="A796" s="81"/>
      <c r="B796" s="526" t="s">
        <v>1034</v>
      </c>
      <c r="C796" s="527">
        <v>1</v>
      </c>
      <c r="D796" s="528" t="s">
        <v>265</v>
      </c>
      <c r="E796" s="529">
        <v>5</v>
      </c>
      <c r="F796" s="530">
        <v>2.72</v>
      </c>
      <c r="G796" s="530">
        <v>0</v>
      </c>
      <c r="H796" s="530">
        <v>0.17</v>
      </c>
      <c r="I796" s="531">
        <f t="shared" si="79"/>
        <v>2.31</v>
      </c>
      <c r="J796" s="532" t="s">
        <v>102</v>
      </c>
      <c r="K796" s="111"/>
      <c r="L796" s="517"/>
      <c r="M796" s="111"/>
    </row>
    <row r="797" spans="1:13" s="525" customFormat="1" ht="16.5" hidden="1" customHeight="1">
      <c r="A797" s="81"/>
      <c r="B797" s="526" t="s">
        <v>1035</v>
      </c>
      <c r="C797" s="527">
        <v>1</v>
      </c>
      <c r="D797" s="528" t="s">
        <v>265</v>
      </c>
      <c r="E797" s="529">
        <v>5</v>
      </c>
      <c r="F797" s="530">
        <v>2.5</v>
      </c>
      <c r="G797" s="530">
        <v>0</v>
      </c>
      <c r="H797" s="530">
        <v>0.17</v>
      </c>
      <c r="I797" s="531">
        <f t="shared" si="79"/>
        <v>2.13</v>
      </c>
      <c r="J797" s="532" t="s">
        <v>102</v>
      </c>
      <c r="K797" s="111"/>
      <c r="L797" s="517"/>
      <c r="M797" s="111"/>
    </row>
    <row r="798" spans="1:13" s="525" customFormat="1" ht="16.5" hidden="1" customHeight="1">
      <c r="A798" s="81"/>
      <c r="B798" s="526" t="s">
        <v>1033</v>
      </c>
      <c r="C798" s="527">
        <v>1</v>
      </c>
      <c r="D798" s="528" t="s">
        <v>265</v>
      </c>
      <c r="E798" s="529">
        <v>22</v>
      </c>
      <c r="F798" s="530">
        <v>1.28</v>
      </c>
      <c r="G798" s="530">
        <v>0</v>
      </c>
      <c r="H798" s="530">
        <v>0.15</v>
      </c>
      <c r="I798" s="531">
        <f t="shared" si="79"/>
        <v>4.22</v>
      </c>
      <c r="J798" s="532" t="s">
        <v>102</v>
      </c>
      <c r="K798" s="111"/>
      <c r="L798" s="517"/>
      <c r="M798" s="111"/>
    </row>
    <row r="799" spans="1:13" s="525" customFormat="1" ht="16.5" hidden="1" customHeight="1">
      <c r="A799" s="81"/>
      <c r="B799" s="526" t="s">
        <v>1025</v>
      </c>
      <c r="C799" s="527">
        <v>1</v>
      </c>
      <c r="D799" s="528" t="s">
        <v>265</v>
      </c>
      <c r="E799" s="529">
        <v>1</v>
      </c>
      <c r="F799" s="530">
        <v>10.53</v>
      </c>
      <c r="G799" s="530">
        <v>0</v>
      </c>
      <c r="H799" s="530">
        <v>0.1</v>
      </c>
      <c r="I799" s="531">
        <f t="shared" si="79"/>
        <v>1.05</v>
      </c>
      <c r="J799" s="532" t="s">
        <v>102</v>
      </c>
      <c r="K799" s="111"/>
      <c r="L799" s="517"/>
      <c r="M799" s="111"/>
    </row>
    <row r="800" spans="1:13" s="525" customFormat="1" ht="16.5" hidden="1" customHeight="1">
      <c r="A800" s="81"/>
      <c r="B800" s="526"/>
      <c r="C800" s="527"/>
      <c r="D800" s="528"/>
      <c r="E800" s="529"/>
      <c r="F800" s="530"/>
      <c r="G800" s="530"/>
      <c r="H800" s="530"/>
      <c r="I800" s="531"/>
      <c r="J800" s="532"/>
      <c r="K800" s="111"/>
      <c r="L800" s="517"/>
      <c r="M800" s="111"/>
    </row>
    <row r="801" spans="1:13" hidden="1">
      <c r="A801" s="81"/>
      <c r="B801" s="111"/>
      <c r="C801" s="112"/>
      <c r="D801" s="533"/>
      <c r="E801" s="534"/>
      <c r="F801" s="113"/>
      <c r="G801" s="539"/>
      <c r="H801" s="81"/>
      <c r="I801" s="531"/>
      <c r="J801" s="532" t="s">
        <v>102</v>
      </c>
      <c r="K801" s="12">
        <f>'DATA 2024-25'!F727</f>
        <v>813.06</v>
      </c>
      <c r="L801" s="517" t="s">
        <v>267</v>
      </c>
      <c r="M801" s="11">
        <f>ROUND(I801*K801,0)</f>
        <v>0</v>
      </c>
    </row>
    <row r="802" spans="1:13" ht="94.5" hidden="1" customHeight="1">
      <c r="A802" s="81">
        <v>5</v>
      </c>
      <c r="B802" s="910" t="s">
        <v>211</v>
      </c>
      <c r="C802" s="910"/>
      <c r="D802" s="910"/>
      <c r="E802" s="910"/>
      <c r="F802" s="910"/>
      <c r="G802" s="910"/>
      <c r="H802" s="910"/>
      <c r="I802" s="515"/>
      <c r="J802" s="516"/>
      <c r="K802" s="81"/>
      <c r="L802" s="517"/>
      <c r="M802" s="110"/>
    </row>
    <row r="803" spans="1:13" hidden="1">
      <c r="A803" s="81"/>
      <c r="B803" s="473" t="s">
        <v>1892</v>
      </c>
      <c r="C803" s="565"/>
      <c r="D803" s="566"/>
      <c r="E803" s="567"/>
      <c r="F803" s="473"/>
      <c r="G803" s="473"/>
      <c r="H803" s="473"/>
      <c r="I803" s="515"/>
      <c r="J803" s="516"/>
      <c r="K803" s="81"/>
      <c r="L803" s="517"/>
      <c r="M803" s="110"/>
    </row>
    <row r="804" spans="1:13" s="525" customFormat="1" ht="16.5" hidden="1" customHeight="1">
      <c r="A804" s="81"/>
      <c r="B804" s="526" t="s">
        <v>1841</v>
      </c>
      <c r="C804" s="527">
        <v>1</v>
      </c>
      <c r="D804" s="528" t="s">
        <v>265</v>
      </c>
      <c r="E804" s="529">
        <v>1</v>
      </c>
      <c r="F804" s="530">
        <v>1.8</v>
      </c>
      <c r="G804" s="530">
        <v>1.2</v>
      </c>
      <c r="H804" s="530">
        <v>0</v>
      </c>
      <c r="I804" s="531">
        <f>ROUND(IF(AND(F804:H804),C804*E804*F804*G804*H804,IF(AND(F804,G804),C804*E804*F804*G804,IF(AND(F804,H804),C804*E804*F804*H804,IF(AND(G804,H804),C804*E804*G804*H804,IF(F804,C804*E804*F804,IF(G804,C804*E804*G804,IF(H804,C804*E804*H804,C804*E804))))))),2)</f>
        <v>2.16</v>
      </c>
      <c r="J804" s="532" t="s">
        <v>102</v>
      </c>
      <c r="K804" s="111"/>
      <c r="L804" s="81"/>
      <c r="M804" s="111"/>
    </row>
    <row r="805" spans="1:13" s="525" customFormat="1" ht="16.5" hidden="1" customHeight="1">
      <c r="A805" s="81"/>
      <c r="B805" s="526"/>
      <c r="C805" s="527"/>
      <c r="D805" s="528"/>
      <c r="E805" s="529"/>
      <c r="F805" s="530"/>
      <c r="G805" s="530"/>
      <c r="H805" s="530"/>
      <c r="I805" s="531"/>
      <c r="J805" s="532"/>
      <c r="K805" s="111"/>
      <c r="L805" s="517"/>
      <c r="M805" s="111"/>
    </row>
    <row r="806" spans="1:13" hidden="1">
      <c r="A806" s="81"/>
      <c r="B806" s="111"/>
      <c r="C806" s="112"/>
      <c r="D806" s="533"/>
      <c r="E806" s="534"/>
      <c r="F806" s="113"/>
      <c r="G806" s="539"/>
      <c r="H806" s="81"/>
      <c r="I806" s="531"/>
      <c r="J806" s="532" t="s">
        <v>102</v>
      </c>
      <c r="K806" s="12">
        <f>'DATA 2024-25'!F785</f>
        <v>889.81</v>
      </c>
      <c r="L806" s="517" t="s">
        <v>267</v>
      </c>
      <c r="M806" s="11">
        <f>ROUND(I806*K806,0)</f>
        <v>0</v>
      </c>
    </row>
    <row r="807" spans="1:13" ht="94.5" hidden="1" customHeight="1">
      <c r="A807" s="81">
        <v>6</v>
      </c>
      <c r="B807" s="910" t="s">
        <v>214</v>
      </c>
      <c r="C807" s="910"/>
      <c r="D807" s="910"/>
      <c r="E807" s="910"/>
      <c r="F807" s="910"/>
      <c r="G807" s="910"/>
      <c r="H807" s="910"/>
      <c r="I807" s="515"/>
      <c r="J807" s="516"/>
      <c r="K807" s="81"/>
      <c r="L807" s="517"/>
      <c r="M807" s="110"/>
    </row>
    <row r="808" spans="1:13" hidden="1">
      <c r="A808" s="81"/>
      <c r="B808" s="473" t="s">
        <v>1893</v>
      </c>
      <c r="C808" s="565"/>
      <c r="D808" s="566"/>
      <c r="E808" s="567"/>
      <c r="F808" s="473"/>
      <c r="G808" s="473"/>
      <c r="H808" s="473"/>
      <c r="I808" s="515"/>
      <c r="J808" s="516"/>
      <c r="K808" s="81"/>
      <c r="L808" s="517"/>
      <c r="M808" s="110"/>
    </row>
    <row r="809" spans="1:13" s="525" customFormat="1" ht="16.5" hidden="1" customHeight="1">
      <c r="A809" s="81"/>
      <c r="B809" s="526" t="s">
        <v>1844</v>
      </c>
      <c r="C809" s="527">
        <v>1</v>
      </c>
      <c r="D809" s="528" t="s">
        <v>265</v>
      </c>
      <c r="E809" s="529">
        <v>1</v>
      </c>
      <c r="F809" s="530">
        <v>6</v>
      </c>
      <c r="G809" s="530">
        <v>0</v>
      </c>
      <c r="H809" s="530">
        <v>2.1</v>
      </c>
      <c r="I809" s="531">
        <f>ROUND(IF(AND(F809:H809),C809*E809*F809*G809*H809,IF(AND(F809,G809),C809*E809*F809*G809,IF(AND(F809,H809),C809*E809*F809*H809,IF(AND(G809,H809),C809*E809*G809*H809,IF(F809,C809*E809*F809,IF(G809,C809*E809*G809,IF(H809,C809*E809*H809,C809*E809))))))),2)</f>
        <v>12.6</v>
      </c>
      <c r="J809" s="532" t="s">
        <v>102</v>
      </c>
      <c r="K809" s="111"/>
      <c r="L809" s="81"/>
      <c r="M809" s="111"/>
    </row>
    <row r="810" spans="1:13" s="525" customFormat="1" ht="16.5" hidden="1" customHeight="1">
      <c r="A810" s="81"/>
      <c r="B810" s="526" t="s">
        <v>565</v>
      </c>
      <c r="C810" s="527">
        <v>1</v>
      </c>
      <c r="D810" s="528" t="s">
        <v>265</v>
      </c>
      <c r="E810" s="529">
        <v>1</v>
      </c>
      <c r="F810" s="530">
        <v>0.75</v>
      </c>
      <c r="G810" s="530">
        <v>0</v>
      </c>
      <c r="H810" s="530">
        <v>2.1</v>
      </c>
      <c r="I810" s="531">
        <f>-ROUND(IF(AND(F810:H810),C810*E810*F810*G810*H810,IF(AND(F810,G810),C810*E810*F810*G810,IF(AND(F810,H810),C810*E810*F810*H810,IF(AND(G810,H810),C810*E810*G810*H810,IF(F810,C810*E810*F810,IF(G810,C810*E810*G810,IF(H810,C810*E810*H810,C810*E810))))))),2)</f>
        <v>-1.58</v>
      </c>
      <c r="J810" s="532" t="s">
        <v>102</v>
      </c>
      <c r="K810" s="111"/>
      <c r="L810" s="81"/>
      <c r="M810" s="111"/>
    </row>
    <row r="811" spans="1:13" s="525" customFormat="1" ht="16.5" hidden="1" customHeight="1">
      <c r="A811" s="81"/>
      <c r="B811" s="526"/>
      <c r="C811" s="527"/>
      <c r="D811" s="528"/>
      <c r="E811" s="529"/>
      <c r="F811" s="530"/>
      <c r="G811" s="530"/>
      <c r="H811" s="530"/>
      <c r="I811" s="531"/>
      <c r="J811" s="532"/>
      <c r="K811" s="111"/>
      <c r="L811" s="517"/>
      <c r="M811" s="111"/>
    </row>
    <row r="812" spans="1:13" hidden="1">
      <c r="A812" s="81"/>
      <c r="B812" s="111"/>
      <c r="C812" s="112"/>
      <c r="D812" s="533"/>
      <c r="E812" s="534"/>
      <c r="F812" s="113"/>
      <c r="G812" s="539"/>
      <c r="H812" s="81"/>
      <c r="I812" s="531"/>
      <c r="J812" s="532" t="s">
        <v>102</v>
      </c>
      <c r="K812" s="12">
        <f>'DATA 2024-25'!F802</f>
        <v>509.65</v>
      </c>
      <c r="L812" s="517" t="s">
        <v>267</v>
      </c>
      <c r="M812" s="11">
        <f>ROUND(I812*K812,0)</f>
        <v>0</v>
      </c>
    </row>
    <row r="813" spans="1:13" ht="81.75" hidden="1" customHeight="1">
      <c r="A813" s="81">
        <v>27</v>
      </c>
      <c r="B813" s="910" t="s">
        <v>969</v>
      </c>
      <c r="C813" s="910"/>
      <c r="D813" s="910"/>
      <c r="E813" s="910"/>
      <c r="F813" s="910"/>
      <c r="G813" s="910"/>
      <c r="H813" s="910"/>
      <c r="I813" s="515"/>
      <c r="J813" s="516"/>
      <c r="K813" s="81"/>
      <c r="L813" s="517"/>
      <c r="M813" s="110"/>
    </row>
    <row r="814" spans="1:13" s="525" customFormat="1" ht="16.5" hidden="1" customHeight="1">
      <c r="A814" s="81"/>
      <c r="B814" s="558" t="s">
        <v>1303</v>
      </c>
      <c r="C814" s="547"/>
      <c r="D814" s="548"/>
      <c r="E814" s="549"/>
      <c r="F814" s="550"/>
      <c r="G814" s="550"/>
      <c r="H814" s="551"/>
      <c r="I814" s="552"/>
      <c r="J814" s="537"/>
      <c r="K814" s="111"/>
      <c r="L814" s="517"/>
      <c r="M814" s="111"/>
    </row>
    <row r="815" spans="1:13" s="525" customFormat="1" ht="16.5" hidden="1" customHeight="1">
      <c r="A815" s="81"/>
      <c r="B815" s="588" t="s">
        <v>957</v>
      </c>
      <c r="C815" s="589">
        <v>2</v>
      </c>
      <c r="D815" s="590" t="s">
        <v>265</v>
      </c>
      <c r="E815" s="180">
        <v>0.5</v>
      </c>
      <c r="F815" s="591">
        <v>0.96</v>
      </c>
      <c r="G815" s="591">
        <v>1</v>
      </c>
      <c r="H815" s="591">
        <v>0</v>
      </c>
      <c r="I815" s="592">
        <f>ROUND(IF(AND(F815:H815),C815*E815*F815*G815*H815,IF(AND(F815,G815),C815*E815*F815*G815,IF(AND(F815,H815),C815*E815*F815*H815,IF(AND(G815,H815),C815*E815*G815*H815,IF(F815,C815*E815*F815,IF(G815,C815*E815*G815,IF(H815,C815*E815*H815,C815*E815))))))),2)</f>
        <v>0.96</v>
      </c>
      <c r="J815" s="537" t="s">
        <v>102</v>
      </c>
      <c r="K815" s="111"/>
      <c r="L815" s="517"/>
      <c r="M815" s="111"/>
    </row>
    <row r="816" spans="1:13" s="525" customFormat="1" ht="16.5" hidden="1" customHeight="1">
      <c r="A816" s="81"/>
      <c r="B816" s="588"/>
      <c r="C816" s="589">
        <v>1</v>
      </c>
      <c r="D816" s="590" t="s">
        <v>265</v>
      </c>
      <c r="E816" s="180">
        <v>2</v>
      </c>
      <c r="F816" s="591">
        <v>3.6</v>
      </c>
      <c r="G816" s="591">
        <v>1.1299999999999999</v>
      </c>
      <c r="H816" s="591">
        <v>0</v>
      </c>
      <c r="I816" s="592">
        <f>ROUND(IF(AND(F816:H816),C816*E816*F816*G816*H816,IF(AND(F816,G816),C816*E816*F816*G816,IF(AND(F816,H816),C816*E816*F816*H816,IF(AND(G816,H816),C816*E816*G816*H816,IF(F816,C816*E816*F816,IF(G816,C816*E816*G816,IF(H816,C816*E816*H816,C816*E816))))))),2)</f>
        <v>8.14</v>
      </c>
      <c r="J816" s="537" t="s">
        <v>102</v>
      </c>
      <c r="K816" s="111"/>
      <c r="L816" s="517"/>
      <c r="M816" s="111"/>
    </row>
    <row r="817" spans="1:13" s="525" customFormat="1" ht="16.5" hidden="1" customHeight="1">
      <c r="A817" s="81"/>
      <c r="B817" s="588"/>
      <c r="C817" s="589">
        <v>1</v>
      </c>
      <c r="D817" s="590" t="s">
        <v>265</v>
      </c>
      <c r="E817" s="180">
        <v>2</v>
      </c>
      <c r="F817" s="591">
        <v>1.96</v>
      </c>
      <c r="G817" s="591">
        <v>1</v>
      </c>
      <c r="H817" s="591">
        <v>0</v>
      </c>
      <c r="I817" s="592">
        <f>ROUND(IF(AND(F817:H817),C817*E817*F817*G817*H817,IF(AND(F817,G817),C817*E817*F817*G817,IF(AND(F817,H817),C817*E817*F817*H817,IF(AND(G817,H817),C817*E817*G817*H817,IF(F817,C817*E817*F817,IF(G817,C817*E817*G817,IF(H817,C817*E817*H817,C817*E817))))))),2)</f>
        <v>3.92</v>
      </c>
      <c r="J817" s="537" t="s">
        <v>102</v>
      </c>
      <c r="K817" s="111"/>
      <c r="L817" s="517"/>
      <c r="M817" s="111"/>
    </row>
    <row r="818" spans="1:13" s="525" customFormat="1" ht="16.5" hidden="1" customHeight="1">
      <c r="A818" s="81"/>
      <c r="B818" s="588"/>
      <c r="C818" s="589">
        <v>1</v>
      </c>
      <c r="D818" s="590" t="s">
        <v>265</v>
      </c>
      <c r="E818" s="180">
        <v>2</v>
      </c>
      <c r="F818" s="591">
        <v>1.33</v>
      </c>
      <c r="G818" s="591">
        <v>1.1000000000000001</v>
      </c>
      <c r="H818" s="591">
        <v>0</v>
      </c>
      <c r="I818" s="592">
        <f>ROUND(IF(AND(F818:H818),C818*E818*F818*G818*H818,IF(AND(F818,G818),C818*E818*F818*G818,IF(AND(F818,H818),C818*E818*F818*H818,IF(AND(G818,H818),C818*E818*G818*H818,IF(F818,C818*E818*F818,IF(G818,C818*E818*G818,IF(H818,C818*E818*H818,C818*E818))))))),2)</f>
        <v>2.93</v>
      </c>
      <c r="J818" s="537" t="s">
        <v>102</v>
      </c>
      <c r="K818" s="111"/>
      <c r="L818" s="517"/>
      <c r="M818" s="111"/>
    </row>
    <row r="819" spans="1:13" s="525" customFormat="1" ht="16.5" hidden="1" customHeight="1">
      <c r="A819" s="81"/>
      <c r="B819" s="526"/>
      <c r="C819" s="527"/>
      <c r="D819" s="528"/>
      <c r="E819" s="529"/>
      <c r="F819" s="530"/>
      <c r="G819" s="530"/>
      <c r="H819" s="530"/>
      <c r="I819" s="531"/>
      <c r="J819" s="537"/>
      <c r="K819" s="111"/>
      <c r="L819" s="517"/>
      <c r="M819" s="111"/>
    </row>
    <row r="820" spans="1:13" hidden="1">
      <c r="A820" s="81"/>
      <c r="B820" s="111"/>
      <c r="C820" s="112"/>
      <c r="D820" s="533"/>
      <c r="E820" s="534"/>
      <c r="F820" s="113"/>
      <c r="G820" s="539"/>
      <c r="H820" s="81"/>
      <c r="I820" s="531"/>
      <c r="J820" s="537" t="s">
        <v>102</v>
      </c>
      <c r="K820" s="12">
        <f>'DATA 2024-25'!F830</f>
        <v>1428.3</v>
      </c>
      <c r="L820" s="517" t="s">
        <v>267</v>
      </c>
      <c r="M820" s="11">
        <f>ROUND(I820*K820,0)</f>
        <v>0</v>
      </c>
    </row>
    <row r="821" spans="1:13" ht="66" hidden="1" customHeight="1">
      <c r="A821" s="81">
        <v>26</v>
      </c>
      <c r="B821" s="910" t="s">
        <v>959</v>
      </c>
      <c r="C821" s="910"/>
      <c r="D821" s="910"/>
      <c r="E821" s="910"/>
      <c r="F821" s="910"/>
      <c r="G821" s="910"/>
      <c r="H821" s="910"/>
      <c r="I821" s="515"/>
      <c r="J821" s="516"/>
      <c r="K821" s="81"/>
      <c r="L821" s="517"/>
      <c r="M821" s="110"/>
    </row>
    <row r="822" spans="1:13" s="525" customFormat="1" ht="16.5" hidden="1" customHeight="1">
      <c r="A822" s="81"/>
      <c r="B822" s="111" t="s">
        <v>1282</v>
      </c>
      <c r="C822" s="547"/>
      <c r="D822" s="548"/>
      <c r="E822" s="549"/>
      <c r="F822" s="550"/>
      <c r="G822" s="550"/>
      <c r="H822" s="551"/>
      <c r="I822" s="552"/>
      <c r="J822" s="532"/>
      <c r="K822" s="111"/>
      <c r="L822" s="517"/>
      <c r="M822" s="111"/>
    </row>
    <row r="823" spans="1:13" s="525" customFormat="1" ht="16.5" hidden="1" customHeight="1">
      <c r="A823" s="81"/>
      <c r="B823" s="111" t="s">
        <v>741</v>
      </c>
      <c r="C823" s="515">
        <v>1</v>
      </c>
      <c r="D823" s="553" t="s">
        <v>265</v>
      </c>
      <c r="E823" s="534">
        <v>1</v>
      </c>
      <c r="F823" s="113">
        <v>8.5</v>
      </c>
      <c r="G823" s="113">
        <v>4.95</v>
      </c>
      <c r="H823" s="113">
        <v>0</v>
      </c>
      <c r="I823" s="523">
        <f t="shared" ref="I823:I835" si="80">ROUND(IF(AND(F823:H823),C823*E823*F823*G823*H823,IF(AND(F823,G823),C823*E823*F823*G823,IF(AND(F823,H823),C823*E823*F823*H823,IF(AND(G823,H823),C823*E823*G823*H823,IF(F823,C823*E823*F823,IF(G823,C823*E823*G823,IF(H823,C823*E823*H823,C823*E823))))))),2)</f>
        <v>42.08</v>
      </c>
      <c r="J823" s="532" t="s">
        <v>102</v>
      </c>
      <c r="K823" s="111"/>
      <c r="L823" s="517"/>
      <c r="M823" s="111"/>
    </row>
    <row r="824" spans="1:13" s="525" customFormat="1" ht="16.5" hidden="1" customHeight="1">
      <c r="A824" s="81"/>
      <c r="B824" s="111" t="s">
        <v>756</v>
      </c>
      <c r="C824" s="515">
        <v>1</v>
      </c>
      <c r="D824" s="553" t="s">
        <v>265</v>
      </c>
      <c r="E824" s="534">
        <v>1</v>
      </c>
      <c r="F824" s="113">
        <v>5.5</v>
      </c>
      <c r="G824" s="113">
        <v>2.4</v>
      </c>
      <c r="H824" s="113">
        <v>0</v>
      </c>
      <c r="I824" s="523">
        <f t="shared" si="80"/>
        <v>13.2</v>
      </c>
      <c r="J824" s="532" t="s">
        <v>102</v>
      </c>
      <c r="K824" s="111"/>
      <c r="L824" s="517"/>
      <c r="M824" s="111"/>
    </row>
    <row r="825" spans="1:13" s="525" customFormat="1" ht="16.5" hidden="1" customHeight="1">
      <c r="A825" s="81"/>
      <c r="B825" s="111" t="s">
        <v>759</v>
      </c>
      <c r="C825" s="515">
        <v>1</v>
      </c>
      <c r="D825" s="553" t="s">
        <v>265</v>
      </c>
      <c r="E825" s="534">
        <v>1</v>
      </c>
      <c r="F825" s="113">
        <v>3.15</v>
      </c>
      <c r="G825" s="113">
        <v>2.85</v>
      </c>
      <c r="H825" s="113">
        <v>0</v>
      </c>
      <c r="I825" s="523">
        <f t="shared" si="80"/>
        <v>8.98</v>
      </c>
      <c r="J825" s="532" t="s">
        <v>102</v>
      </c>
      <c r="K825" s="111"/>
      <c r="L825" s="517"/>
      <c r="M825" s="111"/>
    </row>
    <row r="826" spans="1:13" s="525" customFormat="1" ht="16.5" hidden="1" customHeight="1">
      <c r="A826" s="81"/>
      <c r="B826" s="111" t="s">
        <v>762</v>
      </c>
      <c r="C826" s="515">
        <v>1</v>
      </c>
      <c r="D826" s="553" t="s">
        <v>265</v>
      </c>
      <c r="E826" s="534">
        <v>1</v>
      </c>
      <c r="F826" s="113">
        <v>3.15</v>
      </c>
      <c r="G826" s="113">
        <v>2.75</v>
      </c>
      <c r="H826" s="113">
        <v>0</v>
      </c>
      <c r="I826" s="523">
        <f t="shared" si="80"/>
        <v>8.66</v>
      </c>
      <c r="J826" s="532" t="s">
        <v>102</v>
      </c>
      <c r="K826" s="111"/>
      <c r="L826" s="517"/>
      <c r="M826" s="111"/>
    </row>
    <row r="827" spans="1:13" s="525" customFormat="1" ht="16.5" hidden="1" customHeight="1">
      <c r="A827" s="81"/>
      <c r="B827" s="111" t="s">
        <v>645</v>
      </c>
      <c r="C827" s="515">
        <v>1</v>
      </c>
      <c r="D827" s="553" t="s">
        <v>265</v>
      </c>
      <c r="E827" s="534">
        <v>1</v>
      </c>
      <c r="F827" s="113">
        <v>8.35</v>
      </c>
      <c r="G827" s="113">
        <v>3.35</v>
      </c>
      <c r="H827" s="113">
        <v>0</v>
      </c>
      <c r="I827" s="523">
        <f t="shared" si="80"/>
        <v>27.97</v>
      </c>
      <c r="J827" s="532" t="s">
        <v>102</v>
      </c>
      <c r="K827" s="111"/>
      <c r="L827" s="517"/>
      <c r="M827" s="111"/>
    </row>
    <row r="828" spans="1:13" s="525" customFormat="1" ht="16.5" hidden="1" customHeight="1">
      <c r="A828" s="81"/>
      <c r="B828" s="111" t="s">
        <v>763</v>
      </c>
      <c r="C828" s="515">
        <v>1</v>
      </c>
      <c r="D828" s="553" t="s">
        <v>265</v>
      </c>
      <c r="E828" s="534">
        <v>1</v>
      </c>
      <c r="F828" s="113">
        <v>2.5</v>
      </c>
      <c r="G828" s="113">
        <v>0.5</v>
      </c>
      <c r="H828" s="113">
        <v>0</v>
      </c>
      <c r="I828" s="523">
        <f t="shared" si="80"/>
        <v>1.25</v>
      </c>
      <c r="J828" s="532" t="s">
        <v>102</v>
      </c>
      <c r="K828" s="111"/>
      <c r="L828" s="517"/>
      <c r="M828" s="111"/>
    </row>
    <row r="829" spans="1:13" s="525" customFormat="1" ht="16.5" hidden="1" customHeight="1">
      <c r="A829" s="81"/>
      <c r="B829" s="111"/>
      <c r="C829" s="515">
        <v>1</v>
      </c>
      <c r="D829" s="553" t="s">
        <v>265</v>
      </c>
      <c r="E829" s="534">
        <v>1</v>
      </c>
      <c r="F829" s="113">
        <v>2.5</v>
      </c>
      <c r="G829" s="113">
        <v>0.5</v>
      </c>
      <c r="H829" s="113">
        <v>0</v>
      </c>
      <c r="I829" s="523">
        <f t="shared" si="80"/>
        <v>1.25</v>
      </c>
      <c r="J829" s="532" t="s">
        <v>102</v>
      </c>
      <c r="K829" s="111"/>
      <c r="L829" s="517"/>
      <c r="M829" s="111"/>
    </row>
    <row r="830" spans="1:13" s="525" customFormat="1" ht="16.5" hidden="1" customHeight="1">
      <c r="A830" s="81"/>
      <c r="B830" s="111"/>
      <c r="C830" s="515">
        <v>1</v>
      </c>
      <c r="D830" s="553" t="s">
        <v>265</v>
      </c>
      <c r="E830" s="534">
        <v>1</v>
      </c>
      <c r="F830" s="113">
        <v>2.5</v>
      </c>
      <c r="G830" s="113">
        <v>0.5</v>
      </c>
      <c r="H830" s="113">
        <v>0</v>
      </c>
      <c r="I830" s="523">
        <f t="shared" si="80"/>
        <v>1.25</v>
      </c>
      <c r="J830" s="532" t="s">
        <v>102</v>
      </c>
      <c r="K830" s="111"/>
      <c r="L830" s="517"/>
      <c r="M830" s="111"/>
    </row>
    <row r="831" spans="1:13" s="525" customFormat="1" ht="16.5" hidden="1" customHeight="1">
      <c r="A831" s="81"/>
      <c r="B831" s="111" t="s">
        <v>759</v>
      </c>
      <c r="C831" s="515">
        <v>1</v>
      </c>
      <c r="D831" s="553" t="s">
        <v>265</v>
      </c>
      <c r="E831" s="534">
        <v>1</v>
      </c>
      <c r="F831" s="113">
        <v>2.5</v>
      </c>
      <c r="G831" s="113">
        <v>0.5</v>
      </c>
      <c r="H831" s="113">
        <v>0</v>
      </c>
      <c r="I831" s="523">
        <f t="shared" si="80"/>
        <v>1.25</v>
      </c>
      <c r="J831" s="532" t="s">
        <v>102</v>
      </c>
      <c r="K831" s="111"/>
      <c r="L831" s="517"/>
      <c r="M831" s="111"/>
    </row>
    <row r="832" spans="1:13" s="525" customFormat="1" ht="16.5" hidden="1" customHeight="1">
      <c r="A832" s="81"/>
      <c r="B832" s="111" t="s">
        <v>762</v>
      </c>
      <c r="C832" s="515">
        <v>1</v>
      </c>
      <c r="D832" s="553" t="s">
        <v>265</v>
      </c>
      <c r="E832" s="534">
        <v>1</v>
      </c>
      <c r="F832" s="113">
        <v>2.5</v>
      </c>
      <c r="G832" s="113">
        <v>0.5</v>
      </c>
      <c r="H832" s="113">
        <v>0</v>
      </c>
      <c r="I832" s="523">
        <f t="shared" si="80"/>
        <v>1.25</v>
      </c>
      <c r="J832" s="532" t="s">
        <v>102</v>
      </c>
      <c r="K832" s="111"/>
      <c r="L832" s="517"/>
      <c r="M832" s="111"/>
    </row>
    <row r="833" spans="1:13" s="525" customFormat="1" ht="16.5" hidden="1" customHeight="1">
      <c r="A833" s="81"/>
      <c r="B833" s="111" t="s">
        <v>764</v>
      </c>
      <c r="C833" s="515">
        <v>1</v>
      </c>
      <c r="D833" s="553" t="s">
        <v>265</v>
      </c>
      <c r="E833" s="534">
        <v>1</v>
      </c>
      <c r="F833" s="113">
        <v>8.9</v>
      </c>
      <c r="G833" s="113">
        <v>0.9</v>
      </c>
      <c r="H833" s="113">
        <v>0</v>
      </c>
      <c r="I833" s="523">
        <f t="shared" si="80"/>
        <v>8.01</v>
      </c>
      <c r="J833" s="532" t="s">
        <v>102</v>
      </c>
      <c r="K833" s="111"/>
      <c r="L833" s="517"/>
      <c r="M833" s="111"/>
    </row>
    <row r="834" spans="1:13" s="525" customFormat="1" ht="16.5" hidden="1" customHeight="1">
      <c r="A834" s="81"/>
      <c r="B834" s="111" t="s">
        <v>765</v>
      </c>
      <c r="C834" s="515">
        <v>1</v>
      </c>
      <c r="D834" s="553" t="s">
        <v>265</v>
      </c>
      <c r="E834" s="534">
        <v>1</v>
      </c>
      <c r="F834" s="113">
        <v>2.9</v>
      </c>
      <c r="G834" s="113">
        <v>1.3</v>
      </c>
      <c r="H834" s="113">
        <v>0</v>
      </c>
      <c r="I834" s="523">
        <f t="shared" si="80"/>
        <v>3.77</v>
      </c>
      <c r="J834" s="532" t="s">
        <v>102</v>
      </c>
      <c r="K834" s="111"/>
      <c r="L834" s="517"/>
      <c r="M834" s="111"/>
    </row>
    <row r="835" spans="1:13" s="525" customFormat="1" ht="16.5" hidden="1" customHeight="1">
      <c r="A835" s="81"/>
      <c r="B835" s="111" t="s">
        <v>742</v>
      </c>
      <c r="C835" s="515">
        <v>1</v>
      </c>
      <c r="D835" s="553" t="s">
        <v>265</v>
      </c>
      <c r="E835" s="534">
        <v>1</v>
      </c>
      <c r="F835" s="113">
        <v>2.9</v>
      </c>
      <c r="G835" s="113">
        <v>1.3</v>
      </c>
      <c r="H835" s="113">
        <v>0</v>
      </c>
      <c r="I835" s="523">
        <f t="shared" si="80"/>
        <v>3.77</v>
      </c>
      <c r="J835" s="532" t="s">
        <v>102</v>
      </c>
      <c r="K835" s="111"/>
      <c r="L835" s="517"/>
      <c r="M835" s="111"/>
    </row>
    <row r="836" spans="1:13" s="525" customFormat="1" ht="16.5" hidden="1" customHeight="1">
      <c r="A836" s="81"/>
      <c r="B836" s="111" t="s">
        <v>1293</v>
      </c>
      <c r="C836" s="547"/>
      <c r="D836" s="548"/>
      <c r="E836" s="549"/>
      <c r="F836" s="550"/>
      <c r="G836" s="550"/>
      <c r="H836" s="551"/>
      <c r="I836" s="552"/>
      <c r="J836" s="532"/>
      <c r="K836" s="111"/>
      <c r="L836" s="517"/>
      <c r="M836" s="111"/>
    </row>
    <row r="837" spans="1:13" s="525" customFormat="1" ht="16.5" hidden="1" customHeight="1">
      <c r="A837" s="81"/>
      <c r="B837" s="111" t="s">
        <v>766</v>
      </c>
      <c r="C837" s="515">
        <v>1</v>
      </c>
      <c r="D837" s="553" t="s">
        <v>265</v>
      </c>
      <c r="E837" s="534">
        <v>1</v>
      </c>
      <c r="F837" s="113">
        <v>27.04</v>
      </c>
      <c r="G837" s="113">
        <v>0</v>
      </c>
      <c r="H837" s="113">
        <v>3.2</v>
      </c>
      <c r="I837" s="523">
        <f t="shared" ref="I837:I844" si="81">ROUND(IF(AND(F837:H837),C837*E837*F837*G837*H837,IF(AND(F837,G837),C837*E837*F837*G837,IF(AND(F837,H837),C837*E837*F837*H837,IF(AND(G837,H837),C837*E837*G837*H837,IF(F837,C837*E837*F837,IF(G837,C837*E837*G837,IF(H837,C837*E837*H837,C837*E837))))))),2)</f>
        <v>86.53</v>
      </c>
      <c r="J837" s="532" t="s">
        <v>102</v>
      </c>
      <c r="K837" s="111"/>
      <c r="L837" s="517"/>
      <c r="M837" s="111"/>
    </row>
    <row r="838" spans="1:13" s="525" customFormat="1" ht="16.5" hidden="1" customHeight="1">
      <c r="A838" s="81"/>
      <c r="B838" s="111" t="s">
        <v>759</v>
      </c>
      <c r="C838" s="515">
        <v>1</v>
      </c>
      <c r="D838" s="553" t="s">
        <v>265</v>
      </c>
      <c r="E838" s="534">
        <v>1</v>
      </c>
      <c r="F838" s="113">
        <v>12.18</v>
      </c>
      <c r="G838" s="113">
        <v>0</v>
      </c>
      <c r="H838" s="113">
        <v>3.2</v>
      </c>
      <c r="I838" s="523">
        <f t="shared" si="81"/>
        <v>38.979999999999997</v>
      </c>
      <c r="J838" s="532" t="s">
        <v>102</v>
      </c>
      <c r="K838" s="111"/>
      <c r="L838" s="517"/>
      <c r="M838" s="111"/>
    </row>
    <row r="839" spans="1:13" s="525" customFormat="1" ht="16.5" hidden="1" customHeight="1">
      <c r="A839" s="81"/>
      <c r="B839" s="111" t="s">
        <v>762</v>
      </c>
      <c r="C839" s="515">
        <v>1</v>
      </c>
      <c r="D839" s="553" t="s">
        <v>265</v>
      </c>
      <c r="E839" s="534">
        <v>1</v>
      </c>
      <c r="F839" s="113">
        <v>12.1</v>
      </c>
      <c r="G839" s="113">
        <v>0</v>
      </c>
      <c r="H839" s="113">
        <v>3.2</v>
      </c>
      <c r="I839" s="523">
        <f t="shared" si="81"/>
        <v>38.72</v>
      </c>
      <c r="J839" s="532" t="s">
        <v>102</v>
      </c>
      <c r="K839" s="111"/>
      <c r="L839" s="517"/>
      <c r="M839" s="111"/>
    </row>
    <row r="840" spans="1:13" s="525" customFormat="1" ht="16.5" hidden="1" customHeight="1">
      <c r="A840" s="81"/>
      <c r="B840" s="111" t="s">
        <v>767</v>
      </c>
      <c r="C840" s="515">
        <v>1</v>
      </c>
      <c r="D840" s="553" t="s">
        <v>265</v>
      </c>
      <c r="E840" s="534">
        <v>1</v>
      </c>
      <c r="F840" s="113">
        <v>20.079999999999998</v>
      </c>
      <c r="G840" s="113">
        <v>0</v>
      </c>
      <c r="H840" s="113">
        <v>3.2</v>
      </c>
      <c r="I840" s="523">
        <f t="shared" si="81"/>
        <v>64.260000000000005</v>
      </c>
      <c r="J840" s="532" t="s">
        <v>102</v>
      </c>
      <c r="K840" s="111"/>
      <c r="L840" s="517"/>
      <c r="M840" s="111"/>
    </row>
    <row r="841" spans="1:13" s="525" customFormat="1" ht="16.5" hidden="1" customHeight="1">
      <c r="A841" s="81"/>
      <c r="B841" s="111" t="s">
        <v>768</v>
      </c>
      <c r="C841" s="515">
        <v>1</v>
      </c>
      <c r="D841" s="553" t="s">
        <v>265</v>
      </c>
      <c r="E841" s="534">
        <v>1</v>
      </c>
      <c r="F841" s="113">
        <v>12.6</v>
      </c>
      <c r="G841" s="113">
        <v>0</v>
      </c>
      <c r="H841" s="113">
        <v>0.75</v>
      </c>
      <c r="I841" s="523">
        <f t="shared" si="81"/>
        <v>9.4499999999999993</v>
      </c>
      <c r="J841" s="532" t="s">
        <v>102</v>
      </c>
      <c r="K841" s="111"/>
      <c r="L841" s="517"/>
      <c r="M841" s="111"/>
    </row>
    <row r="842" spans="1:13" s="525" customFormat="1" ht="16.5" hidden="1" customHeight="1">
      <c r="A842" s="81"/>
      <c r="B842" s="111" t="s">
        <v>769</v>
      </c>
      <c r="C842" s="515">
        <v>1</v>
      </c>
      <c r="D842" s="553" t="s">
        <v>265</v>
      </c>
      <c r="E842" s="534">
        <v>1</v>
      </c>
      <c r="F842" s="113">
        <v>3.27</v>
      </c>
      <c r="G842" s="113">
        <v>0</v>
      </c>
      <c r="H842" s="113">
        <v>3.2</v>
      </c>
      <c r="I842" s="523">
        <f t="shared" si="81"/>
        <v>10.46</v>
      </c>
      <c r="J842" s="532" t="s">
        <v>102</v>
      </c>
      <c r="K842" s="111"/>
      <c r="L842" s="517"/>
      <c r="M842" s="111"/>
    </row>
    <row r="843" spans="1:13" s="525" customFormat="1" ht="16.5" hidden="1" customHeight="1">
      <c r="A843" s="81"/>
      <c r="B843" s="111"/>
      <c r="C843" s="515">
        <v>1</v>
      </c>
      <c r="D843" s="553" t="s">
        <v>265</v>
      </c>
      <c r="E843" s="534">
        <v>1</v>
      </c>
      <c r="F843" s="113">
        <v>3.27</v>
      </c>
      <c r="G843" s="113">
        <v>0</v>
      </c>
      <c r="H843" s="113">
        <v>3.2</v>
      </c>
      <c r="I843" s="523">
        <f t="shared" si="81"/>
        <v>10.46</v>
      </c>
      <c r="J843" s="532" t="s">
        <v>102</v>
      </c>
      <c r="K843" s="111"/>
      <c r="L843" s="517"/>
      <c r="M843" s="111"/>
    </row>
    <row r="844" spans="1:13" s="525" customFormat="1" ht="16.5" hidden="1" customHeight="1">
      <c r="A844" s="81"/>
      <c r="B844" s="111" t="s">
        <v>770</v>
      </c>
      <c r="C844" s="515">
        <v>1</v>
      </c>
      <c r="D844" s="553" t="s">
        <v>265</v>
      </c>
      <c r="E844" s="534">
        <v>1</v>
      </c>
      <c r="F844" s="113">
        <v>2.68</v>
      </c>
      <c r="G844" s="113">
        <v>0</v>
      </c>
      <c r="H844" s="113">
        <v>1.2</v>
      </c>
      <c r="I844" s="523">
        <f t="shared" si="81"/>
        <v>3.22</v>
      </c>
      <c r="J844" s="532" t="s">
        <v>102</v>
      </c>
      <c r="K844" s="111"/>
      <c r="L844" s="517"/>
      <c r="M844" s="111"/>
    </row>
    <row r="845" spans="1:13" s="525" customFormat="1" ht="16.5" hidden="1" customHeight="1">
      <c r="A845" s="81"/>
      <c r="B845" s="111" t="s">
        <v>565</v>
      </c>
      <c r="C845" s="515">
        <v>1</v>
      </c>
      <c r="D845" s="553" t="s">
        <v>265</v>
      </c>
      <c r="E845" s="534">
        <v>2</v>
      </c>
      <c r="F845" s="113">
        <v>1.2</v>
      </c>
      <c r="G845" s="113">
        <v>0</v>
      </c>
      <c r="H845" s="113">
        <v>2.1</v>
      </c>
      <c r="I845" s="523">
        <f>-ROUND(IF(AND(F845:H845),C845*E845*F845*G845*H845,IF(AND(F845,G845),C845*E845*F845*G845,IF(AND(F845,H845),C845*E845*F845*H845,IF(AND(G845,H845),C845*E845*G845*H845,IF(F845,C845*E845*F845,IF(G845,C845*E845*G845,IF(H845,C845*E845*H845,C845*E845))))))),2)</f>
        <v>-5.04</v>
      </c>
      <c r="J845" s="532" t="s">
        <v>102</v>
      </c>
      <c r="K845" s="111"/>
      <c r="L845" s="517"/>
      <c r="M845" s="111"/>
    </row>
    <row r="846" spans="1:13" s="525" customFormat="1" ht="16.5" hidden="1" customHeight="1">
      <c r="A846" s="81"/>
      <c r="B846" s="111" t="s">
        <v>744</v>
      </c>
      <c r="C846" s="515">
        <v>1</v>
      </c>
      <c r="D846" s="553" t="s">
        <v>265</v>
      </c>
      <c r="E846" s="534">
        <v>5</v>
      </c>
      <c r="F846" s="113">
        <v>1.5</v>
      </c>
      <c r="G846" s="113">
        <v>0</v>
      </c>
      <c r="H846" s="113">
        <v>1.35</v>
      </c>
      <c r="I846" s="523">
        <f>-ROUND(IF(AND(F846:H846),C846*E846*F846*G846*H846,IF(AND(F846,G846),C846*E846*F846*G846,IF(AND(F846,H846),C846*E846*F846*H846,IF(AND(G846,H846),C846*E846*G846*H846,IF(F846,C846*E846*F846,IF(G846,C846*E846*G846,IF(H846,C846*E846*H846,C846*E846))))))),2)</f>
        <v>-10.130000000000001</v>
      </c>
      <c r="J846" s="532" t="s">
        <v>102</v>
      </c>
      <c r="K846" s="111"/>
      <c r="L846" s="517"/>
      <c r="M846" s="111"/>
    </row>
    <row r="847" spans="1:13" s="525" customFormat="1" ht="16.5" hidden="1" customHeight="1">
      <c r="A847" s="81"/>
      <c r="B847" s="111" t="s">
        <v>740</v>
      </c>
      <c r="C847" s="515">
        <v>1</v>
      </c>
      <c r="D847" s="553" t="s">
        <v>265</v>
      </c>
      <c r="E847" s="534">
        <v>10</v>
      </c>
      <c r="F847" s="113">
        <v>0.6</v>
      </c>
      <c r="G847" s="113">
        <v>0</v>
      </c>
      <c r="H847" s="113">
        <v>0.3</v>
      </c>
      <c r="I847" s="523">
        <f>-ROUND(IF(AND(F847:H847),C847*E847*F847*G847*H847,IF(AND(F847,G847),C847*E847*F847*G847,IF(AND(F847,H847),C847*E847*F847*H847,IF(AND(G847,H847),C847*E847*G847*H847,IF(F847,C847*E847*F847,IF(G847,C847*E847*G847,IF(H847,C847*E847*H847,C847*E847))))))),2)</f>
        <v>-1.8</v>
      </c>
      <c r="J847" s="532" t="s">
        <v>102</v>
      </c>
      <c r="K847" s="111"/>
      <c r="L847" s="517"/>
      <c r="M847" s="111"/>
    </row>
    <row r="848" spans="1:13" s="525" customFormat="1" ht="16.5" hidden="1" customHeight="1">
      <c r="A848" s="81"/>
      <c r="B848" s="111" t="s">
        <v>771</v>
      </c>
      <c r="C848" s="515">
        <v>1</v>
      </c>
      <c r="D848" s="553" t="s">
        <v>265</v>
      </c>
      <c r="E848" s="534">
        <v>1</v>
      </c>
      <c r="F848" s="113">
        <v>1.2</v>
      </c>
      <c r="G848" s="113">
        <v>0</v>
      </c>
      <c r="H848" s="113">
        <v>2.1</v>
      </c>
      <c r="I848" s="523">
        <f>-ROUND(IF(AND(F848:H848),C848*E848*F848*G848*H848,IF(AND(F848,G848),C848*E848*F848*G848,IF(AND(F848,H848),C848*E848*F848*H848,IF(AND(G848,H848),C848*E848*G848*H848,IF(F848,C848*E848*F848,IF(G848,C848*E848*G848,IF(H848,C848*E848*H848,C848*E848))))))),2)</f>
        <v>-2.52</v>
      </c>
      <c r="J848" s="532" t="s">
        <v>102</v>
      </c>
      <c r="K848" s="111"/>
      <c r="L848" s="517"/>
      <c r="M848" s="111"/>
    </row>
    <row r="849" spans="1:13" s="525" customFormat="1" ht="16.5" hidden="1" customHeight="1">
      <c r="A849" s="81"/>
      <c r="B849" s="111" t="s">
        <v>1283</v>
      </c>
      <c r="C849" s="547"/>
      <c r="D849" s="548"/>
      <c r="E849" s="549"/>
      <c r="F849" s="550"/>
      <c r="G849" s="550"/>
      <c r="H849" s="551"/>
      <c r="I849" s="552"/>
      <c r="J849" s="532"/>
      <c r="K849" s="111"/>
      <c r="L849" s="517"/>
      <c r="M849" s="111"/>
    </row>
    <row r="850" spans="1:13" s="525" customFormat="1" ht="16.5" hidden="1" customHeight="1">
      <c r="A850" s="81"/>
      <c r="B850" s="111" t="s">
        <v>757</v>
      </c>
      <c r="C850" s="515">
        <v>1</v>
      </c>
      <c r="D850" s="553" t="s">
        <v>265</v>
      </c>
      <c r="E850" s="534">
        <v>1</v>
      </c>
      <c r="F850" s="113">
        <v>12.53</v>
      </c>
      <c r="G850" s="113">
        <v>0</v>
      </c>
      <c r="H850" s="113">
        <v>3.6</v>
      </c>
      <c r="I850" s="523">
        <f>ROUND(IF(AND(F850:H850),C850*E850*F850*G850*H850,IF(AND(F850,G850),C850*E850*F850*G850,IF(AND(F850,H850),C850*E850*F850*H850,IF(AND(G850,H850),C850*E850*G850*H850,IF(F850,C850*E850*F850,IF(G850,C850*E850*G850,IF(H850,C850*E850*H850,C850*E850))))))),2)</f>
        <v>45.11</v>
      </c>
      <c r="J850" s="532" t="s">
        <v>102</v>
      </c>
      <c r="K850" s="111"/>
      <c r="L850" s="517"/>
      <c r="M850" s="111"/>
    </row>
    <row r="851" spans="1:13" s="525" customFormat="1" ht="16.5" hidden="1" customHeight="1">
      <c r="A851" s="81"/>
      <c r="B851" s="111" t="s">
        <v>758</v>
      </c>
      <c r="C851" s="515">
        <v>1</v>
      </c>
      <c r="D851" s="553" t="s">
        <v>265</v>
      </c>
      <c r="E851" s="534">
        <v>1</v>
      </c>
      <c r="F851" s="113">
        <v>8.85</v>
      </c>
      <c r="G851" s="113">
        <v>0</v>
      </c>
      <c r="H851" s="113">
        <v>3.6</v>
      </c>
      <c r="I851" s="523">
        <f>ROUND(IF(AND(F851:H851),C851*E851*F851*G851*H851,IF(AND(F851,G851),C851*E851*F851*G851,IF(AND(F851,H851),C851*E851*F851*H851,IF(AND(G851,H851),C851*E851*G851*H851,IF(F851,C851*E851*F851,IF(G851,C851*E851*G851,IF(H851,C851*E851*H851,C851*E851))))))),2)</f>
        <v>31.86</v>
      </c>
      <c r="J851" s="532" t="s">
        <v>102</v>
      </c>
      <c r="K851" s="111"/>
      <c r="L851" s="517"/>
      <c r="M851" s="111"/>
    </row>
    <row r="852" spans="1:13" s="525" customFormat="1" ht="16.5" hidden="1" customHeight="1">
      <c r="A852" s="81"/>
      <c r="B852" s="111" t="s">
        <v>761</v>
      </c>
      <c r="C852" s="515">
        <v>1</v>
      </c>
      <c r="D852" s="553" t="s">
        <v>265</v>
      </c>
      <c r="E852" s="534">
        <v>1</v>
      </c>
      <c r="F852" s="113">
        <v>6.25</v>
      </c>
      <c r="G852" s="113">
        <v>0</v>
      </c>
      <c r="H852" s="113">
        <v>3.6</v>
      </c>
      <c r="I852" s="523">
        <f>ROUND(IF(AND(F852:H852),C852*E852*F852*G852*H852,IF(AND(F852,G852),C852*E852*F852*G852,IF(AND(F852,H852),C852*E852*F852*H852,IF(AND(G852,H852),C852*E852*G852*H852,IF(F852,C852*E852*F852,IF(G852,C852*E852*G852,IF(H852,C852*E852*H852,C852*E852))))))),2)</f>
        <v>22.5</v>
      </c>
      <c r="J852" s="532" t="s">
        <v>102</v>
      </c>
      <c r="K852" s="111"/>
      <c r="L852" s="517"/>
      <c r="M852" s="111"/>
    </row>
    <row r="853" spans="1:13" s="525" customFormat="1" ht="16.5" hidden="1" customHeight="1">
      <c r="A853" s="81"/>
      <c r="B853" s="111" t="s">
        <v>760</v>
      </c>
      <c r="C853" s="515">
        <v>1</v>
      </c>
      <c r="D853" s="553" t="s">
        <v>265</v>
      </c>
      <c r="E853" s="534">
        <v>1</v>
      </c>
      <c r="F853" s="113">
        <v>5.45</v>
      </c>
      <c r="G853" s="113">
        <v>0</v>
      </c>
      <c r="H853" s="113">
        <v>3.2</v>
      </c>
      <c r="I853" s="523">
        <f>ROUND(IF(AND(F853:H853),C853*E853*F853*G853*H853,IF(AND(F853,G853),C853*E853*F853*G853,IF(AND(F853,H853),C853*E853*F853*H853,IF(AND(G853,H853),C853*E853*G853*H853,IF(F853,C853*E853*F853,IF(G853,C853*E853*G853,IF(H853,C853*E853*H853,C853*E853))))))),2)</f>
        <v>17.440000000000001</v>
      </c>
      <c r="J853" s="532" t="s">
        <v>102</v>
      </c>
      <c r="K853" s="111"/>
      <c r="L853" s="517"/>
      <c r="M853" s="111"/>
    </row>
    <row r="854" spans="1:13" s="525" customFormat="1" ht="16.5" hidden="1" customHeight="1">
      <c r="A854" s="81"/>
      <c r="B854" s="526"/>
      <c r="C854" s="527"/>
      <c r="D854" s="528"/>
      <c r="E854" s="577"/>
      <c r="F854" s="530"/>
      <c r="G854" s="530"/>
      <c r="H854" s="530"/>
      <c r="I854" s="531"/>
      <c r="J854" s="532"/>
      <c r="K854" s="111"/>
      <c r="L854" s="517"/>
      <c r="M854" s="111"/>
    </row>
    <row r="855" spans="1:13" hidden="1">
      <c r="A855" s="81"/>
      <c r="B855" s="111"/>
      <c r="C855" s="112"/>
      <c r="D855" s="533"/>
      <c r="E855" s="534"/>
      <c r="F855" s="113"/>
      <c r="G855" s="539"/>
      <c r="H855" s="81"/>
      <c r="I855" s="531"/>
      <c r="J855" s="532" t="s">
        <v>102</v>
      </c>
      <c r="K855" s="12">
        <f>'DATA 2024-25'!F860</f>
        <v>28.94</v>
      </c>
      <c r="L855" s="517" t="s">
        <v>267</v>
      </c>
      <c r="M855" s="11">
        <f>ROUND(I855*K855,0)</f>
        <v>0</v>
      </c>
    </row>
    <row r="856" spans="1:13" ht="117.75" hidden="1" customHeight="1">
      <c r="A856" s="81">
        <v>7</v>
      </c>
      <c r="B856" s="910" t="s">
        <v>841</v>
      </c>
      <c r="C856" s="910"/>
      <c r="D856" s="910"/>
      <c r="E856" s="910"/>
      <c r="F856" s="910"/>
      <c r="G856" s="910"/>
      <c r="H856" s="910"/>
      <c r="I856" s="515"/>
      <c r="J856" s="516"/>
      <c r="K856" s="81"/>
      <c r="L856" s="517"/>
      <c r="M856" s="110"/>
    </row>
    <row r="857" spans="1:13" hidden="1">
      <c r="A857" s="81"/>
      <c r="B857" s="473" t="s">
        <v>1894</v>
      </c>
      <c r="C857" s="565"/>
      <c r="D857" s="566"/>
      <c r="E857" s="567"/>
      <c r="F857" s="473"/>
      <c r="G857" s="473"/>
      <c r="H857" s="473"/>
      <c r="I857" s="515"/>
      <c r="J857" s="516"/>
      <c r="K857" s="81"/>
      <c r="L857" s="517"/>
      <c r="M857" s="110"/>
    </row>
    <row r="858" spans="1:13" hidden="1">
      <c r="A858" s="81"/>
      <c r="B858" s="473" t="s">
        <v>1839</v>
      </c>
      <c r="C858" s="565"/>
      <c r="D858" s="566"/>
      <c r="E858" s="567"/>
      <c r="F858" s="473"/>
      <c r="G858" s="473"/>
      <c r="H858" s="473"/>
      <c r="I858" s="515"/>
      <c r="J858" s="516"/>
      <c r="K858" s="81"/>
      <c r="L858" s="517"/>
      <c r="M858" s="110"/>
    </row>
    <row r="859" spans="1:13" s="525" customFormat="1" ht="16.5" hidden="1" customHeight="1">
      <c r="A859" s="81"/>
      <c r="B859" s="111" t="s">
        <v>1840</v>
      </c>
      <c r="C859" s="515">
        <v>1</v>
      </c>
      <c r="D859" s="553" t="s">
        <v>265</v>
      </c>
      <c r="E859" s="534">
        <v>2</v>
      </c>
      <c r="F859" s="113">
        <v>3.37</v>
      </c>
      <c r="G859" s="113">
        <v>0</v>
      </c>
      <c r="H859" s="113">
        <v>3.15</v>
      </c>
      <c r="I859" s="523">
        <f>ROUND(IF(AND(F859:H859),C859*E859*F859*G859*H859,IF(AND(F859,G859),C859*E859*F859*G859,IF(AND(F859,H859),C859*E859*F859*H859,IF(AND(G859,H859),C859*E859*G859*H859,IF(F859,C859*E859*F859,IF(G859,C859*E859*G859,IF(H859,C859*E859*H859,C859*E859))))))),2)</f>
        <v>21.23</v>
      </c>
      <c r="J859" s="532" t="s">
        <v>102</v>
      </c>
      <c r="K859" s="111"/>
      <c r="L859" s="81"/>
      <c r="M859" s="111"/>
    </row>
    <row r="860" spans="1:13" s="525" customFormat="1" ht="16.5" hidden="1" customHeight="1">
      <c r="A860" s="81"/>
      <c r="B860" s="111"/>
      <c r="C860" s="515">
        <v>1</v>
      </c>
      <c r="D860" s="553" t="s">
        <v>265</v>
      </c>
      <c r="E860" s="534">
        <v>2</v>
      </c>
      <c r="F860" s="113">
        <v>3.37</v>
      </c>
      <c r="G860" s="113">
        <v>0</v>
      </c>
      <c r="H860" s="113">
        <v>3.15</v>
      </c>
      <c r="I860" s="523">
        <f t="shared" ref="I860" si="82">ROUND(IF(AND(F860:H860),C860*E860*F860*G860*H860,IF(AND(F860,G860),C860*E860*F860*G860,IF(AND(F860,H860),C860*E860*F860*H860,IF(AND(G860,H860),C860*E860*G860*H860,IF(F860,C860*E860*F860,IF(G860,C860*E860*G860,IF(H860,C860*E860*H860,C860*E860))))))),2)</f>
        <v>21.23</v>
      </c>
      <c r="J860" s="532" t="s">
        <v>102</v>
      </c>
      <c r="K860" s="111"/>
      <c r="L860" s="81"/>
      <c r="M860" s="111"/>
    </row>
    <row r="861" spans="1:13" s="525" customFormat="1" ht="16.5" hidden="1" customHeight="1">
      <c r="A861" s="81"/>
      <c r="B861" s="111" t="s">
        <v>565</v>
      </c>
      <c r="C861" s="515">
        <v>1</v>
      </c>
      <c r="D861" s="553" t="s">
        <v>265</v>
      </c>
      <c r="E861" s="534">
        <v>1</v>
      </c>
      <c r="F861" s="113">
        <v>1.05</v>
      </c>
      <c r="G861" s="113">
        <v>0</v>
      </c>
      <c r="H861" s="113">
        <v>2.1</v>
      </c>
      <c r="I861" s="523">
        <f>-ROUND(IF(AND(F861:H861),C861*E861*F861*G861*H861,IF(AND(F861,G861),C861*E861*F861*G861,IF(AND(F861,H861),C861*E861*F861*H861,IF(AND(G861,H861),C861*E861*G861*H861,IF(F861,C861*E861*F861,IF(G861,C861*E861*G861,IF(H861,C861*E861*H861,C861*E861))))))),2)</f>
        <v>-2.21</v>
      </c>
      <c r="J861" s="532" t="s">
        <v>102</v>
      </c>
      <c r="K861" s="111"/>
      <c r="L861" s="81"/>
      <c r="M861" s="111"/>
    </row>
    <row r="862" spans="1:13" s="525" customFormat="1" ht="16.5" hidden="1" customHeight="1">
      <c r="A862" s="81"/>
      <c r="B862" s="111" t="s">
        <v>565</v>
      </c>
      <c r="C862" s="515">
        <v>1</v>
      </c>
      <c r="D862" s="553" t="s">
        <v>265</v>
      </c>
      <c r="E862" s="534">
        <v>1</v>
      </c>
      <c r="F862" s="113">
        <v>0.75</v>
      </c>
      <c r="G862" s="113">
        <v>0</v>
      </c>
      <c r="H862" s="113">
        <v>2.1</v>
      </c>
      <c r="I862" s="523">
        <f>-ROUND(IF(AND(F862:H862),C862*E862*F862*G862*H862,IF(AND(F862,G862),C862*E862*F862*G862,IF(AND(F862,H862),C862*E862*F862*H862,IF(AND(G862,H862),C862*E862*G862*H862,IF(F862,C862*E862*F862,IF(G862,C862*E862*G862,IF(H862,C862*E862*H862,C862*E862))))))),2)</f>
        <v>-1.58</v>
      </c>
      <c r="J862" s="532" t="s">
        <v>102</v>
      </c>
      <c r="K862" s="111"/>
      <c r="L862" s="81"/>
      <c r="M862" s="111"/>
    </row>
    <row r="863" spans="1:13" s="525" customFormat="1" ht="16.5" hidden="1" customHeight="1">
      <c r="A863" s="81"/>
      <c r="B863" s="111" t="s">
        <v>744</v>
      </c>
      <c r="C863" s="515">
        <v>1</v>
      </c>
      <c r="D863" s="553" t="s">
        <v>265</v>
      </c>
      <c r="E863" s="534">
        <v>1</v>
      </c>
      <c r="F863" s="113">
        <v>1.2</v>
      </c>
      <c r="G863" s="113">
        <v>0</v>
      </c>
      <c r="H863" s="113">
        <v>1.2</v>
      </c>
      <c r="I863" s="523">
        <f>-ROUND(IF(AND(F863:H863),C863*E863*F863*G863*H863,IF(AND(F863,G863),C863*E863*F863*G863,IF(AND(F863,H863),C863*E863*F863*H863,IF(AND(G863,H863),C863*E863*G863*H863,IF(F863,C863*E863*F863,IF(G863,C863*E863*G863,IF(H863,C863*E863*H863,C863*E863))))))),2)</f>
        <v>-1.44</v>
      </c>
      <c r="J863" s="532" t="s">
        <v>102</v>
      </c>
      <c r="K863" s="111"/>
      <c r="L863" s="81"/>
      <c r="M863" s="111"/>
    </row>
    <row r="864" spans="1:13" s="525" customFormat="1" ht="16.5" hidden="1" customHeight="1">
      <c r="A864" s="81"/>
      <c r="B864" s="111" t="s">
        <v>1842</v>
      </c>
      <c r="C864" s="515">
        <v>1</v>
      </c>
      <c r="D864" s="553" t="s">
        <v>265</v>
      </c>
      <c r="E864" s="534">
        <v>1</v>
      </c>
      <c r="F864" s="113">
        <v>4.47</v>
      </c>
      <c r="G864" s="113">
        <v>0</v>
      </c>
      <c r="H864" s="113">
        <v>3.15</v>
      </c>
      <c r="I864" s="523">
        <f t="shared" ref="I864:I868" si="83">ROUND(IF(AND(F864:H864),C864*E864*F864*G864*H864,IF(AND(F864,G864),C864*E864*F864*G864,IF(AND(F864,H864),C864*E864*F864*H864,IF(AND(G864,H864),C864*E864*G864*H864,IF(F864,C864*E864*F864,IF(G864,C864*E864*G864,IF(H864,C864*E864*H864,C864*E864))))))),2)</f>
        <v>14.08</v>
      </c>
      <c r="J864" s="532" t="s">
        <v>102</v>
      </c>
      <c r="K864" s="111"/>
      <c r="L864" s="81"/>
      <c r="M864" s="111"/>
    </row>
    <row r="865" spans="1:13" s="525" customFormat="1" ht="16.5" hidden="1" customHeight="1">
      <c r="A865" s="81"/>
      <c r="B865" s="111"/>
      <c r="C865" s="515">
        <v>1</v>
      </c>
      <c r="D865" s="553" t="s">
        <v>265</v>
      </c>
      <c r="E865" s="534">
        <v>1</v>
      </c>
      <c r="F865" s="113">
        <v>3.37</v>
      </c>
      <c r="G865" s="113">
        <v>0</v>
      </c>
      <c r="H865" s="113">
        <v>3.15</v>
      </c>
      <c r="I865" s="523">
        <f t="shared" si="83"/>
        <v>10.62</v>
      </c>
      <c r="J865" s="532" t="s">
        <v>102</v>
      </c>
      <c r="K865" s="111"/>
      <c r="L865" s="81"/>
      <c r="M865" s="111"/>
    </row>
    <row r="866" spans="1:13" s="525" customFormat="1" ht="16.5" hidden="1" customHeight="1">
      <c r="A866" s="81"/>
      <c r="B866" s="111"/>
      <c r="C866" s="515">
        <v>1</v>
      </c>
      <c r="D866" s="553" t="s">
        <v>265</v>
      </c>
      <c r="E866" s="534">
        <v>1</v>
      </c>
      <c r="F866" s="113">
        <v>2.0699999999999998</v>
      </c>
      <c r="G866" s="113">
        <v>0</v>
      </c>
      <c r="H866" s="113">
        <v>3.15</v>
      </c>
      <c r="I866" s="523">
        <f t="shared" si="83"/>
        <v>6.52</v>
      </c>
      <c r="J866" s="532" t="s">
        <v>102</v>
      </c>
      <c r="K866" s="111"/>
      <c r="L866" s="81"/>
      <c r="M866" s="111"/>
    </row>
    <row r="867" spans="1:13" s="525" customFormat="1" ht="16.5" hidden="1" customHeight="1">
      <c r="A867" s="81"/>
      <c r="B867" s="111"/>
      <c r="C867" s="515">
        <v>1</v>
      </c>
      <c r="D867" s="553" t="s">
        <v>265</v>
      </c>
      <c r="E867" s="534">
        <v>1</v>
      </c>
      <c r="F867" s="113">
        <v>0.9</v>
      </c>
      <c r="G867" s="113">
        <v>0</v>
      </c>
      <c r="H867" s="113">
        <v>3.15</v>
      </c>
      <c r="I867" s="523">
        <f t="shared" si="83"/>
        <v>2.84</v>
      </c>
      <c r="J867" s="532" t="s">
        <v>102</v>
      </c>
      <c r="K867" s="111"/>
      <c r="L867" s="81"/>
      <c r="M867" s="111"/>
    </row>
    <row r="868" spans="1:13" s="525" customFormat="1" ht="16.5" hidden="1" customHeight="1">
      <c r="A868" s="81"/>
      <c r="B868" s="111"/>
      <c r="C868" s="515">
        <v>1</v>
      </c>
      <c r="D868" s="553" t="s">
        <v>265</v>
      </c>
      <c r="E868" s="534">
        <v>1</v>
      </c>
      <c r="F868" s="113">
        <v>0.55000000000000004</v>
      </c>
      <c r="G868" s="113">
        <v>0</v>
      </c>
      <c r="H868" s="113">
        <v>3.15</v>
      </c>
      <c r="I868" s="523">
        <f t="shared" si="83"/>
        <v>1.73</v>
      </c>
      <c r="J868" s="532" t="s">
        <v>102</v>
      </c>
      <c r="K868" s="111"/>
      <c r="L868" s="81"/>
      <c r="M868" s="111"/>
    </row>
    <row r="869" spans="1:13" s="525" customFormat="1" ht="16.5" hidden="1" customHeight="1">
      <c r="A869" s="81"/>
      <c r="B869" s="111" t="s">
        <v>565</v>
      </c>
      <c r="C869" s="515">
        <v>1</v>
      </c>
      <c r="D869" s="553" t="s">
        <v>265</v>
      </c>
      <c r="E869" s="534">
        <v>1</v>
      </c>
      <c r="F869" s="113">
        <v>1.05</v>
      </c>
      <c r="G869" s="113">
        <v>0</v>
      </c>
      <c r="H869" s="113">
        <v>2.1</v>
      </c>
      <c r="I869" s="523">
        <f>-ROUND(IF(AND(F869:H869),C869*E869*F869*G869*H869,IF(AND(F869,G869),C869*E869*F869*G869,IF(AND(F869,H869),C869*E869*F869*H869,IF(AND(G869,H869),C869*E869*G869*H869,IF(F869,C869*E869*F869,IF(G869,C869*E869*G869,IF(H869,C869*E869*H869,C869*E869))))))),2)</f>
        <v>-2.21</v>
      </c>
      <c r="J869" s="532" t="s">
        <v>102</v>
      </c>
      <c r="K869" s="111"/>
      <c r="L869" s="81"/>
      <c r="M869" s="111"/>
    </row>
    <row r="870" spans="1:13" s="525" customFormat="1" ht="16.5" hidden="1" customHeight="1">
      <c r="A870" s="81"/>
      <c r="B870" s="111" t="s">
        <v>744</v>
      </c>
      <c r="C870" s="515">
        <v>1</v>
      </c>
      <c r="D870" s="553" t="s">
        <v>265</v>
      </c>
      <c r="E870" s="534">
        <v>1</v>
      </c>
      <c r="F870" s="113">
        <v>1.2</v>
      </c>
      <c r="G870" s="113">
        <v>0</v>
      </c>
      <c r="H870" s="113">
        <v>1.2</v>
      </c>
      <c r="I870" s="523">
        <f>-ROUND(IF(AND(F870:H870),C870*E870*F870*G870*H870,IF(AND(F870,G870),C870*E870*F870*G870,IF(AND(F870,H870),C870*E870*F870*H870,IF(AND(G870,H870),C870*E870*G870*H870,IF(F870,C870*E870*F870,IF(G870,C870*E870*G870,IF(H870,C870*E870*H870,C870*E870))))))),2)</f>
        <v>-1.44</v>
      </c>
      <c r="J870" s="532" t="s">
        <v>102</v>
      </c>
      <c r="K870" s="111"/>
      <c r="L870" s="81"/>
      <c r="M870" s="111"/>
    </row>
    <row r="871" spans="1:13" s="525" customFormat="1" ht="16.5" hidden="1" customHeight="1">
      <c r="A871" s="81"/>
      <c r="B871" s="111" t="s">
        <v>741</v>
      </c>
      <c r="C871" s="515">
        <v>1</v>
      </c>
      <c r="D871" s="553" t="s">
        <v>265</v>
      </c>
      <c r="E871" s="534">
        <v>2</v>
      </c>
      <c r="F871" s="113">
        <v>6.75</v>
      </c>
      <c r="G871" s="113">
        <v>0</v>
      </c>
      <c r="H871" s="113">
        <v>3.15</v>
      </c>
      <c r="I871" s="523">
        <f t="shared" ref="I871:I873" si="84">ROUND(IF(AND(F871:H871),C871*E871*F871*G871*H871,IF(AND(F871,G871),C871*E871*F871*G871,IF(AND(F871,H871),C871*E871*F871*H871,IF(AND(G871,H871),C871*E871*G871*H871,IF(F871,C871*E871*F871,IF(G871,C871*E871*G871,IF(H871,C871*E871*H871,C871*E871))))))),2)</f>
        <v>42.53</v>
      </c>
      <c r="J871" s="532" t="s">
        <v>102</v>
      </c>
      <c r="K871" s="111"/>
      <c r="L871" s="81"/>
      <c r="M871" s="111"/>
    </row>
    <row r="872" spans="1:13" s="525" customFormat="1" ht="16.5" hidden="1" customHeight="1">
      <c r="A872" s="81"/>
      <c r="B872" s="111"/>
      <c r="C872" s="515">
        <v>1</v>
      </c>
      <c r="D872" s="553" t="s">
        <v>265</v>
      </c>
      <c r="E872" s="534">
        <v>2</v>
      </c>
      <c r="F872" s="113">
        <v>3.3</v>
      </c>
      <c r="G872" s="113">
        <v>0</v>
      </c>
      <c r="H872" s="113">
        <v>3.15</v>
      </c>
      <c r="I872" s="523">
        <f t="shared" si="84"/>
        <v>20.79</v>
      </c>
      <c r="J872" s="532" t="s">
        <v>102</v>
      </c>
      <c r="K872" s="111"/>
      <c r="L872" s="81"/>
      <c r="M872" s="111"/>
    </row>
    <row r="873" spans="1:13" s="525" customFormat="1" ht="16.5" hidden="1" customHeight="1">
      <c r="A873" s="81"/>
      <c r="B873" s="111"/>
      <c r="C873" s="515">
        <v>1</v>
      </c>
      <c r="D873" s="553" t="s">
        <v>265</v>
      </c>
      <c r="E873" s="534">
        <v>1</v>
      </c>
      <c r="F873" s="113">
        <v>1.8</v>
      </c>
      <c r="G873" s="113">
        <v>0</v>
      </c>
      <c r="H873" s="113">
        <v>3.15</v>
      </c>
      <c r="I873" s="523">
        <f t="shared" si="84"/>
        <v>5.67</v>
      </c>
      <c r="J873" s="532" t="s">
        <v>102</v>
      </c>
      <c r="K873" s="111"/>
      <c r="L873" s="81"/>
      <c r="M873" s="111"/>
    </row>
    <row r="874" spans="1:13" s="525" customFormat="1" ht="16.5" hidden="1" customHeight="1">
      <c r="A874" s="81"/>
      <c r="B874" s="111" t="s">
        <v>565</v>
      </c>
      <c r="C874" s="515">
        <v>1</v>
      </c>
      <c r="D874" s="553" t="s">
        <v>265</v>
      </c>
      <c r="E874" s="534">
        <v>1</v>
      </c>
      <c r="F874" s="113">
        <v>1.05</v>
      </c>
      <c r="G874" s="113">
        <v>0</v>
      </c>
      <c r="H874" s="113">
        <v>2.1</v>
      </c>
      <c r="I874" s="523">
        <f>-ROUND(IF(AND(F874:H874),C874*E874*F874*G874*H874,IF(AND(F874,G874),C874*E874*F874*G874,IF(AND(F874,H874),C874*E874*F874*H874,IF(AND(G874,H874),C874*E874*G874*H874,IF(F874,C874*E874*F874,IF(G874,C874*E874*G874,IF(H874,C874*E874*H874,C874*E874))))))),2)</f>
        <v>-2.21</v>
      </c>
      <c r="J874" s="532" t="s">
        <v>102</v>
      </c>
      <c r="K874" s="111"/>
      <c r="L874" s="81"/>
      <c r="M874" s="111"/>
    </row>
    <row r="875" spans="1:13" s="525" customFormat="1" ht="16.5" hidden="1" customHeight="1">
      <c r="A875" s="81"/>
      <c r="B875" s="111" t="s">
        <v>744</v>
      </c>
      <c r="C875" s="515">
        <v>1</v>
      </c>
      <c r="D875" s="553" t="s">
        <v>265</v>
      </c>
      <c r="E875" s="534">
        <v>2</v>
      </c>
      <c r="F875" s="113">
        <v>1.2</v>
      </c>
      <c r="G875" s="113">
        <v>0</v>
      </c>
      <c r="H875" s="113">
        <v>1.2</v>
      </c>
      <c r="I875" s="523">
        <f>-ROUND(IF(AND(F875:H875),C875*E875*F875*G875*H875,IF(AND(F875,G875),C875*E875*F875*G875,IF(AND(F875,H875),C875*E875*F875*H875,IF(AND(G875,H875),C875*E875*G875*H875,IF(F875,C875*E875*F875,IF(G875,C875*E875*G875,IF(H875,C875*E875*H875,C875*E875))))))),2)</f>
        <v>-2.88</v>
      </c>
      <c r="J875" s="532" t="s">
        <v>102</v>
      </c>
      <c r="K875" s="111"/>
      <c r="L875" s="81"/>
      <c r="M875" s="111"/>
    </row>
    <row r="876" spans="1:13" s="525" customFormat="1" ht="16.5" hidden="1" customHeight="1">
      <c r="A876" s="81"/>
      <c r="B876" s="526"/>
      <c r="C876" s="527"/>
      <c r="D876" s="528"/>
      <c r="E876" s="577"/>
      <c r="F876" s="530"/>
      <c r="G876" s="530"/>
      <c r="H876" s="530"/>
      <c r="I876" s="531"/>
      <c r="J876" s="532"/>
      <c r="K876" s="111"/>
      <c r="L876" s="517"/>
      <c r="M876" s="111"/>
    </row>
    <row r="877" spans="1:13" hidden="1">
      <c r="A877" s="81"/>
      <c r="B877" s="111"/>
      <c r="C877" s="112"/>
      <c r="D877" s="533"/>
      <c r="E877" s="534"/>
      <c r="F877" s="113"/>
      <c r="G877" s="539"/>
      <c r="H877" s="81"/>
      <c r="I877" s="531"/>
      <c r="J877" s="532" t="s">
        <v>102</v>
      </c>
      <c r="K877" s="12">
        <f>'DATA 2024-25'!F875</f>
        <v>199.95</v>
      </c>
      <c r="L877" s="517" t="s">
        <v>267</v>
      </c>
      <c r="M877" s="11">
        <f>ROUND(I877*K877,0)</f>
        <v>0</v>
      </c>
    </row>
    <row r="878" spans="1:13" ht="94.5" hidden="1" customHeight="1">
      <c r="A878" s="81">
        <v>8</v>
      </c>
      <c r="B878" s="910" t="s">
        <v>939</v>
      </c>
      <c r="C878" s="910"/>
      <c r="D878" s="910"/>
      <c r="E878" s="910"/>
      <c r="F878" s="910"/>
      <c r="G878" s="910"/>
      <c r="H878" s="910"/>
      <c r="I878" s="515"/>
      <c r="J878" s="516"/>
      <c r="K878" s="81"/>
      <c r="L878" s="517"/>
      <c r="M878" s="110"/>
    </row>
    <row r="879" spans="1:13" hidden="1">
      <c r="A879" s="81"/>
      <c r="B879" s="473" t="s">
        <v>1895</v>
      </c>
      <c r="C879" s="565"/>
      <c r="D879" s="566"/>
      <c r="E879" s="567"/>
      <c r="F879" s="473"/>
      <c r="G879" s="473"/>
      <c r="H879" s="473"/>
      <c r="I879" s="515"/>
      <c r="J879" s="516"/>
      <c r="K879" s="81"/>
      <c r="L879" s="517"/>
      <c r="M879" s="110"/>
    </row>
    <row r="880" spans="1:13" ht="16.5" hidden="1" customHeight="1">
      <c r="A880" s="81"/>
      <c r="B880" s="593" t="s">
        <v>1878</v>
      </c>
      <c r="C880" s="594">
        <v>1</v>
      </c>
      <c r="D880" s="595" t="s">
        <v>265</v>
      </c>
      <c r="E880" s="596">
        <v>1</v>
      </c>
      <c r="F880" s="597">
        <v>3.37</v>
      </c>
      <c r="G880" s="597">
        <v>3.37</v>
      </c>
      <c r="H880" s="113">
        <v>0</v>
      </c>
      <c r="I880" s="531">
        <f t="shared" ref="I880:I885" si="85">ROUND(IF(AND(F880:H880),C880*E880*F880*G880*H880,IF(AND(F880,G880),C880*E880*F880*G880,IF(AND(F880,H880),C880*E880*F880*H880,IF(AND(G880,H880),C880*E880*G880*H880,IF(F880,C880*E880*F880,IF(G880,C880*E880*G880,IF(H880,C880*E880*H880,C880*E880))))))),2)</f>
        <v>11.36</v>
      </c>
      <c r="J880" s="587" t="s">
        <v>102</v>
      </c>
      <c r="K880" s="111"/>
      <c r="L880" s="81"/>
      <c r="M880" s="111"/>
    </row>
    <row r="881" spans="1:13" ht="16.5" hidden="1" customHeight="1">
      <c r="A881" s="81"/>
      <c r="B881" s="593" t="s">
        <v>1841</v>
      </c>
      <c r="C881" s="594">
        <v>1</v>
      </c>
      <c r="D881" s="595" t="s">
        <v>265</v>
      </c>
      <c r="E881" s="596">
        <v>1</v>
      </c>
      <c r="F881" s="597">
        <v>1.8</v>
      </c>
      <c r="G881" s="597">
        <v>1.2</v>
      </c>
      <c r="H881" s="113">
        <v>0</v>
      </c>
      <c r="I881" s="531">
        <f t="shared" si="85"/>
        <v>2.16</v>
      </c>
      <c r="J881" s="587" t="s">
        <v>102</v>
      </c>
      <c r="K881" s="111"/>
      <c r="L881" s="81"/>
      <c r="M881" s="111"/>
    </row>
    <row r="882" spans="1:13" ht="16.5" hidden="1" customHeight="1">
      <c r="A882" s="81"/>
      <c r="B882" s="593" t="s">
        <v>1882</v>
      </c>
      <c r="C882" s="594">
        <v>1</v>
      </c>
      <c r="D882" s="595" t="s">
        <v>265</v>
      </c>
      <c r="E882" s="596">
        <v>1</v>
      </c>
      <c r="F882" s="597">
        <v>6</v>
      </c>
      <c r="G882" s="597">
        <v>0</v>
      </c>
      <c r="H882" s="113">
        <v>1.05</v>
      </c>
      <c r="I882" s="531">
        <f t="shared" ref="I882" si="86">ROUND(IF(AND(F882:H882),C882*E882*F882*G882*H882,IF(AND(F882,G882),C882*E882*F882*G882,IF(AND(F882,H882),C882*E882*F882*H882,IF(AND(G882,H882),C882*E882*G882*H882,IF(F882,C882*E882*F882,IF(G882,C882*E882*G882,IF(H882,C882*E882*H882,C882*E882))))))),2)</f>
        <v>6.3</v>
      </c>
      <c r="J882" s="587" t="s">
        <v>102</v>
      </c>
      <c r="K882" s="111"/>
      <c r="L882" s="81"/>
      <c r="M882" s="111"/>
    </row>
    <row r="883" spans="1:13" ht="16.5" hidden="1" customHeight="1">
      <c r="A883" s="81"/>
      <c r="B883" s="593" t="s">
        <v>1879</v>
      </c>
      <c r="C883" s="594">
        <v>1</v>
      </c>
      <c r="D883" s="595" t="s">
        <v>265</v>
      </c>
      <c r="E883" s="596">
        <v>1</v>
      </c>
      <c r="F883" s="597">
        <v>1.47</v>
      </c>
      <c r="G883" s="597">
        <v>2.0499999999999998</v>
      </c>
      <c r="H883" s="113">
        <v>0</v>
      </c>
      <c r="I883" s="531">
        <f t="shared" si="85"/>
        <v>3.01</v>
      </c>
      <c r="J883" s="587" t="s">
        <v>102</v>
      </c>
      <c r="K883" s="111"/>
      <c r="L883" s="81"/>
      <c r="M883" s="111"/>
    </row>
    <row r="884" spans="1:13" ht="16.5" hidden="1" customHeight="1">
      <c r="A884" s="81"/>
      <c r="B884" s="593"/>
      <c r="C884" s="594">
        <v>1</v>
      </c>
      <c r="D884" s="595" t="s">
        <v>265</v>
      </c>
      <c r="E884" s="596">
        <v>1</v>
      </c>
      <c r="F884" s="597">
        <v>3.37</v>
      </c>
      <c r="G884" s="597">
        <v>1.35</v>
      </c>
      <c r="H884" s="113">
        <v>0</v>
      </c>
      <c r="I884" s="531">
        <f t="shared" si="85"/>
        <v>4.55</v>
      </c>
      <c r="J884" s="587" t="s">
        <v>102</v>
      </c>
      <c r="K884" s="111"/>
      <c r="L884" s="81"/>
      <c r="M884" s="111"/>
    </row>
    <row r="885" spans="1:13" ht="16.5" hidden="1" customHeight="1">
      <c r="A885" s="81"/>
      <c r="B885" s="593" t="s">
        <v>741</v>
      </c>
      <c r="C885" s="594">
        <v>1</v>
      </c>
      <c r="D885" s="595" t="s">
        <v>265</v>
      </c>
      <c r="E885" s="596">
        <v>1</v>
      </c>
      <c r="F885" s="597">
        <v>6.75</v>
      </c>
      <c r="G885" s="597">
        <v>3.3</v>
      </c>
      <c r="H885" s="113">
        <v>0</v>
      </c>
      <c r="I885" s="531">
        <f t="shared" si="85"/>
        <v>22.28</v>
      </c>
      <c r="J885" s="587" t="s">
        <v>102</v>
      </c>
      <c r="K885" s="111"/>
      <c r="L885" s="81"/>
      <c r="M885" s="111"/>
    </row>
    <row r="886" spans="1:13" s="525" customFormat="1" ht="16.5" hidden="1" customHeight="1">
      <c r="A886" s="81"/>
      <c r="B886" s="111" t="s">
        <v>1840</v>
      </c>
      <c r="C886" s="515">
        <v>1</v>
      </c>
      <c r="D886" s="553" t="s">
        <v>265</v>
      </c>
      <c r="E886" s="534">
        <v>2</v>
      </c>
      <c r="F886" s="113">
        <v>3.37</v>
      </c>
      <c r="G886" s="113">
        <v>0</v>
      </c>
      <c r="H886" s="113">
        <v>3.15</v>
      </c>
      <c r="I886" s="523">
        <f>ROUND(IF(AND(F886:H886),C886*E886*F886*G886*H886,IF(AND(F886,G886),C886*E886*F886*G886,IF(AND(F886,H886),C886*E886*F886*H886,IF(AND(G886,H886),C886*E886*G886*H886,IF(F886,C886*E886*F886,IF(G886,C886*E886*G886,IF(H886,C886*E886*H886,C886*E886))))))),2)</f>
        <v>21.23</v>
      </c>
      <c r="J886" s="532" t="s">
        <v>102</v>
      </c>
      <c r="K886" s="111"/>
      <c r="L886" s="81"/>
      <c r="M886" s="111"/>
    </row>
    <row r="887" spans="1:13" s="525" customFormat="1" ht="16.5" hidden="1" customHeight="1">
      <c r="A887" s="81"/>
      <c r="B887" s="111"/>
      <c r="C887" s="515">
        <v>1</v>
      </c>
      <c r="D887" s="553" t="s">
        <v>265</v>
      </c>
      <c r="E887" s="534">
        <v>2</v>
      </c>
      <c r="F887" s="113">
        <v>3.37</v>
      </c>
      <c r="G887" s="113">
        <v>0</v>
      </c>
      <c r="H887" s="113">
        <v>3.15</v>
      </c>
      <c r="I887" s="523">
        <f t="shared" ref="I887" si="87">ROUND(IF(AND(F887:H887),C887*E887*F887*G887*H887,IF(AND(F887,G887),C887*E887*F887*G887,IF(AND(F887,H887),C887*E887*F887*H887,IF(AND(G887,H887),C887*E887*G887*H887,IF(F887,C887*E887*F887,IF(G887,C887*E887*G887,IF(H887,C887*E887*H887,C887*E887))))))),2)</f>
        <v>21.23</v>
      </c>
      <c r="J887" s="532" t="s">
        <v>102</v>
      </c>
      <c r="K887" s="111"/>
      <c r="L887" s="81"/>
      <c r="M887" s="111"/>
    </row>
    <row r="888" spans="1:13" s="525" customFormat="1" ht="16.5" hidden="1" customHeight="1">
      <c r="A888" s="81"/>
      <c r="B888" s="111" t="s">
        <v>565</v>
      </c>
      <c r="C888" s="515">
        <v>1</v>
      </c>
      <c r="D888" s="553" t="s">
        <v>265</v>
      </c>
      <c r="E888" s="534">
        <v>1</v>
      </c>
      <c r="F888" s="113">
        <v>1.05</v>
      </c>
      <c r="G888" s="113">
        <v>0</v>
      </c>
      <c r="H888" s="113">
        <v>2.1</v>
      </c>
      <c r="I888" s="523">
        <f>-ROUND(IF(AND(F888:H888),C888*E888*F888*G888*H888,IF(AND(F888,G888),C888*E888*F888*G888,IF(AND(F888,H888),C888*E888*F888*H888,IF(AND(G888,H888),C888*E888*G888*H888,IF(F888,C888*E888*F888,IF(G888,C888*E888*G888,IF(H888,C888*E888*H888,C888*E888))))))),2)</f>
        <v>-2.21</v>
      </c>
      <c r="J888" s="532" t="s">
        <v>102</v>
      </c>
      <c r="K888" s="111"/>
      <c r="L888" s="81"/>
      <c r="M888" s="111"/>
    </row>
    <row r="889" spans="1:13" s="525" customFormat="1" ht="16.5" hidden="1" customHeight="1">
      <c r="A889" s="81"/>
      <c r="B889" s="111" t="s">
        <v>565</v>
      </c>
      <c r="C889" s="515">
        <v>1</v>
      </c>
      <c r="D889" s="553" t="s">
        <v>265</v>
      </c>
      <c r="E889" s="534">
        <v>1</v>
      </c>
      <c r="F889" s="113">
        <v>0.75</v>
      </c>
      <c r="G889" s="113">
        <v>0</v>
      </c>
      <c r="H889" s="113">
        <v>2.1</v>
      </c>
      <c r="I889" s="523">
        <f>-ROUND(IF(AND(F889:H889),C889*E889*F889*G889*H889,IF(AND(F889,G889),C889*E889*F889*G889,IF(AND(F889,H889),C889*E889*F889*H889,IF(AND(G889,H889),C889*E889*G889*H889,IF(F889,C889*E889*F889,IF(G889,C889*E889*G889,IF(H889,C889*E889*H889,C889*E889))))))),2)</f>
        <v>-1.58</v>
      </c>
      <c r="J889" s="532" t="s">
        <v>102</v>
      </c>
      <c r="K889" s="111"/>
      <c r="L889" s="81"/>
      <c r="M889" s="111"/>
    </row>
    <row r="890" spans="1:13" s="525" customFormat="1" ht="16.5" hidden="1" customHeight="1">
      <c r="A890" s="81"/>
      <c r="B890" s="111" t="s">
        <v>744</v>
      </c>
      <c r="C890" s="515">
        <v>1</v>
      </c>
      <c r="D890" s="553" t="s">
        <v>265</v>
      </c>
      <c r="E890" s="534">
        <v>1</v>
      </c>
      <c r="F890" s="113">
        <v>1.2</v>
      </c>
      <c r="G890" s="113">
        <v>0</v>
      </c>
      <c r="H890" s="113">
        <v>1.2</v>
      </c>
      <c r="I890" s="523">
        <f>-ROUND(IF(AND(F890:H890),C890*E890*F890*G890*H890,IF(AND(F890,G890),C890*E890*F890*G890,IF(AND(F890,H890),C890*E890*F890*H890,IF(AND(G890,H890),C890*E890*G890*H890,IF(F890,C890*E890*F890,IF(G890,C890*E890*G890,IF(H890,C890*E890*H890,C890*E890))))))),2)</f>
        <v>-1.44</v>
      </c>
      <c r="J890" s="532" t="s">
        <v>102</v>
      </c>
      <c r="K890" s="111"/>
      <c r="L890" s="81"/>
      <c r="M890" s="111"/>
    </row>
    <row r="891" spans="1:13" s="525" customFormat="1" ht="16.5" hidden="1" customHeight="1">
      <c r="A891" s="81"/>
      <c r="B891" s="111" t="s">
        <v>1841</v>
      </c>
      <c r="C891" s="515">
        <v>1</v>
      </c>
      <c r="D891" s="553" t="s">
        <v>265</v>
      </c>
      <c r="E891" s="534">
        <v>1</v>
      </c>
      <c r="F891" s="113">
        <v>1.8</v>
      </c>
      <c r="G891" s="113">
        <v>0</v>
      </c>
      <c r="H891" s="113">
        <v>0.75</v>
      </c>
      <c r="I891" s="523">
        <f t="shared" ref="I891:I892" si="88">ROUND(IF(AND(F891:H891),C891*E891*F891*G891*H891,IF(AND(F891,G891),C891*E891*F891*G891,IF(AND(F891,H891),C891*E891*F891*H891,IF(AND(G891,H891),C891*E891*G891*H891,IF(F891,C891*E891*F891,IF(G891,C891*E891*G891,IF(H891,C891*E891*H891,C891*E891))))))),2)</f>
        <v>1.35</v>
      </c>
      <c r="J891" s="532" t="s">
        <v>102</v>
      </c>
      <c r="K891" s="111"/>
      <c r="L891" s="81"/>
      <c r="M891" s="111"/>
    </row>
    <row r="892" spans="1:13" s="525" customFormat="1" ht="16.5" hidden="1" customHeight="1">
      <c r="A892" s="81"/>
      <c r="B892" s="111"/>
      <c r="C892" s="515">
        <v>1</v>
      </c>
      <c r="D892" s="553" t="s">
        <v>265</v>
      </c>
      <c r="E892" s="534">
        <v>2</v>
      </c>
      <c r="F892" s="113">
        <v>1.2</v>
      </c>
      <c r="G892" s="113">
        <v>0</v>
      </c>
      <c r="H892" s="113">
        <v>3.15</v>
      </c>
      <c r="I892" s="523">
        <f t="shared" si="88"/>
        <v>7.56</v>
      </c>
      <c r="J892" s="532" t="s">
        <v>102</v>
      </c>
      <c r="K892" s="111"/>
      <c r="L892" s="81"/>
      <c r="M892" s="111"/>
    </row>
    <row r="893" spans="1:13" s="525" customFormat="1" ht="16.5" hidden="1" customHeight="1">
      <c r="A893" s="81"/>
      <c r="B893" s="111" t="s">
        <v>565</v>
      </c>
      <c r="C893" s="515">
        <v>1</v>
      </c>
      <c r="D893" s="553" t="s">
        <v>265</v>
      </c>
      <c r="E893" s="534">
        <v>1</v>
      </c>
      <c r="F893" s="113">
        <v>0.75</v>
      </c>
      <c r="G893" s="113">
        <v>0</v>
      </c>
      <c r="H893" s="113">
        <v>2.1</v>
      </c>
      <c r="I893" s="523">
        <f>-ROUND(IF(AND(F893:H893),C893*E893*F893*G893*H893,IF(AND(F893,G893),C893*E893*F893*G893,IF(AND(F893,H893),C893*E893*F893*H893,IF(AND(G893,H893),C893*E893*G893*H893,IF(F893,C893*E893*F893,IF(G893,C893*E893*G893,IF(H893,C893*E893*H893,C893*E893))))))),2)</f>
        <v>-1.58</v>
      </c>
      <c r="J893" s="532" t="s">
        <v>102</v>
      </c>
      <c r="K893" s="111"/>
      <c r="L893" s="81"/>
      <c r="M893" s="111"/>
    </row>
    <row r="894" spans="1:13" s="525" customFormat="1" ht="16.5" hidden="1" customHeight="1">
      <c r="A894" s="81"/>
      <c r="B894" s="111" t="s">
        <v>567</v>
      </c>
      <c r="C894" s="515">
        <v>1</v>
      </c>
      <c r="D894" s="553" t="s">
        <v>265</v>
      </c>
      <c r="E894" s="534">
        <v>1</v>
      </c>
      <c r="F894" s="113">
        <v>0.6</v>
      </c>
      <c r="G894" s="113">
        <v>0</v>
      </c>
      <c r="H894" s="113">
        <v>0.3</v>
      </c>
      <c r="I894" s="523">
        <f>-ROUND(IF(AND(F894:H894),C894*E894*F894*G894*H894,IF(AND(F894,G894),C894*E894*F894*G894,IF(AND(F894,H894),C894*E894*F894*H894,IF(AND(G894,H894),C894*E894*G894*H894,IF(F894,C894*E894*F894,IF(G894,C894*E894*G894,IF(H894,C894*E894*H894,C894*E894))))))),2)</f>
        <v>-0.18</v>
      </c>
      <c r="J894" s="532" t="s">
        <v>102</v>
      </c>
      <c r="K894" s="111"/>
      <c r="L894" s="81"/>
      <c r="M894" s="111"/>
    </row>
    <row r="895" spans="1:13" s="525" customFormat="1" ht="16.5" hidden="1" customHeight="1">
      <c r="A895" s="81"/>
      <c r="B895" s="111" t="s">
        <v>1842</v>
      </c>
      <c r="C895" s="515">
        <v>1</v>
      </c>
      <c r="D895" s="553" t="s">
        <v>265</v>
      </c>
      <c r="E895" s="534">
        <v>1</v>
      </c>
      <c r="F895" s="113">
        <v>4.47</v>
      </c>
      <c r="G895" s="113">
        <v>0</v>
      </c>
      <c r="H895" s="113">
        <v>3.15</v>
      </c>
      <c r="I895" s="523">
        <f t="shared" ref="I895:I899" si="89">ROUND(IF(AND(F895:H895),C895*E895*F895*G895*H895,IF(AND(F895,G895),C895*E895*F895*G895,IF(AND(F895,H895),C895*E895*F895*H895,IF(AND(G895,H895),C895*E895*G895*H895,IF(F895,C895*E895*F895,IF(G895,C895*E895*G895,IF(H895,C895*E895*H895,C895*E895))))))),2)</f>
        <v>14.08</v>
      </c>
      <c r="J895" s="532" t="s">
        <v>102</v>
      </c>
      <c r="K895" s="111"/>
      <c r="L895" s="81"/>
      <c r="M895" s="111"/>
    </row>
    <row r="896" spans="1:13" s="525" customFormat="1" ht="16.5" hidden="1" customHeight="1">
      <c r="A896" s="81"/>
      <c r="B896" s="111"/>
      <c r="C896" s="515">
        <v>1</v>
      </c>
      <c r="D896" s="553" t="s">
        <v>265</v>
      </c>
      <c r="E896" s="534">
        <v>1</v>
      </c>
      <c r="F896" s="113">
        <v>3.37</v>
      </c>
      <c r="G896" s="113">
        <v>0</v>
      </c>
      <c r="H896" s="113">
        <v>3.15</v>
      </c>
      <c r="I896" s="523">
        <f t="shared" si="89"/>
        <v>10.62</v>
      </c>
      <c r="J896" s="532" t="s">
        <v>102</v>
      </c>
      <c r="K896" s="111"/>
      <c r="L896" s="81"/>
      <c r="M896" s="111"/>
    </row>
    <row r="897" spans="1:13" s="525" customFormat="1" ht="16.5" hidden="1" customHeight="1">
      <c r="A897" s="81"/>
      <c r="B897" s="111"/>
      <c r="C897" s="515">
        <v>1</v>
      </c>
      <c r="D897" s="553" t="s">
        <v>265</v>
      </c>
      <c r="E897" s="534">
        <v>1</v>
      </c>
      <c r="F897" s="113">
        <v>2.0699999999999998</v>
      </c>
      <c r="G897" s="113">
        <v>0</v>
      </c>
      <c r="H897" s="113">
        <v>3.15</v>
      </c>
      <c r="I897" s="523">
        <f t="shared" si="89"/>
        <v>6.52</v>
      </c>
      <c r="J897" s="532" t="s">
        <v>102</v>
      </c>
      <c r="K897" s="111"/>
      <c r="L897" s="81"/>
      <c r="M897" s="111"/>
    </row>
    <row r="898" spans="1:13" s="525" customFormat="1" ht="16.5" hidden="1" customHeight="1">
      <c r="A898" s="81"/>
      <c r="B898" s="111"/>
      <c r="C898" s="515">
        <v>1</v>
      </c>
      <c r="D898" s="553" t="s">
        <v>265</v>
      </c>
      <c r="E898" s="534">
        <v>1</v>
      </c>
      <c r="F898" s="113">
        <v>0.9</v>
      </c>
      <c r="G898" s="113">
        <v>0</v>
      </c>
      <c r="H898" s="113">
        <v>3.15</v>
      </c>
      <c r="I898" s="523">
        <f t="shared" si="89"/>
        <v>2.84</v>
      </c>
      <c r="J898" s="532" t="s">
        <v>102</v>
      </c>
      <c r="K898" s="111"/>
      <c r="L898" s="81"/>
      <c r="M898" s="111"/>
    </row>
    <row r="899" spans="1:13" s="525" customFormat="1" ht="16.5" hidden="1" customHeight="1">
      <c r="A899" s="81"/>
      <c r="B899" s="111"/>
      <c r="C899" s="515">
        <v>1</v>
      </c>
      <c r="D899" s="553" t="s">
        <v>265</v>
      </c>
      <c r="E899" s="534">
        <v>1</v>
      </c>
      <c r="F899" s="113">
        <v>0.55000000000000004</v>
      </c>
      <c r="G899" s="113">
        <v>0</v>
      </c>
      <c r="H899" s="113">
        <v>3.15</v>
      </c>
      <c r="I899" s="523">
        <f t="shared" si="89"/>
        <v>1.73</v>
      </c>
      <c r="J899" s="532" t="s">
        <v>102</v>
      </c>
      <c r="K899" s="111"/>
      <c r="L899" s="81"/>
      <c r="M899" s="111"/>
    </row>
    <row r="900" spans="1:13" s="525" customFormat="1" ht="16.5" hidden="1" customHeight="1">
      <c r="A900" s="81"/>
      <c r="B900" s="111" t="s">
        <v>565</v>
      </c>
      <c r="C900" s="515">
        <v>1</v>
      </c>
      <c r="D900" s="553" t="s">
        <v>265</v>
      </c>
      <c r="E900" s="534">
        <v>1</v>
      </c>
      <c r="F900" s="113">
        <v>1.05</v>
      </c>
      <c r="G900" s="113">
        <v>0</v>
      </c>
      <c r="H900" s="113">
        <v>2.1</v>
      </c>
      <c r="I900" s="523">
        <f>-ROUND(IF(AND(F900:H900),C900*E900*F900*G900*H900,IF(AND(F900,G900),C900*E900*F900*G900,IF(AND(F900,H900),C900*E900*F900*H900,IF(AND(G900,H900),C900*E900*G900*H900,IF(F900,C900*E900*F900,IF(G900,C900*E900*G900,IF(H900,C900*E900*H900,C900*E900))))))),2)</f>
        <v>-2.21</v>
      </c>
      <c r="J900" s="532" t="s">
        <v>102</v>
      </c>
      <c r="K900" s="111"/>
      <c r="L900" s="81"/>
      <c r="M900" s="111"/>
    </row>
    <row r="901" spans="1:13" s="525" customFormat="1" ht="16.5" hidden="1" customHeight="1">
      <c r="A901" s="81"/>
      <c r="B901" s="111" t="s">
        <v>744</v>
      </c>
      <c r="C901" s="515">
        <v>1</v>
      </c>
      <c r="D901" s="553" t="s">
        <v>265</v>
      </c>
      <c r="E901" s="534">
        <v>1</v>
      </c>
      <c r="F901" s="113">
        <v>1.2</v>
      </c>
      <c r="G901" s="113">
        <v>0</v>
      </c>
      <c r="H901" s="113">
        <v>1.2</v>
      </c>
      <c r="I901" s="523">
        <f>-ROUND(IF(AND(F901:H901),C901*E901*F901*G901*H901,IF(AND(F901,G901),C901*E901*F901*G901,IF(AND(F901,H901),C901*E901*F901*H901,IF(AND(G901,H901),C901*E901*G901*H901,IF(F901,C901*E901*F901,IF(G901,C901*E901*G901,IF(H901,C901*E901*H901,C901*E901))))))),2)</f>
        <v>-1.44</v>
      </c>
      <c r="J901" s="532" t="s">
        <v>102</v>
      </c>
      <c r="K901" s="111"/>
      <c r="L901" s="81"/>
      <c r="M901" s="111"/>
    </row>
    <row r="902" spans="1:13" s="525" customFormat="1" ht="16.5" hidden="1" customHeight="1">
      <c r="A902" s="81"/>
      <c r="B902" s="111" t="s">
        <v>741</v>
      </c>
      <c r="C902" s="515">
        <v>1</v>
      </c>
      <c r="D902" s="553" t="s">
        <v>265</v>
      </c>
      <c r="E902" s="534">
        <v>2</v>
      </c>
      <c r="F902" s="113">
        <v>6.75</v>
      </c>
      <c r="G902" s="113">
        <v>0</v>
      </c>
      <c r="H902" s="113">
        <v>3.15</v>
      </c>
      <c r="I902" s="523">
        <f t="shared" ref="I902:I903" si="90">ROUND(IF(AND(F902:H902),C902*E902*F902*G902*H902,IF(AND(F902,G902),C902*E902*F902*G902,IF(AND(F902,H902),C902*E902*F902*H902,IF(AND(G902,H902),C902*E902*G902*H902,IF(F902,C902*E902*F902,IF(G902,C902*E902*G902,IF(H902,C902*E902*H902,C902*E902))))))),2)</f>
        <v>42.53</v>
      </c>
      <c r="J902" s="532" t="s">
        <v>102</v>
      </c>
      <c r="K902" s="111"/>
      <c r="L902" s="81"/>
      <c r="M902" s="111"/>
    </row>
    <row r="903" spans="1:13" s="525" customFormat="1" ht="16.5" hidden="1" customHeight="1">
      <c r="A903" s="81"/>
      <c r="B903" s="111"/>
      <c r="C903" s="515">
        <v>1</v>
      </c>
      <c r="D903" s="553" t="s">
        <v>265</v>
      </c>
      <c r="E903" s="534">
        <v>2</v>
      </c>
      <c r="F903" s="113">
        <v>3.3</v>
      </c>
      <c r="G903" s="113">
        <v>0</v>
      </c>
      <c r="H903" s="113">
        <v>3.15</v>
      </c>
      <c r="I903" s="523">
        <f t="shared" si="90"/>
        <v>20.79</v>
      </c>
      <c r="J903" s="532" t="s">
        <v>102</v>
      </c>
      <c r="K903" s="111"/>
      <c r="L903" s="81"/>
      <c r="M903" s="111"/>
    </row>
    <row r="904" spans="1:13" s="525" customFormat="1" ht="16.5" hidden="1" customHeight="1">
      <c r="A904" s="81"/>
      <c r="B904" s="111" t="s">
        <v>1897</v>
      </c>
      <c r="C904" s="515">
        <v>1</v>
      </c>
      <c r="D904" s="553" t="s">
        <v>265</v>
      </c>
      <c r="E904" s="534">
        <v>1</v>
      </c>
      <c r="F904" s="113">
        <v>1.8</v>
      </c>
      <c r="G904" s="113">
        <v>0</v>
      </c>
      <c r="H904" s="113">
        <v>2.1</v>
      </c>
      <c r="I904" s="523">
        <f>-ROUND(IF(AND(F904:H904),C904*E904*F904*G904*H904,IF(AND(F904,G904),C904*E904*F904*G904,IF(AND(F904,H904),C904*E904*F904*H904,IF(AND(G904,H904),C904*E904*G904*H904,IF(F904,C904*E904*F904,IF(G904,C904*E904*G904,IF(H904,C904*E904*H904,C904*E904))))))),2)</f>
        <v>-3.78</v>
      </c>
      <c r="J904" s="532" t="s">
        <v>102</v>
      </c>
      <c r="K904" s="111"/>
      <c r="L904" s="81"/>
      <c r="M904" s="111"/>
    </row>
    <row r="905" spans="1:13" s="525" customFormat="1" ht="16.5" hidden="1" customHeight="1">
      <c r="A905" s="81"/>
      <c r="B905" s="111" t="s">
        <v>565</v>
      </c>
      <c r="C905" s="515">
        <v>1</v>
      </c>
      <c r="D905" s="553" t="s">
        <v>265</v>
      </c>
      <c r="E905" s="534">
        <v>1</v>
      </c>
      <c r="F905" s="113">
        <v>1.05</v>
      </c>
      <c r="G905" s="113">
        <v>0</v>
      </c>
      <c r="H905" s="113">
        <v>2.1</v>
      </c>
      <c r="I905" s="523">
        <f>-ROUND(IF(AND(F905:H905),C905*E905*F905*G905*H905,IF(AND(F905,G905),C905*E905*F905*G905,IF(AND(F905,H905),C905*E905*F905*H905,IF(AND(G905,H905),C905*E905*G905*H905,IF(F905,C905*E905*F905,IF(G905,C905*E905*G905,IF(H905,C905*E905*H905,C905*E905))))))),2)</f>
        <v>-2.21</v>
      </c>
      <c r="J905" s="532" t="s">
        <v>102</v>
      </c>
      <c r="K905" s="111"/>
      <c r="L905" s="81"/>
      <c r="M905" s="111"/>
    </row>
    <row r="906" spans="1:13" s="525" customFormat="1" ht="16.5" hidden="1" customHeight="1">
      <c r="A906" s="81"/>
      <c r="B906" s="111" t="s">
        <v>744</v>
      </c>
      <c r="C906" s="515">
        <v>1</v>
      </c>
      <c r="D906" s="553" t="s">
        <v>265</v>
      </c>
      <c r="E906" s="534">
        <v>2</v>
      </c>
      <c r="F906" s="113">
        <v>1.2</v>
      </c>
      <c r="G906" s="113">
        <v>0</v>
      </c>
      <c r="H906" s="113">
        <v>1.2</v>
      </c>
      <c r="I906" s="523">
        <f>-ROUND(IF(AND(F906:H906),C906*E906*F906*G906*H906,IF(AND(F906,G906),C906*E906*F906*G906,IF(AND(F906,H906),C906*E906*F906*H906,IF(AND(G906,H906),C906*E906*G906*H906,IF(F906,C906*E906*F906,IF(G906,C906*E906*G906,IF(H906,C906*E906*H906,C906*E906))))))),2)</f>
        <v>-2.88</v>
      </c>
      <c r="J906" s="532" t="s">
        <v>102</v>
      </c>
      <c r="K906" s="111"/>
      <c r="L906" s="81"/>
      <c r="M906" s="111"/>
    </row>
    <row r="907" spans="1:13" s="525" customFormat="1" ht="16.5" hidden="1" customHeight="1">
      <c r="A907" s="81"/>
      <c r="B907" s="526"/>
      <c r="C907" s="527"/>
      <c r="D907" s="528"/>
      <c r="E907" s="529"/>
      <c r="F907" s="530"/>
      <c r="G907" s="530"/>
      <c r="H907" s="530"/>
      <c r="I907" s="531">
        <f>SUBTOTAL(9,I880:I906)</f>
        <v>0</v>
      </c>
      <c r="J907" s="532" t="s">
        <v>102</v>
      </c>
      <c r="K907" s="111"/>
      <c r="L907" s="517"/>
      <c r="M907" s="111"/>
    </row>
    <row r="908" spans="1:13" hidden="1">
      <c r="A908" s="81"/>
      <c r="B908" s="111"/>
      <c r="C908" s="112"/>
      <c r="D908" s="533"/>
      <c r="E908" s="534"/>
      <c r="F908" s="113"/>
      <c r="G908" s="539"/>
      <c r="H908" s="81" t="s">
        <v>2066</v>
      </c>
      <c r="I908" s="531"/>
      <c r="J908" s="532" t="s">
        <v>102</v>
      </c>
      <c r="K908" s="12">
        <f>'DATA 2024-25'!F911</f>
        <v>201.45</v>
      </c>
      <c r="L908" s="517" t="s">
        <v>267</v>
      </c>
      <c r="M908" s="11">
        <f>ROUND(I908*K908,0)</f>
        <v>0</v>
      </c>
    </row>
    <row r="909" spans="1:13" ht="94.5" hidden="1" customHeight="1">
      <c r="A909" s="81">
        <v>9</v>
      </c>
      <c r="B909" s="910" t="s">
        <v>940</v>
      </c>
      <c r="C909" s="910"/>
      <c r="D909" s="910"/>
      <c r="E909" s="910"/>
      <c r="F909" s="910"/>
      <c r="G909" s="910"/>
      <c r="H909" s="910"/>
      <c r="I909" s="515"/>
      <c r="J909" s="516"/>
      <c r="K909" s="81"/>
      <c r="L909" s="517"/>
      <c r="M909" s="110"/>
    </row>
    <row r="910" spans="1:13" hidden="1">
      <c r="A910" s="81"/>
      <c r="B910" s="473" t="s">
        <v>1896</v>
      </c>
      <c r="C910" s="565"/>
      <c r="D910" s="566"/>
      <c r="E910" s="567"/>
      <c r="F910" s="473"/>
      <c r="G910" s="473"/>
      <c r="H910" s="473"/>
      <c r="I910" s="515"/>
      <c r="J910" s="516"/>
      <c r="K910" s="81"/>
      <c r="L910" s="517"/>
      <c r="M910" s="110"/>
    </row>
    <row r="911" spans="1:13" ht="16.5" hidden="1" customHeight="1">
      <c r="A911" s="81"/>
      <c r="B911" s="111" t="s">
        <v>1796</v>
      </c>
      <c r="C911" s="515">
        <v>1</v>
      </c>
      <c r="D911" s="553" t="s">
        <v>265</v>
      </c>
      <c r="E911" s="534">
        <v>2</v>
      </c>
      <c r="F911" s="113">
        <v>7.23</v>
      </c>
      <c r="G911" s="113">
        <v>0</v>
      </c>
      <c r="H911" s="113">
        <v>3.2</v>
      </c>
      <c r="I911" s="523">
        <f t="shared" ref="I911:I912" si="91">ROUND(IF(AND(F911:H911),C911*E911*F911*G911*H911,IF(AND(F911,G911),C911*E911*F911*G911,IF(AND(F911,H911),C911*E911*F911*H911,IF(AND(G911,H911),C911*E911*G911*H911,IF(F911,C911*E911*F911,IF(G911,C911*E911*G911,IF(H911,C911*E911*H911,C911*E911))))))),2)</f>
        <v>46.27</v>
      </c>
      <c r="J911" s="532" t="s">
        <v>102</v>
      </c>
      <c r="K911" s="111"/>
      <c r="L911" s="81"/>
      <c r="M911" s="111"/>
    </row>
    <row r="912" spans="1:13" ht="16.5" hidden="1" customHeight="1">
      <c r="A912" s="81"/>
      <c r="B912" s="111" t="s">
        <v>1881</v>
      </c>
      <c r="C912" s="515">
        <v>1</v>
      </c>
      <c r="D912" s="553" t="s">
        <v>265</v>
      </c>
      <c r="E912" s="534">
        <v>2</v>
      </c>
      <c r="F912" s="113">
        <v>7.21</v>
      </c>
      <c r="G912" s="113">
        <v>0</v>
      </c>
      <c r="H912" s="113">
        <v>3.2</v>
      </c>
      <c r="I912" s="523">
        <f t="shared" si="91"/>
        <v>46.14</v>
      </c>
      <c r="J912" s="532" t="s">
        <v>102</v>
      </c>
      <c r="K912" s="111"/>
      <c r="L912" s="81"/>
      <c r="M912" s="111"/>
    </row>
    <row r="913" spans="1:15" ht="16.5" hidden="1" customHeight="1">
      <c r="A913" s="81"/>
      <c r="B913" s="593" t="s">
        <v>1880</v>
      </c>
      <c r="C913" s="594">
        <v>1</v>
      </c>
      <c r="D913" s="595" t="s">
        <v>265</v>
      </c>
      <c r="E913" s="596">
        <v>3</v>
      </c>
      <c r="F913" s="597">
        <v>1.5</v>
      </c>
      <c r="G913" s="597">
        <v>0.55000000000000004</v>
      </c>
      <c r="H913" s="113">
        <v>0</v>
      </c>
      <c r="I913" s="531">
        <f>ROUND(IF(AND(F913:H913),C913*E913*F913*G913*H913,IF(AND(F913,G913),C913*E913*F913*G913,IF(AND(F913,H913),C913*E913*F913*H913,IF(AND(G913,H913),C913*E913*G913*H913,IF(F913,C913*E913*F913,IF(G913,C913*E913*G913,IF(H913,C913*E913*H913,C913*E913))))))),2)</f>
        <v>2.48</v>
      </c>
      <c r="J913" s="587" t="s">
        <v>102</v>
      </c>
      <c r="K913" s="111"/>
      <c r="L913" s="81"/>
      <c r="M913" s="111"/>
    </row>
    <row r="914" spans="1:15" ht="16.5" hidden="1" customHeight="1">
      <c r="A914" s="81"/>
      <c r="B914" s="593" t="s">
        <v>574</v>
      </c>
      <c r="C914" s="594">
        <v>1</v>
      </c>
      <c r="D914" s="595" t="s">
        <v>265</v>
      </c>
      <c r="E914" s="596">
        <v>1</v>
      </c>
      <c r="F914" s="597">
        <v>6.15</v>
      </c>
      <c r="G914" s="597">
        <v>1.65</v>
      </c>
      <c r="H914" s="113">
        <v>0</v>
      </c>
      <c r="I914" s="531">
        <f>ROUND(IF(AND(F914:H914),C914*E914*F914*G914*H914,IF(AND(F914,G914),C914*E914*F914*G914,IF(AND(F914,H914),C914*E914*F914*H914,IF(AND(G914,H914),C914*E914*G914*H914,IF(F914,C914*E914*F914,IF(G914,C914*E914*G914,IF(H914,C914*E914*H914,C914*E914))))))),2)</f>
        <v>10.15</v>
      </c>
      <c r="J914" s="587" t="s">
        <v>102</v>
      </c>
      <c r="K914" s="111"/>
      <c r="L914" s="81"/>
      <c r="M914" s="111"/>
    </row>
    <row r="915" spans="1:15" s="525" customFormat="1" ht="16.5" hidden="1" customHeight="1">
      <c r="A915" s="81"/>
      <c r="B915" s="526"/>
      <c r="C915" s="527"/>
      <c r="D915" s="528"/>
      <c r="E915" s="529"/>
      <c r="F915" s="530"/>
      <c r="G915" s="530"/>
      <c r="H915" s="530"/>
      <c r="I915" s="531"/>
      <c r="J915" s="532"/>
      <c r="K915" s="111"/>
      <c r="L915" s="517"/>
      <c r="M915" s="111"/>
    </row>
    <row r="916" spans="1:15" hidden="1">
      <c r="A916" s="81"/>
      <c r="B916" s="111"/>
      <c r="C916" s="112"/>
      <c r="D916" s="533"/>
      <c r="E916" s="534"/>
      <c r="F916" s="113"/>
      <c r="G916" s="539"/>
      <c r="H916" s="81"/>
      <c r="I916" s="531"/>
      <c r="J916" s="532" t="s">
        <v>102</v>
      </c>
      <c r="K916" s="12">
        <f>'DATA 2024-25'!F926</f>
        <v>276.7</v>
      </c>
      <c r="L916" s="517" t="s">
        <v>267</v>
      </c>
      <c r="M916" s="11">
        <f>ROUND(I916*K916,0)</f>
        <v>0</v>
      </c>
    </row>
    <row r="917" spans="1:15" ht="200.25" hidden="1" customHeight="1">
      <c r="A917" s="81">
        <v>10</v>
      </c>
      <c r="B917" s="910" t="s">
        <v>1845</v>
      </c>
      <c r="C917" s="910"/>
      <c r="D917" s="910"/>
      <c r="E917" s="910"/>
      <c r="F917" s="910"/>
      <c r="G917" s="910"/>
      <c r="H917" s="910"/>
      <c r="I917" s="515"/>
      <c r="J917" s="516"/>
      <c r="K917" s="81"/>
      <c r="L917" s="517"/>
      <c r="M917" s="110"/>
    </row>
    <row r="918" spans="1:15" hidden="1">
      <c r="A918" s="81"/>
      <c r="B918" s="473" t="s">
        <v>1890</v>
      </c>
      <c r="C918" s="565"/>
      <c r="D918" s="566"/>
      <c r="E918" s="567"/>
      <c r="F918" s="473"/>
      <c r="G918" s="473"/>
      <c r="H918" s="473"/>
      <c r="I918" s="515"/>
      <c r="J918" s="516"/>
      <c r="K918" s="81"/>
      <c r="L918" s="517"/>
      <c r="M918" s="110"/>
    </row>
    <row r="919" spans="1:15" s="525" customFormat="1" ht="16.5" hidden="1" customHeight="1">
      <c r="A919" s="81"/>
      <c r="B919" s="526" t="s">
        <v>1840</v>
      </c>
      <c r="C919" s="527">
        <v>1</v>
      </c>
      <c r="D919" s="528" t="s">
        <v>265</v>
      </c>
      <c r="E919" s="529">
        <v>1</v>
      </c>
      <c r="F919" s="530">
        <v>3.37</v>
      </c>
      <c r="G919" s="530">
        <v>3.37</v>
      </c>
      <c r="H919" s="530">
        <v>0</v>
      </c>
      <c r="I919" s="531">
        <f>ROUND(IF(AND(F919:H919),C919*E919*F919*G919*H919,IF(AND(F919,G919),C919*E919*F919*G919,IF(AND(F919,H919),C919*E919*F919*H919,IF(AND(G919,H919),C919*E919*G919*H919,IF(F919,C919*E919*F919,IF(G919,C919*E919*G919,IF(H919,C919*E919*H919,C919*E919))))))),2)</f>
        <v>11.36</v>
      </c>
      <c r="J919" s="532" t="s">
        <v>102</v>
      </c>
      <c r="K919" s="111"/>
      <c r="L919" s="81"/>
      <c r="M919" s="111"/>
    </row>
    <row r="920" spans="1:15" s="525" customFormat="1" ht="16.5" hidden="1" customHeight="1">
      <c r="A920" s="81"/>
      <c r="B920" s="526" t="s">
        <v>1877</v>
      </c>
      <c r="C920" s="527">
        <v>1</v>
      </c>
      <c r="D920" s="528" t="s">
        <v>265</v>
      </c>
      <c r="E920" s="529">
        <v>1</v>
      </c>
      <c r="F920" s="530">
        <v>6.75</v>
      </c>
      <c r="G920" s="530">
        <v>3.3</v>
      </c>
      <c r="H920" s="530">
        <v>0</v>
      </c>
      <c r="I920" s="531">
        <f>ROUND(IF(AND(F920:H920),C920*E920*F920*G920*H920,IF(AND(F920,G920),C920*E920*F920*G920,IF(AND(F920,H920),C920*E920*F920*H920,IF(AND(G920,H920),C920*E920*G920*H920,IF(F920,C920*E920*F920,IF(G920,C920*E920*G920,IF(H920,C920*E920*H920,C920*E920))))))),2)</f>
        <v>22.28</v>
      </c>
      <c r="J920" s="532" t="s">
        <v>102</v>
      </c>
      <c r="K920" s="111"/>
      <c r="L920" s="81"/>
      <c r="M920" s="111"/>
    </row>
    <row r="921" spans="1:15" s="525" customFormat="1" ht="16.5" hidden="1" customHeight="1">
      <c r="A921" s="81"/>
      <c r="B921" s="526"/>
      <c r="C921" s="527"/>
      <c r="D921" s="528"/>
      <c r="E921" s="529"/>
      <c r="F921" s="530"/>
      <c r="G921" s="530"/>
      <c r="H921" s="530"/>
      <c r="I921" s="531"/>
      <c r="J921" s="532"/>
      <c r="K921" s="111"/>
      <c r="L921" s="517"/>
      <c r="M921" s="111"/>
    </row>
    <row r="922" spans="1:15" hidden="1">
      <c r="A922" s="81"/>
      <c r="B922" s="111"/>
      <c r="C922" s="112"/>
      <c r="D922" s="533"/>
      <c r="E922" s="534"/>
      <c r="F922" s="113"/>
      <c r="G922" s="539"/>
      <c r="H922" s="81"/>
      <c r="I922" s="531"/>
      <c r="J922" s="532" t="s">
        <v>102</v>
      </c>
      <c r="K922" s="12">
        <f>'DATA 2024-25'!G1017</f>
        <v>1760.4100000000003</v>
      </c>
      <c r="L922" s="517" t="s">
        <v>267</v>
      </c>
      <c r="M922" s="11">
        <f>ROUND(I922*K922,0)</f>
        <v>0</v>
      </c>
    </row>
    <row r="923" spans="1:15" ht="69.75" hidden="1" customHeight="1">
      <c r="A923" s="81">
        <v>11</v>
      </c>
      <c r="B923" s="910" t="s">
        <v>122</v>
      </c>
      <c r="C923" s="910"/>
      <c r="D923" s="910"/>
      <c r="E923" s="910"/>
      <c r="F923" s="910"/>
      <c r="G923" s="910"/>
      <c r="H923" s="910"/>
      <c r="I923" s="515"/>
      <c r="J923" s="516"/>
      <c r="K923" s="81"/>
      <c r="L923" s="517"/>
      <c r="M923" s="110"/>
    </row>
    <row r="924" spans="1:15" s="525" customFormat="1" ht="16.5" hidden="1" customHeight="1">
      <c r="A924" s="81"/>
      <c r="B924" s="111"/>
      <c r="C924" s="547" t="s">
        <v>570</v>
      </c>
      <c r="D924" s="548"/>
      <c r="E924" s="549"/>
      <c r="F924" s="550"/>
      <c r="G924" s="550"/>
      <c r="H924" s="551"/>
      <c r="I924" s="552">
        <v>1600</v>
      </c>
      <c r="J924" s="532" t="s">
        <v>139</v>
      </c>
      <c r="K924" s="111"/>
      <c r="L924" s="81"/>
      <c r="M924" s="111"/>
    </row>
    <row r="925" spans="1:15" s="525" customFormat="1" ht="16.5" hidden="1" customHeight="1">
      <c r="A925" s="81"/>
      <c r="B925" s="111"/>
      <c r="C925" s="598"/>
      <c r="D925" s="548"/>
      <c r="E925" s="549"/>
      <c r="F925" s="550"/>
      <c r="G925" s="550"/>
      <c r="H925" s="551"/>
      <c r="I925" s="552"/>
      <c r="J925" s="532"/>
      <c r="K925" s="111"/>
      <c r="L925" s="517"/>
      <c r="M925" s="111"/>
      <c r="O925" s="599"/>
    </row>
    <row r="926" spans="1:15" s="525" customFormat="1" ht="16.5" hidden="1" customHeight="1">
      <c r="A926" s="81"/>
      <c r="B926" s="111"/>
      <c r="C926" s="547"/>
      <c r="D926" s="548"/>
      <c r="E926" s="549"/>
      <c r="F926" s="550"/>
      <c r="G926" s="550"/>
      <c r="H926" s="551"/>
      <c r="I926" s="552"/>
      <c r="J926" s="532" t="s">
        <v>139</v>
      </c>
      <c r="K926" s="111"/>
      <c r="L926" s="517"/>
      <c r="M926" s="111"/>
    </row>
    <row r="927" spans="1:15" hidden="1">
      <c r="A927" s="81"/>
      <c r="B927" s="111"/>
      <c r="C927" s="112"/>
      <c r="D927" s="533"/>
      <c r="E927" s="534"/>
      <c r="F927" s="113"/>
      <c r="G927" s="539"/>
      <c r="H927" s="81" t="s">
        <v>850</v>
      </c>
      <c r="I927" s="531">
        <f>ROUND(I926/1000,2)</f>
        <v>0</v>
      </c>
      <c r="J927" s="532" t="s">
        <v>29</v>
      </c>
      <c r="K927" s="12">
        <f>'DATA 2024-25'!F335</f>
        <v>87686.92</v>
      </c>
      <c r="L927" s="517" t="s">
        <v>275</v>
      </c>
      <c r="M927" s="11">
        <f>ROUND(I927*K927,0)</f>
        <v>0</v>
      </c>
    </row>
    <row r="928" spans="1:15" hidden="1">
      <c r="A928" s="81"/>
      <c r="B928" s="125" t="s">
        <v>1829</v>
      </c>
      <c r="C928" s="111"/>
      <c r="D928" s="111"/>
      <c r="E928" s="586"/>
      <c r="F928" s="81"/>
      <c r="G928" s="111"/>
      <c r="H928" s="81"/>
      <c r="I928" s="531"/>
      <c r="J928" s="587"/>
      <c r="K928" s="12"/>
      <c r="L928" s="517"/>
      <c r="M928" s="11"/>
    </row>
    <row r="929" spans="1:13" ht="93.75" hidden="1" customHeight="1">
      <c r="A929" s="81">
        <v>1</v>
      </c>
      <c r="B929" s="910" t="s">
        <v>2244</v>
      </c>
      <c r="C929" s="910"/>
      <c r="D929" s="910"/>
      <c r="E929" s="910"/>
      <c r="F929" s="910"/>
      <c r="G929" s="910"/>
      <c r="H929" s="910"/>
      <c r="I929" s="515"/>
      <c r="J929" s="516"/>
      <c r="K929" s="81"/>
      <c r="L929" s="517"/>
      <c r="M929" s="110"/>
    </row>
    <row r="930" spans="1:13" s="525" customFormat="1" ht="16.5" hidden="1" customHeight="1">
      <c r="A930" s="81"/>
      <c r="B930" s="111" t="s">
        <v>1378</v>
      </c>
      <c r="C930" s="515"/>
      <c r="D930" s="553"/>
      <c r="E930" s="534"/>
      <c r="F930" s="113"/>
      <c r="G930" s="113"/>
      <c r="H930" s="113"/>
      <c r="I930" s="554"/>
      <c r="J930" s="532"/>
      <c r="K930" s="111"/>
      <c r="L930" s="81"/>
      <c r="M930" s="111"/>
    </row>
    <row r="931" spans="1:13" s="525" customFormat="1" ht="16.5" hidden="1" customHeight="1">
      <c r="A931" s="81"/>
      <c r="B931" s="111" t="s">
        <v>1357</v>
      </c>
      <c r="C931" s="515">
        <v>1</v>
      </c>
      <c r="D931" s="553" t="s">
        <v>265</v>
      </c>
      <c r="E931" s="534">
        <v>4</v>
      </c>
      <c r="F931" s="113">
        <v>0.38</v>
      </c>
      <c r="G931" s="113">
        <v>0.23</v>
      </c>
      <c r="H931" s="113">
        <v>2.4</v>
      </c>
      <c r="I931" s="523">
        <f>ROUND(IF(AND(F931:H931),C931*E931*F931*G931*H931,IF(AND(F931,G931),C931*E931*F931*G931,IF(AND(F931,H931),C931*E931*F931*H931,IF(AND(G931,H931),C931*E931*G931*H931,IF(F931,C931*E931*F931,IF(G931,C931*E931*G931,IF(H931,C931*E931*H931,C931*E931))))))),2)</f>
        <v>0.84</v>
      </c>
      <c r="J931" s="532" t="s">
        <v>5</v>
      </c>
      <c r="K931" s="111"/>
      <c r="L931" s="81"/>
      <c r="M931" s="111"/>
    </row>
    <row r="932" spans="1:13" s="525" customFormat="1" ht="16.5" hidden="1" customHeight="1">
      <c r="A932" s="81"/>
      <c r="B932" s="526"/>
      <c r="C932" s="527"/>
      <c r="D932" s="528"/>
      <c r="E932" s="529"/>
      <c r="F932" s="530"/>
      <c r="G932" s="530"/>
      <c r="H932" s="530"/>
      <c r="I932" s="531"/>
      <c r="J932" s="532"/>
      <c r="K932" s="111"/>
      <c r="L932" s="517"/>
      <c r="M932" s="111"/>
    </row>
    <row r="933" spans="1:13" hidden="1">
      <c r="A933" s="81"/>
      <c r="B933" s="111"/>
      <c r="C933" s="112"/>
      <c r="D933" s="533"/>
      <c r="E933" s="534"/>
      <c r="F933" s="113"/>
      <c r="G933" s="539"/>
      <c r="H933" s="81"/>
      <c r="I933" s="531"/>
      <c r="J933" s="532" t="s">
        <v>5</v>
      </c>
      <c r="K933" s="12">
        <f>'DATA 2024-25'!G191</f>
        <v>14516.07</v>
      </c>
      <c r="L933" s="517" t="s">
        <v>266</v>
      </c>
      <c r="M933" s="11">
        <f>ROUND(I933*K933,0)</f>
        <v>0</v>
      </c>
    </row>
    <row r="934" spans="1:13" ht="17.25" hidden="1" customHeight="1">
      <c r="A934" s="81">
        <v>10</v>
      </c>
      <c r="B934" s="910" t="s">
        <v>295</v>
      </c>
      <c r="C934" s="910"/>
      <c r="D934" s="910"/>
      <c r="E934" s="910"/>
      <c r="F934" s="910"/>
      <c r="G934" s="910"/>
      <c r="H934" s="910"/>
      <c r="I934" s="515"/>
      <c r="J934" s="516"/>
      <c r="K934" s="81"/>
      <c r="L934" s="517"/>
      <c r="M934" s="110"/>
    </row>
    <row r="935" spans="1:13" s="525" customFormat="1" ht="16.5" hidden="1" customHeight="1">
      <c r="A935" s="81"/>
      <c r="B935" s="111" t="s">
        <v>1371</v>
      </c>
      <c r="C935" s="515"/>
      <c r="D935" s="553"/>
      <c r="E935" s="534"/>
      <c r="F935" s="113"/>
      <c r="G935" s="113"/>
      <c r="H935" s="113"/>
      <c r="I935" s="554"/>
      <c r="J935" s="532"/>
      <c r="K935" s="111"/>
      <c r="L935" s="81"/>
      <c r="M935" s="111"/>
    </row>
    <row r="936" spans="1:13" s="525" customFormat="1" ht="16.5" hidden="1" customHeight="1">
      <c r="A936" s="81"/>
      <c r="B936" s="111" t="s">
        <v>1358</v>
      </c>
      <c r="C936" s="515">
        <v>1</v>
      </c>
      <c r="D936" s="553" t="s">
        <v>265</v>
      </c>
      <c r="E936" s="534">
        <v>2</v>
      </c>
      <c r="F936" s="113">
        <v>4.2</v>
      </c>
      <c r="G936" s="113">
        <v>0.23</v>
      </c>
      <c r="H936" s="113">
        <v>0.3</v>
      </c>
      <c r="I936" s="523">
        <f>ROUND(IF(AND(F936:H936),C936*E936*F936*G936*H936,IF(AND(F936,G936),C936*E936*F936*G936,IF(AND(F936,H936),C936*E936*F936*H936,IF(AND(G936,H936),C936*E936*G936*H936,IF(F936,C936*E936*F936,IF(G936,C936*E936*G936,IF(H936,C936*E936*H936,C936*E936))))))),2)</f>
        <v>0.57999999999999996</v>
      </c>
      <c r="J936" s="532" t="s">
        <v>5</v>
      </c>
      <c r="K936" s="111"/>
      <c r="L936" s="81"/>
      <c r="M936" s="111"/>
    </row>
    <row r="937" spans="1:13" s="525" customFormat="1" ht="16.5" hidden="1" customHeight="1">
      <c r="A937" s="81"/>
      <c r="B937" s="111"/>
      <c r="C937" s="515">
        <v>1</v>
      </c>
      <c r="D937" s="553" t="s">
        <v>265</v>
      </c>
      <c r="E937" s="534">
        <v>2</v>
      </c>
      <c r="F937" s="113">
        <v>3.2</v>
      </c>
      <c r="G937" s="113">
        <v>0.23</v>
      </c>
      <c r="H937" s="113">
        <v>0.3</v>
      </c>
      <c r="I937" s="523">
        <f>ROUND(IF(AND(F937:H937),C937*E937*F937*G937*H937,IF(AND(F937,G937),C937*E937*F937*G937,IF(AND(F937,H937),C937*E937*F937*H937,IF(AND(G937,H937),C937*E937*G937*H937,IF(F937,C937*E937*F937,IF(G937,C937*E937*G937,IF(H937,C937*E937*H937,C937*E937))))))),2)</f>
        <v>0.44</v>
      </c>
      <c r="J937" s="532" t="s">
        <v>5</v>
      </c>
      <c r="K937" s="111"/>
      <c r="L937" s="81"/>
      <c r="M937" s="111"/>
    </row>
    <row r="938" spans="1:13" s="525" customFormat="1" ht="16.5" hidden="1" customHeight="1">
      <c r="A938" s="81"/>
      <c r="B938" s="526"/>
      <c r="C938" s="527"/>
      <c r="D938" s="528"/>
      <c r="E938" s="529"/>
      <c r="F938" s="530"/>
      <c r="G938" s="530"/>
      <c r="H938" s="530"/>
      <c r="I938" s="531"/>
      <c r="J938" s="532"/>
      <c r="K938" s="111"/>
      <c r="L938" s="517"/>
      <c r="M938" s="111"/>
    </row>
    <row r="939" spans="1:13" hidden="1">
      <c r="A939" s="81"/>
      <c r="B939" s="111"/>
      <c r="C939" s="112"/>
      <c r="D939" s="533"/>
      <c r="E939" s="534"/>
      <c r="F939" s="113"/>
      <c r="G939" s="539"/>
      <c r="H939" s="81"/>
      <c r="I939" s="531"/>
      <c r="J939" s="532" t="s">
        <v>5</v>
      </c>
      <c r="K939" s="12">
        <f>'DATA 2024-25'!G220</f>
        <v>13193.910000000002</v>
      </c>
      <c r="L939" s="517" t="s">
        <v>266</v>
      </c>
      <c r="M939" s="11">
        <f>ROUND(I939*K939,0)</f>
        <v>0</v>
      </c>
    </row>
    <row r="940" spans="1:13" ht="17.25" hidden="1" customHeight="1">
      <c r="A940" s="81">
        <v>11</v>
      </c>
      <c r="B940" s="910" t="s">
        <v>296</v>
      </c>
      <c r="C940" s="910"/>
      <c r="D940" s="910"/>
      <c r="E940" s="910"/>
      <c r="F940" s="910"/>
      <c r="G940" s="910"/>
      <c r="H940" s="910"/>
      <c r="I940" s="515"/>
      <c r="J940" s="516"/>
      <c r="K940" s="81"/>
      <c r="L940" s="517"/>
      <c r="M940" s="110"/>
    </row>
    <row r="941" spans="1:13" s="525" customFormat="1" ht="16.5" hidden="1" customHeight="1">
      <c r="A941" s="81"/>
      <c r="B941" s="111" t="s">
        <v>1294</v>
      </c>
      <c r="C941" s="515"/>
      <c r="D941" s="553"/>
      <c r="E941" s="534"/>
      <c r="F941" s="113"/>
      <c r="G941" s="113"/>
      <c r="H941" s="113"/>
      <c r="I941" s="554"/>
      <c r="J941" s="532"/>
      <c r="K941" s="111"/>
      <c r="L941" s="517"/>
      <c r="M941" s="111"/>
    </row>
    <row r="942" spans="1:13" s="525" customFormat="1" ht="16.5" hidden="1" customHeight="1">
      <c r="A942" s="81"/>
      <c r="B942" s="111" t="s">
        <v>261</v>
      </c>
      <c r="C942" s="515">
        <v>1</v>
      </c>
      <c r="D942" s="553" t="s">
        <v>265</v>
      </c>
      <c r="E942" s="534">
        <v>1</v>
      </c>
      <c r="F942" s="113">
        <v>3.23</v>
      </c>
      <c r="G942" s="113">
        <v>1.28</v>
      </c>
      <c r="H942" s="113">
        <v>0</v>
      </c>
      <c r="I942" s="523">
        <f>ROUND(IF(AND(F942:H942),C942*E942*F942*G942*H942,IF(AND(F942,G942),C942*E942*F942*G942,IF(AND(F942,H942),C942*E942*F942*H942,IF(AND(G942,H942),C942*E942*G942*H942,IF(F942,C942*E942*F942,IF(G942,C942*E942*G942,IF(H942,C942*E942*H942,C942*E942))))))),2)</f>
        <v>4.13</v>
      </c>
      <c r="J942" s="532" t="s">
        <v>102</v>
      </c>
      <c r="K942" s="111"/>
      <c r="L942" s="517"/>
      <c r="M942" s="111"/>
    </row>
    <row r="943" spans="1:13" s="525" customFormat="1" ht="16.5" hidden="1" customHeight="1">
      <c r="A943" s="81"/>
      <c r="B943" s="111" t="s">
        <v>743</v>
      </c>
      <c r="C943" s="515">
        <v>1</v>
      </c>
      <c r="D943" s="553" t="s">
        <v>265</v>
      </c>
      <c r="E943" s="534">
        <v>1</v>
      </c>
      <c r="F943" s="113">
        <v>2.72</v>
      </c>
      <c r="G943" s="113">
        <v>1</v>
      </c>
      <c r="H943" s="113">
        <v>0</v>
      </c>
      <c r="I943" s="523">
        <f>ROUND(IF(AND(F943:H943),C943*E943*F943*G943*H943,IF(AND(F943,G943),C943*E943*F943*G943,IF(AND(F943,H943),C943*E943*F943*H943,IF(AND(G943,H943),C943*E943*G943*H943,IF(F943,C943*E943*F943,IF(G943,C943*E943*G943,IF(H943,C943*E943*H943,C943*E943))))))),2)</f>
        <v>2.72</v>
      </c>
      <c r="J943" s="532" t="s">
        <v>102</v>
      </c>
      <c r="K943" s="111"/>
      <c r="L943" s="517"/>
      <c r="M943" s="111"/>
    </row>
    <row r="944" spans="1:13" s="525" customFormat="1" ht="16.5" hidden="1" customHeight="1">
      <c r="A944" s="81"/>
      <c r="B944" s="111" t="s">
        <v>1295</v>
      </c>
      <c r="C944" s="515"/>
      <c r="D944" s="553"/>
      <c r="E944" s="534"/>
      <c r="F944" s="113"/>
      <c r="G944" s="113"/>
      <c r="H944" s="113"/>
      <c r="I944" s="554"/>
      <c r="J944" s="532"/>
      <c r="K944" s="111"/>
      <c r="L944" s="517"/>
      <c r="M944" s="111"/>
    </row>
    <row r="945" spans="1:13" s="525" customFormat="1" ht="16.5" hidden="1" customHeight="1">
      <c r="A945" s="81"/>
      <c r="B945" s="111" t="s">
        <v>742</v>
      </c>
      <c r="C945" s="515">
        <v>1</v>
      </c>
      <c r="D945" s="553" t="s">
        <v>265</v>
      </c>
      <c r="E945" s="534">
        <v>1</v>
      </c>
      <c r="F945" s="113">
        <v>3.23</v>
      </c>
      <c r="G945" s="113">
        <v>1.28</v>
      </c>
      <c r="H945" s="113">
        <v>0</v>
      </c>
      <c r="I945" s="523">
        <f>ROUND(IF(AND(F945:H945),C945*E945*F945*G945*H945,IF(AND(F945,G945),C945*E945*F945*G945,IF(AND(F945,H945),C945*E945*F945*H945,IF(AND(G945,H945),C945*E945*G945*H945,IF(F945,C945*E945*F945,IF(G945,C945*E945*G945,IF(H945,C945*E945*H945,C945*E945))))))),2)</f>
        <v>4.13</v>
      </c>
      <c r="J945" s="532" t="s">
        <v>102</v>
      </c>
      <c r="K945" s="111"/>
      <c r="L945" s="517"/>
      <c r="M945" s="111"/>
    </row>
    <row r="946" spans="1:13" s="525" customFormat="1" ht="16.5" hidden="1" customHeight="1">
      <c r="A946" s="81"/>
      <c r="B946" s="526"/>
      <c r="C946" s="527"/>
      <c r="D946" s="528"/>
      <c r="E946" s="529"/>
      <c r="F946" s="530"/>
      <c r="G946" s="530"/>
      <c r="H946" s="530"/>
      <c r="I946" s="531"/>
      <c r="J946" s="532"/>
      <c r="K946" s="111"/>
      <c r="L946" s="517"/>
      <c r="M946" s="111"/>
    </row>
    <row r="947" spans="1:13" hidden="1">
      <c r="A947" s="81"/>
      <c r="B947" s="111"/>
      <c r="C947" s="112"/>
      <c r="D947" s="533"/>
      <c r="E947" s="534"/>
      <c r="F947" s="113"/>
      <c r="G947" s="539"/>
      <c r="H947" s="81"/>
      <c r="I947" s="531"/>
      <c r="J947" s="532" t="s">
        <v>102</v>
      </c>
      <c r="K947" s="12">
        <f>'DATA 2024-25'!G244</f>
        <v>1493.3500000000001</v>
      </c>
      <c r="L947" s="517" t="s">
        <v>267</v>
      </c>
      <c r="M947" s="11">
        <f>ROUND(I947*K947,0)</f>
        <v>0</v>
      </c>
    </row>
    <row r="948" spans="1:13" ht="17.25" hidden="1" customHeight="1">
      <c r="A948" s="81">
        <v>2</v>
      </c>
      <c r="B948" s="910" t="s">
        <v>297</v>
      </c>
      <c r="C948" s="910"/>
      <c r="D948" s="910"/>
      <c r="E948" s="910"/>
      <c r="F948" s="910"/>
      <c r="G948" s="910"/>
      <c r="H948" s="910"/>
      <c r="I948" s="515"/>
      <c r="J948" s="516"/>
      <c r="K948" s="81"/>
      <c r="L948" s="517"/>
      <c r="M948" s="110"/>
    </row>
    <row r="949" spans="1:13" s="525" customFormat="1" ht="16.5" hidden="1" customHeight="1">
      <c r="A949" s="81"/>
      <c r="B949" s="111" t="s">
        <v>1387</v>
      </c>
      <c r="C949" s="515"/>
      <c r="D949" s="553"/>
      <c r="E949" s="534"/>
      <c r="F949" s="113"/>
      <c r="G949" s="113"/>
      <c r="H949" s="113"/>
      <c r="I949" s="554"/>
      <c r="J949" s="532"/>
      <c r="K949" s="111"/>
      <c r="L949" s="81"/>
      <c r="M949" s="111"/>
    </row>
    <row r="950" spans="1:13" s="525" customFormat="1" ht="16.5" hidden="1" customHeight="1">
      <c r="A950" s="81"/>
      <c r="B950" s="111" t="s">
        <v>1359</v>
      </c>
      <c r="C950" s="515">
        <v>1</v>
      </c>
      <c r="D950" s="553" t="s">
        <v>265</v>
      </c>
      <c r="E950" s="534">
        <v>1</v>
      </c>
      <c r="F950" s="113">
        <v>4.3499999999999996</v>
      </c>
      <c r="G950" s="113">
        <v>4.2</v>
      </c>
      <c r="H950" s="113">
        <v>0</v>
      </c>
      <c r="I950" s="523">
        <f>ROUND(IF(AND(F950:H950),C950*E950*F950*G950*H950,IF(AND(F950,G950),C950*E950*F950*G950,IF(AND(F950,H950),C950*E950*F950*H950,IF(AND(G950,H950),C950*E950*G950*H950,IF(F950,C950*E950*F950,IF(G950,C950*E950*G950,IF(H950,C950*E950*H950,C950*E950))))))),2)</f>
        <v>18.27</v>
      </c>
      <c r="J950" s="532" t="s">
        <v>102</v>
      </c>
      <c r="K950" s="111"/>
      <c r="L950" s="81"/>
      <c r="M950" s="111"/>
    </row>
    <row r="951" spans="1:13" s="525" customFormat="1" ht="16.5" hidden="1" customHeight="1">
      <c r="A951" s="81"/>
      <c r="B951" s="560"/>
      <c r="C951" s="561"/>
      <c r="D951" s="544"/>
      <c r="E951" s="562"/>
      <c r="F951" s="563"/>
      <c r="G951" s="563"/>
      <c r="H951" s="564"/>
      <c r="I951" s="546"/>
      <c r="J951" s="532"/>
      <c r="K951" s="111"/>
      <c r="L951" s="517"/>
      <c r="M951" s="111"/>
    </row>
    <row r="952" spans="1:13" hidden="1">
      <c r="A952" s="81"/>
      <c r="B952" s="111"/>
      <c r="C952" s="112"/>
      <c r="D952" s="533"/>
      <c r="E952" s="534"/>
      <c r="F952" s="113"/>
      <c r="G952" s="539"/>
      <c r="H952" s="81"/>
      <c r="I952" s="531"/>
      <c r="J952" s="532" t="s">
        <v>102</v>
      </c>
      <c r="K952" s="12">
        <f>'DATA 2024-25'!G236</f>
        <v>1705.18</v>
      </c>
      <c r="L952" s="517" t="s">
        <v>267</v>
      </c>
      <c r="M952" s="11">
        <f>ROUND(I952*K952,0)</f>
        <v>0</v>
      </c>
    </row>
    <row r="953" spans="1:13" ht="17.25" hidden="1" customHeight="1">
      <c r="A953" s="81">
        <v>13</v>
      </c>
      <c r="B953" s="910" t="s">
        <v>568</v>
      </c>
      <c r="C953" s="910"/>
      <c r="D953" s="910"/>
      <c r="E953" s="910"/>
      <c r="F953" s="910"/>
      <c r="G953" s="910"/>
      <c r="H953" s="910"/>
      <c r="I953" s="515"/>
      <c r="J953" s="516"/>
      <c r="K953" s="81"/>
      <c r="L953" s="517"/>
      <c r="M953" s="110"/>
    </row>
    <row r="954" spans="1:13" s="525" customFormat="1" ht="16.5" hidden="1" customHeight="1">
      <c r="A954" s="81"/>
      <c r="B954" s="111" t="s">
        <v>1284</v>
      </c>
      <c r="C954" s="515"/>
      <c r="D954" s="553"/>
      <c r="E954" s="534"/>
      <c r="F954" s="113"/>
      <c r="G954" s="113"/>
      <c r="H954" s="113"/>
      <c r="I954" s="554"/>
      <c r="J954" s="532"/>
      <c r="K954" s="111"/>
      <c r="L954" s="517"/>
      <c r="M954" s="111"/>
    </row>
    <row r="955" spans="1:13" s="525" customFormat="1" ht="16.5" hidden="1" customHeight="1">
      <c r="A955" s="81"/>
      <c r="B955" s="111" t="s">
        <v>1019</v>
      </c>
      <c r="C955" s="515">
        <v>1</v>
      </c>
      <c r="D955" s="553" t="s">
        <v>265</v>
      </c>
      <c r="E955" s="534">
        <v>1</v>
      </c>
      <c r="F955" s="113">
        <v>3.95</v>
      </c>
      <c r="G955" s="113">
        <v>2.1</v>
      </c>
      <c r="H955" s="113">
        <v>0</v>
      </c>
      <c r="I955" s="523">
        <f>ROUND(IF(AND(F955:H955),C955*E955*F955*G955*H955,IF(AND(F955,G955),C955*E955*F955*G955,IF(AND(F955,H955),C955*E955*F955*H955,IF(AND(G955,H955),C955*E955*G955*H955,IF(F955,C955*E955*F955,IF(G955,C955*E955*G955,IF(H955,C955*E955*H955,C955*E955))))))),2)</f>
        <v>8.3000000000000007</v>
      </c>
      <c r="J955" s="532" t="s">
        <v>102</v>
      </c>
      <c r="K955" s="111"/>
      <c r="L955" s="517"/>
      <c r="M955" s="111"/>
    </row>
    <row r="956" spans="1:13" s="525" customFormat="1" ht="16.5" hidden="1" customHeight="1">
      <c r="A956" s="81"/>
      <c r="B956" s="560"/>
      <c r="C956" s="561"/>
      <c r="D956" s="544"/>
      <c r="E956" s="562"/>
      <c r="F956" s="563"/>
      <c r="G956" s="563"/>
      <c r="H956" s="564"/>
      <c r="I956" s="546"/>
      <c r="J956" s="532"/>
      <c r="K956" s="111"/>
      <c r="L956" s="517"/>
      <c r="M956" s="111"/>
    </row>
    <row r="957" spans="1:13" hidden="1">
      <c r="A957" s="81"/>
      <c r="B957" s="111"/>
      <c r="C957" s="112"/>
      <c r="D957" s="533"/>
      <c r="E957" s="534"/>
      <c r="F957" s="113"/>
      <c r="G957" s="539"/>
      <c r="H957" s="81"/>
      <c r="I957" s="531"/>
      <c r="J957" s="532" t="s">
        <v>102</v>
      </c>
      <c r="K957" s="12">
        <f>'DATA 2024-25'!G228</f>
        <v>1346.06</v>
      </c>
      <c r="L957" s="517" t="s">
        <v>267</v>
      </c>
      <c r="M957" s="11">
        <f>ROUND(I957*K957,0)</f>
        <v>0</v>
      </c>
    </row>
    <row r="958" spans="1:13" ht="18.75" hidden="1" customHeight="1">
      <c r="A958" s="81">
        <v>16</v>
      </c>
      <c r="B958" s="910" t="s">
        <v>1106</v>
      </c>
      <c r="C958" s="910"/>
      <c r="D958" s="910"/>
      <c r="E958" s="910"/>
      <c r="F958" s="910"/>
      <c r="G958" s="910"/>
      <c r="H958" s="910"/>
      <c r="I958" s="515"/>
      <c r="J958" s="516"/>
      <c r="K958" s="81"/>
      <c r="L958" s="517"/>
      <c r="M958" s="110"/>
    </row>
    <row r="959" spans="1:13" s="525" customFormat="1" ht="16.5" hidden="1" customHeight="1">
      <c r="A959" s="81"/>
      <c r="B959" s="111" t="s">
        <v>1285</v>
      </c>
      <c r="C959" s="515"/>
      <c r="D959" s="553"/>
      <c r="E959" s="534"/>
      <c r="F959" s="113"/>
      <c r="G959" s="113"/>
      <c r="H959" s="113"/>
      <c r="I959" s="554"/>
      <c r="J959" s="532"/>
      <c r="K959" s="111"/>
      <c r="L959" s="517"/>
      <c r="M959" s="111"/>
    </row>
    <row r="960" spans="1:13" s="525" customFormat="1" ht="16.5" hidden="1" customHeight="1">
      <c r="A960" s="81"/>
      <c r="B960" s="111" t="s">
        <v>1008</v>
      </c>
      <c r="C960" s="515">
        <v>1</v>
      </c>
      <c r="D960" s="553" t="s">
        <v>265</v>
      </c>
      <c r="E960" s="534">
        <v>5</v>
      </c>
      <c r="F960" s="113">
        <v>1.52</v>
      </c>
      <c r="G960" s="113">
        <v>0.23</v>
      </c>
      <c r="H960" s="113">
        <v>0</v>
      </c>
      <c r="I960" s="523">
        <f>ROUND(IF(AND(F960:H960),C960*E960*F960*G960*H960,IF(AND(F960,G960),C960*E960*F960*G960,IF(AND(F960,H960),C960*E960*F960*H960,IF(AND(G960,H960),C960*E960*G960*H960,IF(F960,C960*E960*F960,IF(G960,C960*E960*G960,IF(H960,C960*E960*H960,C960*E960))))))),2)</f>
        <v>1.75</v>
      </c>
      <c r="J960" s="532" t="s">
        <v>102</v>
      </c>
      <c r="K960" s="111"/>
      <c r="L960" s="517"/>
      <c r="M960" s="111"/>
    </row>
    <row r="961" spans="1:13" s="525" customFormat="1" ht="16.5" hidden="1" customHeight="1">
      <c r="A961" s="81"/>
      <c r="B961" s="111"/>
      <c r="C961" s="515">
        <v>1</v>
      </c>
      <c r="D961" s="553" t="s">
        <v>265</v>
      </c>
      <c r="E961" s="534">
        <v>4</v>
      </c>
      <c r="F961" s="113">
        <v>1.83</v>
      </c>
      <c r="G961" s="113">
        <v>0.23</v>
      </c>
      <c r="H961" s="113">
        <v>0</v>
      </c>
      <c r="I961" s="523">
        <f>ROUND(IF(AND(F961:H961),C961*E961*F961*G961*H961,IF(AND(F961,G961),C961*E961*F961*G961,IF(AND(F961,H961),C961*E961*F961*H961,IF(AND(G961,H961),C961*E961*G961*H961,IF(F961,C961*E961*F961,IF(G961,C961*E961*G961,IF(H961,C961*E961*H961,C961*E961))))))),2)</f>
        <v>1.68</v>
      </c>
      <c r="J961" s="532" t="s">
        <v>102</v>
      </c>
      <c r="K961" s="111"/>
      <c r="L961" s="517"/>
      <c r="M961" s="111"/>
    </row>
    <row r="962" spans="1:13" s="525" customFormat="1" ht="16.5" hidden="1" customHeight="1">
      <c r="A962" s="81"/>
      <c r="B962" s="111" t="s">
        <v>1286</v>
      </c>
      <c r="C962" s="515"/>
      <c r="D962" s="553"/>
      <c r="E962" s="534"/>
      <c r="F962" s="113"/>
      <c r="G962" s="113"/>
      <c r="H962" s="113"/>
      <c r="I962" s="554"/>
      <c r="J962" s="532"/>
      <c r="K962" s="111"/>
      <c r="L962" s="517"/>
      <c r="M962" s="111"/>
    </row>
    <row r="963" spans="1:13" s="525" customFormat="1" ht="16.5" hidden="1" customHeight="1">
      <c r="A963" s="81"/>
      <c r="B963" s="111" t="s">
        <v>1008</v>
      </c>
      <c r="C963" s="515">
        <v>1</v>
      </c>
      <c r="D963" s="553" t="s">
        <v>265</v>
      </c>
      <c r="E963" s="534">
        <v>8</v>
      </c>
      <c r="F963" s="113">
        <v>1.52</v>
      </c>
      <c r="G963" s="113">
        <v>0.23</v>
      </c>
      <c r="H963" s="113">
        <v>0</v>
      </c>
      <c r="I963" s="523">
        <f>ROUND(IF(AND(F963:H963),C963*E963*F963*G963*H963,IF(AND(F963,G963),C963*E963*F963*G963,IF(AND(F963,H963),C963*E963*F963*H963,IF(AND(G963,H963),C963*E963*G963*H963,IF(F963,C963*E963*F963,IF(G963,C963*E963*G963,IF(H963,C963*E963*H963,C963*E963))))))),2)</f>
        <v>2.8</v>
      </c>
      <c r="J963" s="532" t="s">
        <v>102</v>
      </c>
      <c r="K963" s="111"/>
      <c r="L963" s="517"/>
      <c r="M963" s="111"/>
    </row>
    <row r="964" spans="1:13" s="525" customFormat="1" ht="16.5" hidden="1" customHeight="1">
      <c r="A964" s="81"/>
      <c r="B964" s="111" t="s">
        <v>1284</v>
      </c>
      <c r="C964" s="515"/>
      <c r="D964" s="553"/>
      <c r="E964" s="534"/>
      <c r="F964" s="113"/>
      <c r="G964" s="113"/>
      <c r="H964" s="113"/>
      <c r="I964" s="554"/>
      <c r="J964" s="532"/>
      <c r="K964" s="111"/>
      <c r="L964" s="517"/>
      <c r="M964" s="111"/>
    </row>
    <row r="965" spans="1:13" s="525" customFormat="1" ht="16.5" hidden="1" customHeight="1">
      <c r="A965" s="81"/>
      <c r="B965" s="111" t="s">
        <v>1021</v>
      </c>
      <c r="C965" s="515">
        <v>1</v>
      </c>
      <c r="D965" s="553" t="s">
        <v>265</v>
      </c>
      <c r="E965" s="534">
        <v>1</v>
      </c>
      <c r="F965" s="113">
        <v>2.7</v>
      </c>
      <c r="G965" s="113">
        <v>1.52</v>
      </c>
      <c r="H965" s="113">
        <v>0</v>
      </c>
      <c r="I965" s="523">
        <f>ROUND(IF(AND(F965:H965),C965*E965*F965*G965*H965,IF(AND(F965,G965),C965*E965*F965*G965,IF(AND(F965,H965),C965*E965*F965*H965,IF(AND(G965,H965),C965*E965*G965*H965,IF(F965,C965*E965*F965,IF(G965,C965*E965*G965,IF(H965,C965*E965*H965,C965*E965))))))),2)</f>
        <v>4.0999999999999996</v>
      </c>
      <c r="J965" s="532" t="s">
        <v>102</v>
      </c>
      <c r="K965" s="111"/>
      <c r="L965" s="517"/>
      <c r="M965" s="111"/>
    </row>
    <row r="966" spans="1:13" s="525" customFormat="1" ht="16.5" hidden="1" customHeight="1">
      <c r="A966" s="81"/>
      <c r="B966" s="111" t="s">
        <v>1022</v>
      </c>
      <c r="C966" s="515">
        <v>1</v>
      </c>
      <c r="D966" s="553" t="s">
        <v>265</v>
      </c>
      <c r="E966" s="534">
        <v>1</v>
      </c>
      <c r="F966" s="113">
        <v>1.4</v>
      </c>
      <c r="G966" s="113">
        <v>1.4</v>
      </c>
      <c r="H966" s="113">
        <v>0</v>
      </c>
      <c r="I966" s="523">
        <f>ROUND(IF(AND(F966:H966),C966*E966*F966*G966*H966,IF(AND(F966,G966),C966*E966*F966*G966,IF(AND(F966,H966),C966*E966*F966*H966,IF(AND(G966,H966),C966*E966*G966*H966,IF(F966,C966*E966*F966,IF(G966,C966*E966*G966,IF(H966,C966*E966*H966,C966*E966))))))),2)</f>
        <v>1.96</v>
      </c>
      <c r="J966" s="532" t="s">
        <v>102</v>
      </c>
      <c r="K966" s="111"/>
      <c r="L966" s="517"/>
      <c r="M966" s="111"/>
    </row>
    <row r="967" spans="1:13" s="525" customFormat="1" ht="16.5" hidden="1" customHeight="1">
      <c r="A967" s="81"/>
      <c r="B967" s="526"/>
      <c r="C967" s="527"/>
      <c r="D967" s="528"/>
      <c r="E967" s="529"/>
      <c r="F967" s="530"/>
      <c r="G967" s="530"/>
      <c r="H967" s="530"/>
      <c r="I967" s="531"/>
      <c r="J967" s="532"/>
      <c r="K967" s="111"/>
      <c r="L967" s="517"/>
      <c r="M967" s="111"/>
    </row>
    <row r="968" spans="1:13" hidden="1">
      <c r="A968" s="81"/>
      <c r="B968" s="111"/>
      <c r="C968" s="112"/>
      <c r="D968" s="533"/>
      <c r="E968" s="534"/>
      <c r="F968" s="113"/>
      <c r="G968" s="539"/>
      <c r="H968" s="81"/>
      <c r="I968" s="531"/>
      <c r="J968" s="532" t="s">
        <v>102</v>
      </c>
      <c r="K968" s="12">
        <f>'DATA 2024-25'!G291</f>
        <v>1052.8200000000002</v>
      </c>
      <c r="L968" s="517" t="s">
        <v>267</v>
      </c>
      <c r="M968" s="11">
        <f>ROUND(I968*K968,0)</f>
        <v>0</v>
      </c>
    </row>
    <row r="969" spans="1:13" ht="18.75" hidden="1" customHeight="1">
      <c r="A969" s="81">
        <v>16</v>
      </c>
      <c r="B969" s="910" t="s">
        <v>1107</v>
      </c>
      <c r="C969" s="910"/>
      <c r="D969" s="910"/>
      <c r="E969" s="910"/>
      <c r="F969" s="910"/>
      <c r="G969" s="910"/>
      <c r="H969" s="910"/>
      <c r="I969" s="515"/>
      <c r="J969" s="516"/>
      <c r="K969" s="81"/>
      <c r="L969" s="517"/>
      <c r="M969" s="110"/>
    </row>
    <row r="970" spans="1:13" s="525" customFormat="1" ht="16.5" hidden="1" customHeight="1">
      <c r="A970" s="81"/>
      <c r="B970" s="111" t="s">
        <v>1285</v>
      </c>
      <c r="C970" s="515"/>
      <c r="D970" s="553"/>
      <c r="E970" s="534"/>
      <c r="F970" s="113"/>
      <c r="G970" s="113"/>
      <c r="H970" s="113"/>
      <c r="I970" s="554"/>
      <c r="J970" s="532"/>
      <c r="K970" s="111"/>
      <c r="L970" s="517"/>
      <c r="M970" s="111"/>
    </row>
    <row r="971" spans="1:13" s="525" customFormat="1" ht="16.5" hidden="1" customHeight="1">
      <c r="A971" s="81"/>
      <c r="B971" s="111" t="s">
        <v>1008</v>
      </c>
      <c r="C971" s="515">
        <v>1</v>
      </c>
      <c r="D971" s="553" t="s">
        <v>265</v>
      </c>
      <c r="E971" s="534">
        <v>5</v>
      </c>
      <c r="F971" s="113">
        <v>1.52</v>
      </c>
      <c r="G971" s="113">
        <v>0.23</v>
      </c>
      <c r="H971" s="113">
        <v>0</v>
      </c>
      <c r="I971" s="523">
        <f>ROUND(IF(AND(F971:H971),C971*E971*F971*G971*H971,IF(AND(F971,G971),C971*E971*F971*G971,IF(AND(F971,H971),C971*E971*F971*H971,IF(AND(G971,H971),C971*E971*G971*H971,IF(F971,C971*E971*F971,IF(G971,C971*E971*G971,IF(H971,C971*E971*H971,C971*E971))))))),2)</f>
        <v>1.75</v>
      </c>
      <c r="J971" s="532" t="s">
        <v>102</v>
      </c>
      <c r="K971" s="111"/>
      <c r="L971" s="517"/>
      <c r="M971" s="111"/>
    </row>
    <row r="972" spans="1:13" s="525" customFormat="1" ht="16.5" hidden="1" customHeight="1">
      <c r="A972" s="81"/>
      <c r="B972" s="111"/>
      <c r="C972" s="515">
        <v>1</v>
      </c>
      <c r="D972" s="553" t="s">
        <v>265</v>
      </c>
      <c r="E972" s="534">
        <v>4</v>
      </c>
      <c r="F972" s="113">
        <v>1.83</v>
      </c>
      <c r="G972" s="113">
        <v>0.23</v>
      </c>
      <c r="H972" s="113">
        <v>0</v>
      </c>
      <c r="I972" s="523">
        <f>ROUND(IF(AND(F972:H972),C972*E972*F972*G972*H972,IF(AND(F972,G972),C972*E972*F972*G972,IF(AND(F972,H972),C972*E972*F972*H972,IF(AND(G972,H972),C972*E972*G972*H972,IF(F972,C972*E972*F972,IF(G972,C972*E972*G972,IF(H972,C972*E972*H972,C972*E972))))))),2)</f>
        <v>1.68</v>
      </c>
      <c r="J972" s="532" t="s">
        <v>102</v>
      </c>
      <c r="K972" s="111"/>
      <c r="L972" s="517"/>
      <c r="M972" s="111"/>
    </row>
    <row r="973" spans="1:13" s="525" customFormat="1" ht="16.5" hidden="1" customHeight="1">
      <c r="A973" s="81"/>
      <c r="B973" s="111" t="s">
        <v>1286</v>
      </c>
      <c r="C973" s="515"/>
      <c r="D973" s="553"/>
      <c r="E973" s="534"/>
      <c r="F973" s="113"/>
      <c r="G973" s="113"/>
      <c r="H973" s="113"/>
      <c r="I973" s="554"/>
      <c r="J973" s="532"/>
      <c r="K973" s="111"/>
      <c r="L973" s="517"/>
      <c r="M973" s="111"/>
    </row>
    <row r="974" spans="1:13" s="525" customFormat="1" ht="16.5" hidden="1" customHeight="1">
      <c r="A974" s="81"/>
      <c r="B974" s="111" t="s">
        <v>1008</v>
      </c>
      <c r="C974" s="515">
        <v>1</v>
      </c>
      <c r="D974" s="553" t="s">
        <v>265</v>
      </c>
      <c r="E974" s="534">
        <v>8</v>
      </c>
      <c r="F974" s="113">
        <v>1.52</v>
      </c>
      <c r="G974" s="113">
        <v>0.23</v>
      </c>
      <c r="H974" s="113">
        <v>0</v>
      </c>
      <c r="I974" s="523">
        <f>ROUND(IF(AND(F974:H974),C974*E974*F974*G974*H974,IF(AND(F974,G974),C974*E974*F974*G974,IF(AND(F974,H974),C974*E974*F974*H974,IF(AND(G974,H974),C974*E974*G974*H974,IF(F974,C974*E974*F974,IF(G974,C974*E974*G974,IF(H974,C974*E974*H974,C974*E974))))))),2)</f>
        <v>2.8</v>
      </c>
      <c r="J974" s="532" t="s">
        <v>102</v>
      </c>
      <c r="K974" s="111"/>
      <c r="L974" s="517"/>
      <c r="M974" s="111"/>
    </row>
    <row r="975" spans="1:13" s="525" customFormat="1" ht="16.5" hidden="1" customHeight="1">
      <c r="A975" s="81"/>
      <c r="B975" s="111" t="s">
        <v>1284</v>
      </c>
      <c r="C975" s="515"/>
      <c r="D975" s="553"/>
      <c r="E975" s="534"/>
      <c r="F975" s="113"/>
      <c r="G975" s="113"/>
      <c r="H975" s="113"/>
      <c r="I975" s="554"/>
      <c r="J975" s="532"/>
      <c r="K975" s="111"/>
      <c r="L975" s="517"/>
      <c r="M975" s="111"/>
    </row>
    <row r="976" spans="1:13" s="525" customFormat="1" ht="16.5" hidden="1" customHeight="1">
      <c r="A976" s="81"/>
      <c r="B976" s="111" t="s">
        <v>1021</v>
      </c>
      <c r="C976" s="515">
        <v>1</v>
      </c>
      <c r="D976" s="553" t="s">
        <v>265</v>
      </c>
      <c r="E976" s="534">
        <v>1</v>
      </c>
      <c r="F976" s="113">
        <v>2.7</v>
      </c>
      <c r="G976" s="113">
        <v>1.52</v>
      </c>
      <c r="H976" s="113">
        <v>0</v>
      </c>
      <c r="I976" s="523">
        <f>ROUND(IF(AND(F976:H976),C976*E976*F976*G976*H976,IF(AND(F976,G976),C976*E976*F976*G976,IF(AND(F976,H976),C976*E976*F976*H976,IF(AND(G976,H976),C976*E976*G976*H976,IF(F976,C976*E976*F976,IF(G976,C976*E976*G976,IF(H976,C976*E976*H976,C976*E976))))))),2)</f>
        <v>4.0999999999999996</v>
      </c>
      <c r="J976" s="532" t="s">
        <v>102</v>
      </c>
      <c r="K976" s="111"/>
      <c r="L976" s="517"/>
      <c r="M976" s="111"/>
    </row>
    <row r="977" spans="1:13" s="525" customFormat="1" ht="16.5" hidden="1" customHeight="1">
      <c r="A977" s="81"/>
      <c r="B977" s="111" t="s">
        <v>1022</v>
      </c>
      <c r="C977" s="515">
        <v>1</v>
      </c>
      <c r="D977" s="553" t="s">
        <v>265</v>
      </c>
      <c r="E977" s="534">
        <v>1</v>
      </c>
      <c r="F977" s="113">
        <v>1.4</v>
      </c>
      <c r="G977" s="113">
        <v>1.4</v>
      </c>
      <c r="H977" s="113">
        <v>0</v>
      </c>
      <c r="I977" s="523">
        <f>ROUND(IF(AND(F977:H977),C977*E977*F977*G977*H977,IF(AND(F977,G977),C977*E977*F977*G977,IF(AND(F977,H977),C977*E977*F977*H977,IF(AND(G977,H977),C977*E977*G977*H977,IF(F977,C977*E977*F977,IF(G977,C977*E977*G977,IF(H977,C977*E977*H977,C977*E977))))))),2)</f>
        <v>1.96</v>
      </c>
      <c r="J977" s="532" t="s">
        <v>102</v>
      </c>
      <c r="K977" s="111"/>
      <c r="L977" s="517"/>
      <c r="M977" s="111"/>
    </row>
    <row r="978" spans="1:13" s="525" customFormat="1" ht="16.5" hidden="1" customHeight="1">
      <c r="A978" s="81"/>
      <c r="B978" s="526"/>
      <c r="C978" s="527"/>
      <c r="D978" s="528"/>
      <c r="E978" s="529"/>
      <c r="F978" s="530"/>
      <c r="G978" s="530"/>
      <c r="H978" s="530"/>
      <c r="I978" s="531"/>
      <c r="J978" s="532"/>
      <c r="K978" s="111"/>
      <c r="L978" s="517"/>
      <c r="M978" s="111"/>
    </row>
    <row r="979" spans="1:13" hidden="1">
      <c r="A979" s="81"/>
      <c r="B979" s="111"/>
      <c r="C979" s="112"/>
      <c r="D979" s="533"/>
      <c r="E979" s="534"/>
      <c r="F979" s="113"/>
      <c r="G979" s="539"/>
      <c r="H979" s="81"/>
      <c r="I979" s="531"/>
      <c r="J979" s="532" t="s">
        <v>102</v>
      </c>
      <c r="K979" s="12">
        <f>'DATA 2024-25'!G299</f>
        <v>678.66000000000008</v>
      </c>
      <c r="L979" s="517" t="s">
        <v>267</v>
      </c>
      <c r="M979" s="11">
        <f>ROUND(I979*K979,0)</f>
        <v>0</v>
      </c>
    </row>
    <row r="980" spans="1:13" ht="17.25" hidden="1" customHeight="1">
      <c r="A980" s="81">
        <v>14</v>
      </c>
      <c r="B980" s="910" t="s">
        <v>566</v>
      </c>
      <c r="C980" s="910"/>
      <c r="D980" s="910"/>
      <c r="E980" s="910"/>
      <c r="F980" s="910"/>
      <c r="G980" s="910"/>
      <c r="H980" s="910"/>
      <c r="I980" s="515"/>
      <c r="J980" s="516"/>
      <c r="K980" s="81"/>
      <c r="L980" s="517"/>
      <c r="M980" s="110"/>
    </row>
    <row r="981" spans="1:13" s="525" customFormat="1" ht="16.5" hidden="1" customHeight="1">
      <c r="A981" s="81"/>
      <c r="B981" s="111" t="s">
        <v>1296</v>
      </c>
      <c r="C981" s="515"/>
      <c r="D981" s="553"/>
      <c r="E981" s="534"/>
      <c r="F981" s="113"/>
      <c r="G981" s="113"/>
      <c r="H981" s="113"/>
      <c r="I981" s="554"/>
      <c r="J981" s="532"/>
      <c r="K981" s="111"/>
      <c r="L981" s="517"/>
      <c r="M981" s="111"/>
    </row>
    <row r="982" spans="1:13" s="525" customFormat="1" ht="16.5" hidden="1" customHeight="1">
      <c r="A982" s="81"/>
      <c r="B982" s="111" t="s">
        <v>815</v>
      </c>
      <c r="C982" s="515">
        <v>1</v>
      </c>
      <c r="D982" s="553" t="s">
        <v>265</v>
      </c>
      <c r="E982" s="534">
        <v>2</v>
      </c>
      <c r="F982" s="113">
        <v>2.59</v>
      </c>
      <c r="G982" s="113">
        <v>0.23</v>
      </c>
      <c r="H982" s="113">
        <v>0.15</v>
      </c>
      <c r="I982" s="523">
        <f>ROUND(IF(AND(F982:H982),C982*E982*F982*G982*H982,IF(AND(F982,G982),C982*E982*F982*G982,IF(AND(F982,H982),C982*E982*F982*H982,IF(AND(G982,H982),C982*E982*G982*H982,IF(F982,C982*E982*F982,IF(G982,C982*E982*G982,IF(H982,C982*E982*H982,C982*E982))))))),2)</f>
        <v>0.18</v>
      </c>
      <c r="J982" s="532" t="s">
        <v>5</v>
      </c>
      <c r="K982" s="111"/>
      <c r="L982" s="517"/>
      <c r="M982" s="111"/>
    </row>
    <row r="983" spans="1:13" s="525" customFormat="1" ht="16.5" hidden="1" customHeight="1">
      <c r="A983" s="81"/>
      <c r="B983" s="111"/>
      <c r="C983" s="515">
        <v>1</v>
      </c>
      <c r="D983" s="553" t="s">
        <v>265</v>
      </c>
      <c r="E983" s="534">
        <v>2</v>
      </c>
      <c r="F983" s="113">
        <v>2.78</v>
      </c>
      <c r="G983" s="113">
        <v>0.23</v>
      </c>
      <c r="H983" s="113">
        <v>0.15</v>
      </c>
      <c r="I983" s="523">
        <f>ROUND(IF(AND(F983:H983),C983*E983*F983*G983*H983,IF(AND(F983,G983),C983*E983*F983*G983,IF(AND(F983,H983),C983*E983*F983*H983,IF(AND(G983,H983),C983*E983*G983*H983,IF(F983,C983*E983*F983,IF(G983,C983*E983*G983,IF(H983,C983*E983*H983,C983*E983))))))),2)</f>
        <v>0.19</v>
      </c>
      <c r="J983" s="532" t="s">
        <v>5</v>
      </c>
      <c r="K983" s="111"/>
      <c r="L983" s="517"/>
      <c r="M983" s="111"/>
    </row>
    <row r="984" spans="1:13" s="525" customFormat="1" ht="16.5" hidden="1" customHeight="1">
      <c r="A984" s="81"/>
      <c r="B984" s="111"/>
      <c r="C984" s="515">
        <v>1</v>
      </c>
      <c r="D984" s="553" t="s">
        <v>265</v>
      </c>
      <c r="E984" s="534">
        <v>1</v>
      </c>
      <c r="F984" s="113">
        <v>4.99</v>
      </c>
      <c r="G984" s="113">
        <v>0.23</v>
      </c>
      <c r="H984" s="113">
        <v>0.15</v>
      </c>
      <c r="I984" s="523">
        <f>ROUND(IF(AND(F984:H984),C984*E984*F984*G984*H984,IF(AND(F984,G984),C984*E984*F984*G984,IF(AND(F984,H984),C984*E984*F984*H984,IF(AND(G984,H984),C984*E984*G984*H984,IF(F984,C984*E984*F984,IF(G984,C984*E984*G984,IF(H984,C984*E984*H984,C984*E984))))))),2)</f>
        <v>0.17</v>
      </c>
      <c r="J984" s="532" t="s">
        <v>5</v>
      </c>
      <c r="K984" s="111"/>
      <c r="L984" s="517"/>
      <c r="M984" s="111"/>
    </row>
    <row r="985" spans="1:13" s="525" customFormat="1" ht="16.5" hidden="1" customHeight="1">
      <c r="A985" s="81"/>
      <c r="B985" s="111"/>
      <c r="C985" s="515">
        <v>1</v>
      </c>
      <c r="D985" s="553" t="s">
        <v>265</v>
      </c>
      <c r="E985" s="534">
        <v>1</v>
      </c>
      <c r="F985" s="113">
        <v>2.72</v>
      </c>
      <c r="G985" s="113">
        <v>0.23</v>
      </c>
      <c r="H985" s="113">
        <v>0.15</v>
      </c>
      <c r="I985" s="523">
        <f>ROUND(IF(AND(F985:H985),C985*E985*F985*G985*H985,IF(AND(F985,G985),C985*E985*F985*G985,IF(AND(F985,H985),C985*E985*F985*H985,IF(AND(G985,H985),C985*E985*G985*H985,IF(F985,C985*E985*F985,IF(G985,C985*E985*G985,IF(H985,C985*E985*H985,C985*E985))))))),2)</f>
        <v>0.09</v>
      </c>
      <c r="J985" s="532" t="s">
        <v>5</v>
      </c>
      <c r="K985" s="111"/>
      <c r="L985" s="517"/>
      <c r="M985" s="111"/>
    </row>
    <row r="986" spans="1:13" s="525" customFormat="1" ht="16.5" hidden="1" customHeight="1">
      <c r="A986" s="81"/>
      <c r="B986" s="526"/>
      <c r="C986" s="527"/>
      <c r="D986" s="528"/>
      <c r="E986" s="529"/>
      <c r="F986" s="113"/>
      <c r="G986" s="113"/>
      <c r="H986" s="113"/>
      <c r="I986" s="531"/>
      <c r="J986" s="532"/>
      <c r="K986" s="111"/>
      <c r="L986" s="517"/>
      <c r="M986" s="111"/>
    </row>
    <row r="987" spans="1:13" hidden="1">
      <c r="A987" s="81"/>
      <c r="B987" s="111"/>
      <c r="C987" s="112"/>
      <c r="D987" s="533"/>
      <c r="E987" s="534"/>
      <c r="F987" s="113"/>
      <c r="G987" s="539"/>
      <c r="H987" s="81"/>
      <c r="I987" s="531"/>
      <c r="J987" s="532" t="s">
        <v>5</v>
      </c>
      <c r="K987" s="12">
        <f>'DATA 2024-25'!G198</f>
        <v>14358.369999999999</v>
      </c>
      <c r="L987" s="517" t="s">
        <v>266</v>
      </c>
      <c r="M987" s="11">
        <f>ROUND(I987*K987,0)</f>
        <v>0</v>
      </c>
    </row>
    <row r="988" spans="1:13" ht="17.25" hidden="1" customHeight="1">
      <c r="A988" s="81">
        <v>15</v>
      </c>
      <c r="B988" s="910" t="s">
        <v>632</v>
      </c>
      <c r="C988" s="910"/>
      <c r="D988" s="910"/>
      <c r="E988" s="910"/>
      <c r="F988" s="910"/>
      <c r="G988" s="910"/>
      <c r="H988" s="910"/>
      <c r="I988" s="515"/>
      <c r="J988" s="516"/>
      <c r="K988" s="81"/>
      <c r="L988" s="517"/>
      <c r="M988" s="110"/>
    </row>
    <row r="989" spans="1:13" s="525" customFormat="1" ht="16.5" hidden="1" customHeight="1">
      <c r="A989" s="81"/>
      <c r="B989" s="111" t="s">
        <v>1297</v>
      </c>
      <c r="C989" s="515"/>
      <c r="D989" s="553"/>
      <c r="E989" s="534"/>
      <c r="F989" s="113"/>
      <c r="G989" s="113"/>
      <c r="H989" s="113"/>
      <c r="I989" s="554"/>
      <c r="J989" s="532"/>
      <c r="K989" s="111"/>
      <c r="L989" s="517"/>
      <c r="M989" s="111"/>
    </row>
    <row r="990" spans="1:13" s="525" customFormat="1" ht="16.5" hidden="1" customHeight="1">
      <c r="A990" s="81"/>
      <c r="B990" s="111"/>
      <c r="C990" s="515">
        <v>1</v>
      </c>
      <c r="D990" s="553" t="s">
        <v>265</v>
      </c>
      <c r="E990" s="534">
        <v>6</v>
      </c>
      <c r="F990" s="113">
        <v>1.82</v>
      </c>
      <c r="G990" s="113">
        <v>0</v>
      </c>
      <c r="H990" s="113">
        <v>0</v>
      </c>
      <c r="I990" s="523">
        <f>ROUND(IF(AND(F990:H990),C990*E990*F990*G990*H990,IF(AND(F990,G990),C990*E990*F990*G990,IF(AND(F990,H990),C990*E990*F990*H990,IF(AND(G990,H990),C990*E990*G990*H990,IF(F990,C990*E990*F990,IF(G990,C990*E990*G990,IF(H990,C990*E990*H990,C990*E990))))))),2)</f>
        <v>10.92</v>
      </c>
      <c r="J990" s="532" t="s">
        <v>271</v>
      </c>
      <c r="K990" s="111"/>
      <c r="L990" s="517"/>
      <c r="M990" s="111"/>
    </row>
    <row r="991" spans="1:13" s="525" customFormat="1" ht="16.5" hidden="1" customHeight="1">
      <c r="A991" s="81"/>
      <c r="B991" s="526"/>
      <c r="C991" s="527"/>
      <c r="D991" s="528"/>
      <c r="E991" s="529"/>
      <c r="F991" s="530"/>
      <c r="G991" s="530"/>
      <c r="H991" s="530"/>
      <c r="I991" s="531"/>
      <c r="J991" s="532"/>
      <c r="K991" s="111"/>
      <c r="L991" s="517"/>
      <c r="M991" s="111"/>
    </row>
    <row r="992" spans="1:13" hidden="1">
      <c r="A992" s="81"/>
      <c r="B992" s="111"/>
      <c r="C992" s="112"/>
      <c r="D992" s="533"/>
      <c r="E992" s="534"/>
      <c r="F992" s="113"/>
      <c r="G992" s="539"/>
      <c r="H992" s="81"/>
      <c r="I992" s="531"/>
      <c r="J992" s="532" t="s">
        <v>271</v>
      </c>
      <c r="K992" s="12">
        <f>'DATA 2024-25'!G269</f>
        <v>1120.1300000000001</v>
      </c>
      <c r="L992" s="517" t="s">
        <v>273</v>
      </c>
      <c r="M992" s="11">
        <f>ROUND(I992*K992,0)</f>
        <v>0</v>
      </c>
    </row>
    <row r="993" spans="1:13" ht="64.5" hidden="1" customHeight="1">
      <c r="A993" s="81">
        <v>3</v>
      </c>
      <c r="B993" s="910" t="s">
        <v>144</v>
      </c>
      <c r="C993" s="910"/>
      <c r="D993" s="910"/>
      <c r="E993" s="910"/>
      <c r="F993" s="910"/>
      <c r="G993" s="910"/>
      <c r="H993" s="910"/>
      <c r="I993" s="515"/>
      <c r="J993" s="516"/>
      <c r="K993" s="81"/>
      <c r="L993" s="517"/>
      <c r="M993" s="110"/>
    </row>
    <row r="994" spans="1:13" s="525" customFormat="1" ht="16.5" hidden="1" customHeight="1">
      <c r="A994" s="81"/>
      <c r="B994" s="111" t="s">
        <v>1388</v>
      </c>
      <c r="C994" s="515"/>
      <c r="D994" s="553"/>
      <c r="E994" s="534"/>
      <c r="F994" s="113"/>
      <c r="G994" s="113"/>
      <c r="H994" s="113"/>
      <c r="I994" s="554"/>
      <c r="J994" s="532"/>
      <c r="K994" s="111"/>
      <c r="L994" s="81"/>
      <c r="M994" s="111"/>
    </row>
    <row r="995" spans="1:13" s="525" customFormat="1" ht="16.5" hidden="1" customHeight="1">
      <c r="A995" s="81"/>
      <c r="B995" s="111" t="s">
        <v>1359</v>
      </c>
      <c r="C995" s="515">
        <v>1</v>
      </c>
      <c r="D995" s="553" t="s">
        <v>265</v>
      </c>
      <c r="E995" s="534">
        <v>1</v>
      </c>
      <c r="F995" s="113">
        <v>4.3499999999999996</v>
      </c>
      <c r="G995" s="113">
        <v>4.2</v>
      </c>
      <c r="H995" s="113">
        <v>0</v>
      </c>
      <c r="I995" s="523">
        <f>ROUND(IF(AND(F995:H995),C995*E995*F995*G995*H995,IF(AND(F995,G995),C995*E995*F995*G995,IF(AND(F995,H995),C995*E995*F995*H995,IF(AND(G995,H995),C995*E995*G995*H995,IF(F995,C995*E995*F995,IF(G995,C995*E995*G995,IF(H995,C995*E995*H995,C995*E995))))))),2)</f>
        <v>18.27</v>
      </c>
      <c r="J995" s="532" t="s">
        <v>102</v>
      </c>
      <c r="K995" s="111"/>
      <c r="L995" s="81"/>
      <c r="M995" s="111"/>
    </row>
    <row r="996" spans="1:13" s="525" customFormat="1" ht="16.5" hidden="1" customHeight="1">
      <c r="A996" s="81"/>
      <c r="B996" s="526"/>
      <c r="C996" s="527"/>
      <c r="D996" s="528"/>
      <c r="E996" s="529"/>
      <c r="F996" s="530"/>
      <c r="G996" s="530"/>
      <c r="H996" s="530"/>
      <c r="I996" s="531"/>
      <c r="J996" s="532"/>
      <c r="K996" s="111"/>
      <c r="L996" s="517"/>
      <c r="M996" s="111"/>
    </row>
    <row r="997" spans="1:13" hidden="1">
      <c r="A997" s="81"/>
      <c r="B997" s="111"/>
      <c r="C997" s="112"/>
      <c r="D997" s="533"/>
      <c r="E997" s="534"/>
      <c r="F997" s="113"/>
      <c r="G997" s="539"/>
      <c r="H997" s="81"/>
      <c r="I997" s="531"/>
      <c r="J997" s="532" t="s">
        <v>102</v>
      </c>
      <c r="K997" s="12">
        <f>'DATA 2024-25'!G633</f>
        <v>436.53</v>
      </c>
      <c r="L997" s="517" t="s">
        <v>267</v>
      </c>
      <c r="M997" s="11">
        <f>ROUND(I997*K997,0)</f>
        <v>0</v>
      </c>
    </row>
    <row r="998" spans="1:13" ht="64.5" hidden="1" customHeight="1">
      <c r="A998" s="81">
        <v>13</v>
      </c>
      <c r="B998" s="910" t="s">
        <v>1105</v>
      </c>
      <c r="C998" s="910"/>
      <c r="D998" s="910"/>
      <c r="E998" s="910"/>
      <c r="F998" s="910"/>
      <c r="G998" s="910"/>
      <c r="H998" s="910"/>
      <c r="I998" s="515"/>
      <c r="J998" s="516"/>
      <c r="K998" s="81"/>
      <c r="L998" s="517"/>
      <c r="M998" s="110"/>
    </row>
    <row r="999" spans="1:13" s="525" customFormat="1" ht="16.5" hidden="1" customHeight="1">
      <c r="A999" s="81"/>
      <c r="B999" s="111" t="s">
        <v>1298</v>
      </c>
      <c r="C999" s="515"/>
      <c r="D999" s="553"/>
      <c r="E999" s="534"/>
      <c r="F999" s="113"/>
      <c r="G999" s="113"/>
      <c r="H999" s="113"/>
      <c r="I999" s="554"/>
      <c r="J999" s="532"/>
      <c r="K999" s="111"/>
      <c r="L999" s="517"/>
      <c r="M999" s="111"/>
    </row>
    <row r="1000" spans="1:13" s="525" customFormat="1" ht="16.5" hidden="1" customHeight="1">
      <c r="A1000" s="81"/>
      <c r="B1000" s="111"/>
      <c r="C1000" s="515">
        <v>1</v>
      </c>
      <c r="D1000" s="553" t="s">
        <v>265</v>
      </c>
      <c r="E1000" s="534">
        <v>1</v>
      </c>
      <c r="F1000" s="113">
        <v>10.45</v>
      </c>
      <c r="G1000" s="113">
        <v>12</v>
      </c>
      <c r="H1000" s="113">
        <v>0</v>
      </c>
      <c r="I1000" s="523">
        <f>ROUND(IF(AND(F1000:H1000),C1000*E1000*F1000*G1000*H1000,IF(AND(F1000,G1000),C1000*E1000*F1000*G1000,IF(AND(F1000,H1000),C1000*E1000*F1000*H1000,IF(AND(G1000,H1000),C1000*E1000*G1000*H1000,IF(F1000,C1000*E1000*F1000,IF(G1000,C1000*E1000*G1000,IF(H1000,C1000*E1000*H1000,C1000*E1000))))))),2)</f>
        <v>125.4</v>
      </c>
      <c r="J1000" s="532" t="s">
        <v>102</v>
      </c>
      <c r="K1000" s="111"/>
      <c r="L1000" s="517"/>
      <c r="M1000" s="111"/>
    </row>
    <row r="1001" spans="1:13" s="525" customFormat="1" ht="16.5" hidden="1" customHeight="1">
      <c r="A1001" s="81"/>
      <c r="B1001" s="111"/>
      <c r="C1001" s="515">
        <v>1</v>
      </c>
      <c r="D1001" s="553" t="s">
        <v>265</v>
      </c>
      <c r="E1001" s="534">
        <v>1</v>
      </c>
      <c r="F1001" s="113">
        <v>3.52</v>
      </c>
      <c r="G1001" s="113">
        <v>0.92</v>
      </c>
      <c r="H1001" s="113">
        <v>0</v>
      </c>
      <c r="I1001" s="523">
        <f>ROUND(IF(AND(F1001:H1001),C1001*E1001*F1001*G1001*H1001,IF(AND(F1001,G1001),C1001*E1001*F1001*G1001,IF(AND(F1001,H1001),C1001*E1001*F1001*H1001,IF(AND(G1001,H1001),C1001*E1001*G1001*H1001,IF(F1001,C1001*E1001*F1001,IF(G1001,C1001*E1001*G1001,IF(H1001,C1001*E1001*H1001,C1001*E1001))))))),2)</f>
        <v>3.24</v>
      </c>
      <c r="J1001" s="532" t="s">
        <v>102</v>
      </c>
      <c r="K1001" s="111"/>
      <c r="L1001" s="517"/>
      <c r="M1001" s="111"/>
    </row>
    <row r="1002" spans="1:13" s="525" customFormat="1" ht="16.5" hidden="1" customHeight="1">
      <c r="A1002" s="81"/>
      <c r="B1002" s="526"/>
      <c r="C1002" s="527"/>
      <c r="D1002" s="528"/>
      <c r="E1002" s="529"/>
      <c r="F1002" s="530"/>
      <c r="G1002" s="530"/>
      <c r="H1002" s="530"/>
      <c r="I1002" s="531"/>
      <c r="J1002" s="532"/>
      <c r="K1002" s="111"/>
      <c r="L1002" s="517"/>
      <c r="M1002" s="111"/>
    </row>
    <row r="1003" spans="1:13" hidden="1">
      <c r="A1003" s="81"/>
      <c r="B1003" s="111"/>
      <c r="C1003" s="112"/>
      <c r="D1003" s="533"/>
      <c r="E1003" s="534"/>
      <c r="F1003" s="113"/>
      <c r="G1003" s="539"/>
      <c r="H1003" s="81"/>
      <c r="I1003" s="531"/>
      <c r="J1003" s="532" t="s">
        <v>102</v>
      </c>
      <c r="K1003" s="12">
        <f>'DATA 2024-25'!G648</f>
        <v>501.99</v>
      </c>
      <c r="L1003" s="517" t="s">
        <v>267</v>
      </c>
      <c r="M1003" s="11">
        <f>ROUND(I1003*K1003,0)</f>
        <v>0</v>
      </c>
    </row>
    <row r="1004" spans="1:13" ht="69.75" hidden="1" customHeight="1">
      <c r="A1004" s="81">
        <v>15</v>
      </c>
      <c r="B1004" s="910" t="s">
        <v>298</v>
      </c>
      <c r="C1004" s="910"/>
      <c r="D1004" s="910"/>
      <c r="E1004" s="910"/>
      <c r="F1004" s="910"/>
      <c r="G1004" s="910"/>
      <c r="H1004" s="910"/>
      <c r="I1004" s="515"/>
      <c r="J1004" s="516"/>
      <c r="K1004" s="81"/>
      <c r="L1004" s="517"/>
      <c r="M1004" s="110"/>
    </row>
    <row r="1005" spans="1:13" s="525" customFormat="1" ht="16.5" hidden="1" customHeight="1">
      <c r="A1005" s="81"/>
      <c r="B1005" s="111" t="s">
        <v>1281</v>
      </c>
      <c r="C1005" s="515"/>
      <c r="D1005" s="553"/>
      <c r="E1005" s="534"/>
      <c r="F1005" s="113"/>
      <c r="G1005" s="113"/>
      <c r="H1005" s="113"/>
      <c r="I1005" s="554"/>
      <c r="J1005" s="532"/>
      <c r="K1005" s="111"/>
      <c r="L1005" s="517"/>
      <c r="M1005" s="111"/>
    </row>
    <row r="1006" spans="1:13" s="525" customFormat="1" ht="16.5" hidden="1" customHeight="1">
      <c r="A1006" s="81"/>
      <c r="B1006" s="111" t="s">
        <v>748</v>
      </c>
      <c r="C1006" s="515">
        <v>1</v>
      </c>
      <c r="D1006" s="553" t="s">
        <v>265</v>
      </c>
      <c r="E1006" s="534">
        <v>1</v>
      </c>
      <c r="F1006" s="113">
        <v>12.73</v>
      </c>
      <c r="G1006" s="113">
        <v>0.45</v>
      </c>
      <c r="H1006" s="113">
        <v>1.3</v>
      </c>
      <c r="I1006" s="523">
        <f>ROUND(IF(AND(F1006:H1006),C1006*E1006*F1006*G1006*H1006,IF(AND(F1006,G1006),C1006*E1006*F1006*G1006,IF(AND(F1006,H1006),C1006*E1006*F1006*H1006,IF(AND(G1006,H1006),C1006*E1006*G1006*H1006,IF(F1006,C1006*E1006*F1006,IF(G1006,C1006*E1006*G1006,IF(H1006,C1006*E1006*H1006,C1006*E1006))))))),2)</f>
        <v>7.45</v>
      </c>
      <c r="J1006" s="532" t="s">
        <v>5</v>
      </c>
      <c r="K1006" s="111"/>
      <c r="L1006" s="517"/>
      <c r="M1006" s="111"/>
    </row>
    <row r="1007" spans="1:13" s="525" customFormat="1" ht="16.5" hidden="1" customHeight="1">
      <c r="A1007" s="81"/>
      <c r="B1007" s="111" t="s">
        <v>941</v>
      </c>
      <c r="C1007" s="515">
        <v>1</v>
      </c>
      <c r="D1007" s="553" t="s">
        <v>265</v>
      </c>
      <c r="E1007" s="534">
        <v>1</v>
      </c>
      <c r="F1007" s="113">
        <v>12.73</v>
      </c>
      <c r="G1007" s="113">
        <v>0.45</v>
      </c>
      <c r="H1007" s="113">
        <v>1.3</v>
      </c>
      <c r="I1007" s="523">
        <f>ROUND(IF(AND(F1007:H1007),C1007*E1007*F1007*G1007*H1007,IF(AND(F1007,G1007),C1007*E1007*F1007*G1007,IF(AND(F1007,H1007),C1007*E1007*F1007*H1007,IF(AND(G1007,H1007),C1007*E1007*G1007*H1007,IF(F1007,C1007*E1007*F1007,IF(G1007,C1007*E1007*G1007,IF(H1007,C1007*E1007*H1007,C1007*E1007))))))),2)</f>
        <v>7.45</v>
      </c>
      <c r="J1007" s="532" t="s">
        <v>5</v>
      </c>
      <c r="K1007" s="111"/>
      <c r="L1007" s="517"/>
      <c r="M1007" s="111"/>
    </row>
    <row r="1008" spans="1:13" s="525" customFormat="1" ht="16.5" hidden="1" customHeight="1">
      <c r="A1008" s="81"/>
      <c r="B1008" s="111" t="s">
        <v>749</v>
      </c>
      <c r="C1008" s="515">
        <v>1</v>
      </c>
      <c r="D1008" s="553" t="s">
        <v>265</v>
      </c>
      <c r="E1008" s="534">
        <v>1</v>
      </c>
      <c r="F1008" s="113">
        <v>8.3800000000000008</v>
      </c>
      <c r="G1008" s="113">
        <v>0.45</v>
      </c>
      <c r="H1008" s="113">
        <v>1.3</v>
      </c>
      <c r="I1008" s="523">
        <f>ROUND(IF(AND(F1008:H1008),C1008*E1008*F1008*G1008*H1008,IF(AND(F1008,G1008),C1008*E1008*F1008*G1008,IF(AND(F1008,H1008),C1008*E1008*F1008*H1008,IF(AND(G1008,H1008),C1008*E1008*G1008*H1008,IF(F1008,C1008*E1008*F1008,IF(G1008,C1008*E1008*G1008,IF(H1008,C1008*E1008*H1008,C1008*E1008))))))),2)</f>
        <v>4.9000000000000004</v>
      </c>
      <c r="J1008" s="532" t="s">
        <v>5</v>
      </c>
      <c r="K1008" s="111"/>
      <c r="L1008" s="517"/>
      <c r="M1008" s="111"/>
    </row>
    <row r="1009" spans="1:13" s="525" customFormat="1" ht="16.5" hidden="1" customHeight="1">
      <c r="A1009" s="81"/>
      <c r="B1009" s="111" t="s">
        <v>750</v>
      </c>
      <c r="C1009" s="515">
        <v>1</v>
      </c>
      <c r="D1009" s="553" t="s">
        <v>265</v>
      </c>
      <c r="E1009" s="534">
        <v>1</v>
      </c>
      <c r="F1009" s="113">
        <v>8.3800000000000008</v>
      </c>
      <c r="G1009" s="113">
        <v>0.45</v>
      </c>
      <c r="H1009" s="113">
        <v>1.3</v>
      </c>
      <c r="I1009" s="523">
        <f>ROUND(IF(AND(F1009:H1009),C1009*E1009*F1009*G1009*H1009,IF(AND(F1009,G1009),C1009*E1009*F1009*G1009,IF(AND(F1009,H1009),C1009*E1009*F1009*H1009,IF(AND(G1009,H1009),C1009*E1009*G1009*H1009,IF(F1009,C1009*E1009*F1009,IF(G1009,C1009*E1009*G1009,IF(H1009,C1009*E1009*H1009,C1009*E1009))))))),2)</f>
        <v>4.9000000000000004</v>
      </c>
      <c r="J1009" s="532" t="s">
        <v>5</v>
      </c>
      <c r="K1009" s="111"/>
      <c r="L1009" s="517"/>
      <c r="M1009" s="111"/>
    </row>
    <row r="1010" spans="1:13" s="525" customFormat="1" ht="16.5" hidden="1" customHeight="1">
      <c r="A1010" s="81"/>
      <c r="B1010" s="111" t="s">
        <v>276</v>
      </c>
      <c r="C1010" s="515">
        <v>1</v>
      </c>
      <c r="D1010" s="553" t="s">
        <v>265</v>
      </c>
      <c r="E1010" s="534">
        <v>8</v>
      </c>
      <c r="F1010" s="113">
        <v>0.23</v>
      </c>
      <c r="G1010" s="113">
        <v>0.38</v>
      </c>
      <c r="H1010" s="113">
        <v>1.3</v>
      </c>
      <c r="I1010" s="523">
        <f>-ROUND(IF(AND(F1010:H1010),C1010*E1010*F1010*G1010*H1010,IF(AND(F1010,G1010),C1010*E1010*F1010*G1010,IF(AND(F1010,H1010),C1010*E1010*F1010*H1010,IF(AND(G1010,H1010),C1010*E1010*G1010*H1010,IF(F1010,C1010*E1010*F1010,IF(G1010,C1010*E1010*G1010,IF(H1010,C1010*E1010*H1010,C1010*E1010))))))),2)</f>
        <v>-0.91</v>
      </c>
      <c r="J1010" s="532" t="s">
        <v>5</v>
      </c>
      <c r="K1010" s="111"/>
      <c r="L1010" s="517"/>
      <c r="M1010" s="111"/>
    </row>
    <row r="1011" spans="1:13" s="525" customFormat="1" ht="16.5" hidden="1" customHeight="1">
      <c r="A1011" s="81"/>
      <c r="B1011" s="111" t="s">
        <v>1299</v>
      </c>
      <c r="C1011" s="515"/>
      <c r="D1011" s="553"/>
      <c r="E1011" s="534"/>
      <c r="F1011" s="113"/>
      <c r="G1011" s="113"/>
      <c r="H1011" s="113"/>
      <c r="I1011" s="554"/>
      <c r="J1011" s="532"/>
      <c r="K1011" s="111"/>
      <c r="L1011" s="517"/>
      <c r="M1011" s="111"/>
    </row>
    <row r="1012" spans="1:13" s="525" customFormat="1" ht="16.5" hidden="1" customHeight="1">
      <c r="A1012" s="81"/>
      <c r="B1012" s="111" t="s">
        <v>751</v>
      </c>
      <c r="C1012" s="515">
        <v>1</v>
      </c>
      <c r="D1012" s="553" t="s">
        <v>265</v>
      </c>
      <c r="E1012" s="534">
        <v>1</v>
      </c>
      <c r="F1012" s="113">
        <v>5.45</v>
      </c>
      <c r="G1012" s="113">
        <v>0.23</v>
      </c>
      <c r="H1012" s="113">
        <v>1.05</v>
      </c>
      <c r="I1012" s="523">
        <f t="shared" ref="I1012:I1018" si="92">ROUND(IF(AND(F1012:H1012),C1012*E1012*F1012*G1012*H1012,IF(AND(F1012,G1012),C1012*E1012*F1012*G1012,IF(AND(F1012,H1012),C1012*E1012*F1012*H1012,IF(AND(G1012,H1012),C1012*E1012*G1012*H1012,IF(F1012,C1012*E1012*F1012,IF(G1012,C1012*E1012*G1012,IF(H1012,C1012*E1012*H1012,C1012*E1012))))))),2)</f>
        <v>1.32</v>
      </c>
      <c r="J1012" s="532" t="s">
        <v>5</v>
      </c>
      <c r="K1012" s="111"/>
      <c r="L1012" s="517"/>
      <c r="M1012" s="111"/>
    </row>
    <row r="1013" spans="1:13" s="525" customFormat="1" ht="16.5" hidden="1" customHeight="1">
      <c r="A1013" s="81"/>
      <c r="B1013" s="111" t="s">
        <v>752</v>
      </c>
      <c r="C1013" s="515">
        <v>1</v>
      </c>
      <c r="D1013" s="553" t="s">
        <v>265</v>
      </c>
      <c r="E1013" s="534">
        <v>1</v>
      </c>
      <c r="F1013" s="113">
        <v>2.17</v>
      </c>
      <c r="G1013" s="113">
        <v>0.23</v>
      </c>
      <c r="H1013" s="113">
        <v>1.05</v>
      </c>
      <c r="I1013" s="523">
        <f t="shared" si="92"/>
        <v>0.52</v>
      </c>
      <c r="J1013" s="532" t="s">
        <v>5</v>
      </c>
      <c r="K1013" s="111"/>
      <c r="L1013" s="517"/>
      <c r="M1013" s="111"/>
    </row>
    <row r="1014" spans="1:13" s="525" customFormat="1" ht="16.5" hidden="1" customHeight="1">
      <c r="A1014" s="81"/>
      <c r="B1014" s="111"/>
      <c r="C1014" s="515">
        <v>1</v>
      </c>
      <c r="D1014" s="553" t="s">
        <v>265</v>
      </c>
      <c r="E1014" s="534">
        <v>1</v>
      </c>
      <c r="F1014" s="113">
        <v>2.17</v>
      </c>
      <c r="G1014" s="113">
        <v>0.23</v>
      </c>
      <c r="H1014" s="113">
        <v>1.05</v>
      </c>
      <c r="I1014" s="523">
        <f t="shared" si="92"/>
        <v>0.52</v>
      </c>
      <c r="J1014" s="532" t="s">
        <v>5</v>
      </c>
      <c r="K1014" s="111"/>
      <c r="L1014" s="517"/>
      <c r="M1014" s="111"/>
    </row>
    <row r="1015" spans="1:13" s="525" customFormat="1" ht="16.5" hidden="1" customHeight="1">
      <c r="A1015" s="81"/>
      <c r="B1015" s="111" t="s">
        <v>635</v>
      </c>
      <c r="C1015" s="515">
        <v>1</v>
      </c>
      <c r="D1015" s="553" t="s">
        <v>265</v>
      </c>
      <c r="E1015" s="534">
        <v>1</v>
      </c>
      <c r="F1015" s="113">
        <v>4</v>
      </c>
      <c r="G1015" s="113">
        <v>0.23</v>
      </c>
      <c r="H1015" s="113">
        <f>(1.05+0.4)/2</f>
        <v>0.72500000000000009</v>
      </c>
      <c r="I1015" s="523">
        <f t="shared" si="92"/>
        <v>0.67</v>
      </c>
      <c r="J1015" s="532" t="s">
        <v>5</v>
      </c>
      <c r="K1015" s="111"/>
      <c r="L1015" s="517"/>
      <c r="M1015" s="111"/>
    </row>
    <row r="1016" spans="1:13" s="525" customFormat="1" ht="16.5" hidden="1" customHeight="1">
      <c r="A1016" s="81"/>
      <c r="B1016" s="111" t="s">
        <v>753</v>
      </c>
      <c r="C1016" s="515">
        <v>1</v>
      </c>
      <c r="D1016" s="553" t="s">
        <v>265</v>
      </c>
      <c r="E1016" s="534">
        <v>1</v>
      </c>
      <c r="F1016" s="113">
        <v>5.45</v>
      </c>
      <c r="G1016" s="113">
        <v>0.9</v>
      </c>
      <c r="H1016" s="113">
        <v>0.35</v>
      </c>
      <c r="I1016" s="523">
        <f t="shared" si="92"/>
        <v>1.72</v>
      </c>
      <c r="J1016" s="532" t="s">
        <v>5</v>
      </c>
      <c r="K1016" s="111"/>
      <c r="L1016" s="517"/>
      <c r="M1016" s="111"/>
    </row>
    <row r="1017" spans="1:13" s="525" customFormat="1" ht="16.5" hidden="1" customHeight="1">
      <c r="A1017" s="81"/>
      <c r="B1017" s="111" t="s">
        <v>754</v>
      </c>
      <c r="C1017" s="515">
        <v>1</v>
      </c>
      <c r="D1017" s="553" t="s">
        <v>265</v>
      </c>
      <c r="E1017" s="534">
        <v>1</v>
      </c>
      <c r="F1017" s="113">
        <v>5.45</v>
      </c>
      <c r="G1017" s="113">
        <v>0.6</v>
      </c>
      <c r="H1017" s="113">
        <v>0.15</v>
      </c>
      <c r="I1017" s="523">
        <f t="shared" si="92"/>
        <v>0.49</v>
      </c>
      <c r="J1017" s="532" t="s">
        <v>5</v>
      </c>
      <c r="K1017" s="111"/>
      <c r="L1017" s="517"/>
      <c r="M1017" s="111"/>
    </row>
    <row r="1018" spans="1:13" s="525" customFormat="1" ht="16.5" hidden="1" customHeight="1">
      <c r="A1018" s="81"/>
      <c r="B1018" s="111" t="s">
        <v>755</v>
      </c>
      <c r="C1018" s="515">
        <v>1</v>
      </c>
      <c r="D1018" s="553" t="s">
        <v>265</v>
      </c>
      <c r="E1018" s="534">
        <v>1</v>
      </c>
      <c r="F1018" s="113">
        <v>5.45</v>
      </c>
      <c r="G1018" s="113">
        <v>0.3</v>
      </c>
      <c r="H1018" s="113">
        <v>0.15</v>
      </c>
      <c r="I1018" s="523">
        <f t="shared" si="92"/>
        <v>0.25</v>
      </c>
      <c r="J1018" s="532" t="s">
        <v>5</v>
      </c>
      <c r="K1018" s="111"/>
      <c r="L1018" s="517"/>
      <c r="M1018" s="111"/>
    </row>
    <row r="1019" spans="1:13" s="525" customFormat="1" ht="16.5" hidden="1" customHeight="1">
      <c r="A1019" s="81"/>
      <c r="B1019" s="526"/>
      <c r="C1019" s="527"/>
      <c r="D1019" s="528"/>
      <c r="E1019" s="529"/>
      <c r="F1019" s="530"/>
      <c r="G1019" s="530"/>
      <c r="H1019" s="530"/>
      <c r="I1019" s="531"/>
      <c r="J1019" s="532"/>
      <c r="K1019" s="111"/>
      <c r="L1019" s="517"/>
      <c r="M1019" s="111"/>
    </row>
    <row r="1020" spans="1:13" hidden="1">
      <c r="A1020" s="81"/>
      <c r="B1020" s="111"/>
      <c r="C1020" s="112"/>
      <c r="D1020" s="533"/>
      <c r="E1020" s="534"/>
      <c r="F1020" s="113"/>
      <c r="G1020" s="539"/>
      <c r="H1020" s="81"/>
      <c r="I1020" s="531"/>
      <c r="J1020" s="532" t="s">
        <v>5</v>
      </c>
      <c r="K1020" s="12">
        <f>'DATA 2024-25'!G453</f>
        <v>8851.73</v>
      </c>
      <c r="L1020" s="517" t="s">
        <v>266</v>
      </c>
      <c r="M1020" s="11">
        <f>ROUND(I1020*K1020,0)</f>
        <v>0</v>
      </c>
    </row>
    <row r="1021" spans="1:13" ht="69.75" hidden="1" customHeight="1">
      <c r="A1021" s="81">
        <v>4</v>
      </c>
      <c r="B1021" s="910" t="s">
        <v>633</v>
      </c>
      <c r="C1021" s="910"/>
      <c r="D1021" s="910"/>
      <c r="E1021" s="910"/>
      <c r="F1021" s="910"/>
      <c r="G1021" s="910"/>
      <c r="H1021" s="910"/>
      <c r="I1021" s="515"/>
      <c r="J1021" s="516"/>
      <c r="K1021" s="81"/>
      <c r="L1021" s="517"/>
      <c r="M1021" s="110"/>
    </row>
    <row r="1022" spans="1:13" s="525" customFormat="1" ht="16.5" hidden="1" customHeight="1">
      <c r="A1022" s="81"/>
      <c r="B1022" s="111" t="s">
        <v>1382</v>
      </c>
      <c r="C1022" s="515"/>
      <c r="D1022" s="553"/>
      <c r="E1022" s="534"/>
      <c r="F1022" s="113"/>
      <c r="G1022" s="113"/>
      <c r="H1022" s="113"/>
      <c r="I1022" s="554"/>
      <c r="J1022" s="532"/>
      <c r="K1022" s="111"/>
      <c r="L1022" s="81"/>
      <c r="M1022" s="111"/>
    </row>
    <row r="1023" spans="1:13" s="525" customFormat="1" ht="16.5" hidden="1" customHeight="1">
      <c r="A1023" s="81"/>
      <c r="B1023" s="111" t="s">
        <v>1379</v>
      </c>
      <c r="C1023" s="515">
        <v>1</v>
      </c>
      <c r="D1023" s="553" t="s">
        <v>265</v>
      </c>
      <c r="E1023" s="534">
        <v>1</v>
      </c>
      <c r="F1023" s="113">
        <v>12.68</v>
      </c>
      <c r="G1023" s="113">
        <v>0.23</v>
      </c>
      <c r="H1023" s="113">
        <v>2.4</v>
      </c>
      <c r="I1023" s="523">
        <f>ROUND(IF(AND(F1023:H1023),C1023*E1023*F1023*G1023*H1023,IF(AND(F1023,G1023),C1023*E1023*F1023*G1023,IF(AND(F1023,H1023),C1023*E1023*F1023*H1023,IF(AND(G1023,H1023),C1023*E1023*G1023*H1023,IF(F1023,C1023*E1023*F1023,IF(G1023,C1023*E1023*G1023,IF(H1023,C1023*E1023*H1023,C1023*E1023))))))),2)</f>
        <v>7</v>
      </c>
      <c r="J1023" s="524" t="s">
        <v>5</v>
      </c>
      <c r="K1023" s="111"/>
      <c r="L1023" s="81"/>
      <c r="M1023" s="111"/>
    </row>
    <row r="1024" spans="1:13" s="525" customFormat="1" ht="16.5" hidden="1" customHeight="1">
      <c r="A1024" s="81"/>
      <c r="B1024" s="111" t="s">
        <v>1380</v>
      </c>
      <c r="C1024" s="515">
        <v>1</v>
      </c>
      <c r="D1024" s="553" t="s">
        <v>265</v>
      </c>
      <c r="E1024" s="534">
        <v>4</v>
      </c>
      <c r="F1024" s="113">
        <v>0.38</v>
      </c>
      <c r="G1024" s="113">
        <v>0.23</v>
      </c>
      <c r="H1024" s="113">
        <v>2.4</v>
      </c>
      <c r="I1024" s="523">
        <f>-ROUND(IF(AND(F1024:H1024),C1024*E1024*F1024*G1024*H1024,IF(AND(F1024,G1024),C1024*E1024*F1024*G1024,IF(AND(F1024,H1024),C1024*E1024*F1024*H1024,IF(AND(G1024,H1024),C1024*E1024*G1024*H1024,IF(F1024,C1024*E1024*F1024,IF(G1024,C1024*E1024*G1024,IF(H1024,C1024*E1024*H1024,C1024*E1024))))))),2)</f>
        <v>-0.84</v>
      </c>
      <c r="J1024" s="524" t="s">
        <v>5</v>
      </c>
      <c r="K1024" s="111"/>
      <c r="L1024" s="81"/>
      <c r="M1024" s="111"/>
    </row>
    <row r="1025" spans="1:13" s="525" customFormat="1" ht="16.5" hidden="1" customHeight="1">
      <c r="A1025" s="81"/>
      <c r="B1025" s="111" t="s">
        <v>1381</v>
      </c>
      <c r="C1025" s="515">
        <v>1</v>
      </c>
      <c r="D1025" s="553" t="s">
        <v>265</v>
      </c>
      <c r="E1025" s="534">
        <v>1</v>
      </c>
      <c r="F1025" s="113">
        <v>1.2</v>
      </c>
      <c r="G1025" s="113">
        <v>0.23</v>
      </c>
      <c r="H1025" s="113">
        <v>2.4</v>
      </c>
      <c r="I1025" s="523">
        <f>-ROUND(IF(AND(F1025:H1025),C1025*E1025*F1025*G1025*H1025,IF(AND(F1025,G1025),C1025*E1025*F1025*G1025,IF(AND(F1025,H1025),C1025*E1025*F1025*H1025,IF(AND(G1025,H1025),C1025*E1025*G1025*H1025,IF(F1025,C1025*E1025*F1025,IF(G1025,C1025*E1025*G1025,IF(H1025,C1025*E1025*H1025,C1025*E1025))))))),2)</f>
        <v>-0.66</v>
      </c>
      <c r="J1025" s="524" t="s">
        <v>5</v>
      </c>
      <c r="K1025" s="111"/>
      <c r="L1025" s="81"/>
      <c r="M1025" s="111"/>
    </row>
    <row r="1026" spans="1:13" s="525" customFormat="1" ht="16.5" hidden="1" customHeight="1">
      <c r="A1026" s="81"/>
      <c r="B1026" s="111" t="s">
        <v>1397</v>
      </c>
      <c r="C1026" s="515"/>
      <c r="D1026" s="553"/>
      <c r="E1026" s="534"/>
      <c r="F1026" s="113"/>
      <c r="G1026" s="113"/>
      <c r="H1026" s="113"/>
      <c r="I1026" s="554"/>
      <c r="J1026" s="532"/>
      <c r="K1026" s="111"/>
      <c r="L1026" s="81"/>
      <c r="M1026" s="111"/>
    </row>
    <row r="1027" spans="1:13" s="525" customFormat="1" ht="16.5" hidden="1" customHeight="1">
      <c r="A1027" s="81"/>
      <c r="B1027" s="111" t="s">
        <v>1360</v>
      </c>
      <c r="C1027" s="515">
        <v>1</v>
      </c>
      <c r="D1027" s="553" t="s">
        <v>265</v>
      </c>
      <c r="E1027" s="534">
        <v>1</v>
      </c>
      <c r="F1027" s="113">
        <v>7.2</v>
      </c>
      <c r="G1027" s="113">
        <v>0.115</v>
      </c>
      <c r="H1027" s="113">
        <v>1.8</v>
      </c>
      <c r="I1027" s="523">
        <f>ROUND(IF(AND(F1027:H1027),C1027*E1027*F1027*G1027*H1027,IF(AND(F1027,G1027),C1027*E1027*F1027*G1027,IF(AND(F1027,H1027),C1027*E1027*F1027*H1027,IF(AND(G1027,H1027),C1027*E1027*G1027*H1027,IF(F1027,C1027*E1027*F1027,IF(G1027,C1027*E1027*G1027,IF(H1027,C1027*E1027*H1027,C1027*E1027))))))),2)</f>
        <v>1.49</v>
      </c>
      <c r="J1027" s="524" t="s">
        <v>5</v>
      </c>
      <c r="K1027" s="111"/>
      <c r="L1027" s="81"/>
      <c r="M1027" s="111"/>
    </row>
    <row r="1028" spans="1:13" s="525" customFormat="1" ht="16.5" hidden="1" customHeight="1">
      <c r="A1028" s="81"/>
      <c r="B1028" s="526"/>
      <c r="C1028" s="527"/>
      <c r="D1028" s="528"/>
      <c r="E1028" s="529"/>
      <c r="F1028" s="530"/>
      <c r="G1028" s="530"/>
      <c r="H1028" s="530"/>
      <c r="I1028" s="531"/>
      <c r="J1028" s="532"/>
      <c r="K1028" s="111"/>
      <c r="L1028" s="517"/>
      <c r="M1028" s="111"/>
    </row>
    <row r="1029" spans="1:13" hidden="1">
      <c r="A1029" s="81"/>
      <c r="B1029" s="111"/>
      <c r="C1029" s="112"/>
      <c r="D1029" s="533"/>
      <c r="E1029" s="534"/>
      <c r="F1029" s="113"/>
      <c r="G1029" s="539"/>
      <c r="H1029" s="81"/>
      <c r="I1029" s="531"/>
      <c r="J1029" s="532" t="s">
        <v>5</v>
      </c>
      <c r="K1029" s="12">
        <f>'DATA 2024-25'!G435</f>
        <v>8909.2499999999982</v>
      </c>
      <c r="L1029" s="517" t="s">
        <v>266</v>
      </c>
      <c r="M1029" s="11">
        <f>ROUND(I1029*K1029,0)</f>
        <v>0</v>
      </c>
    </row>
    <row r="1030" spans="1:13" ht="132.75" hidden="1" customHeight="1">
      <c r="A1030" s="81">
        <v>5</v>
      </c>
      <c r="B1030" s="910" t="s">
        <v>849</v>
      </c>
      <c r="C1030" s="910"/>
      <c r="D1030" s="910"/>
      <c r="E1030" s="910"/>
      <c r="F1030" s="910"/>
      <c r="G1030" s="910"/>
      <c r="H1030" s="910"/>
      <c r="I1030" s="515"/>
      <c r="J1030" s="516"/>
      <c r="K1030" s="81"/>
      <c r="L1030" s="517"/>
      <c r="M1030" s="110"/>
    </row>
    <row r="1031" spans="1:13" s="525" customFormat="1" ht="16.5" hidden="1" customHeight="1">
      <c r="A1031" s="81"/>
      <c r="B1031" s="111" t="s">
        <v>1384</v>
      </c>
      <c r="C1031" s="515"/>
      <c r="D1031" s="553"/>
      <c r="E1031" s="534"/>
      <c r="F1031" s="113"/>
      <c r="G1031" s="113"/>
      <c r="H1031" s="113"/>
      <c r="I1031" s="554"/>
      <c r="J1031" s="532"/>
      <c r="K1031" s="111"/>
      <c r="L1031" s="517"/>
      <c r="M1031" s="111"/>
    </row>
    <row r="1032" spans="1:13" s="525" customFormat="1" ht="16.5" hidden="1" customHeight="1">
      <c r="A1032" s="81"/>
      <c r="B1032" s="111" t="s">
        <v>1385</v>
      </c>
      <c r="C1032" s="515">
        <v>1</v>
      </c>
      <c r="D1032" s="553" t="s">
        <v>265</v>
      </c>
      <c r="E1032" s="534">
        <v>1</v>
      </c>
      <c r="F1032" s="113">
        <v>41.75</v>
      </c>
      <c r="G1032" s="113">
        <v>0</v>
      </c>
      <c r="H1032" s="113">
        <v>0.75</v>
      </c>
      <c r="I1032" s="523">
        <f>ROUND(IF(AND(F1032:H1032),C1032*E1032*F1032*G1032*H1032,IF(AND(F1032,G1032),C1032*E1032*F1032*G1032,IF(AND(F1032,H1032),C1032*E1032*F1032*H1032,IF(AND(G1032,H1032),C1032*E1032*G1032*H1032,IF(F1032,C1032*E1032*F1032,IF(G1032,C1032*E1032*G1032,IF(H1032,C1032*E1032*H1032,C1032*E1032))))))),2)</f>
        <v>31.31</v>
      </c>
      <c r="J1032" s="532" t="s">
        <v>102</v>
      </c>
      <c r="K1032" s="111"/>
      <c r="L1032" s="517"/>
      <c r="M1032" s="111"/>
    </row>
    <row r="1033" spans="1:13" s="525" customFormat="1" ht="16.5" hidden="1" customHeight="1">
      <c r="A1033" s="81"/>
      <c r="B1033" s="111"/>
      <c r="C1033" s="515"/>
      <c r="D1033" s="553"/>
      <c r="E1033" s="534"/>
      <c r="F1033" s="113"/>
      <c r="G1033" s="113"/>
      <c r="H1033" s="113"/>
      <c r="I1033" s="523"/>
      <c r="J1033" s="532"/>
      <c r="K1033" s="111"/>
      <c r="L1033" s="517"/>
      <c r="M1033" s="111"/>
    </row>
    <row r="1034" spans="1:13" hidden="1">
      <c r="A1034" s="81"/>
      <c r="B1034" s="111"/>
      <c r="C1034" s="112"/>
      <c r="D1034" s="533"/>
      <c r="E1034" s="534"/>
      <c r="F1034" s="113"/>
      <c r="G1034" s="539"/>
      <c r="H1034" s="81"/>
      <c r="I1034" s="531"/>
      <c r="J1034" s="532" t="s">
        <v>102</v>
      </c>
      <c r="K1034" s="12">
        <f>'DATA 2024-25'!G471</f>
        <v>1066.07</v>
      </c>
      <c r="L1034" s="517" t="s">
        <v>267</v>
      </c>
      <c r="M1034" s="11">
        <f>ROUND(I1034*K1034/1,0)</f>
        <v>0</v>
      </c>
    </row>
    <row r="1035" spans="1:13" ht="79.5" hidden="1" customHeight="1">
      <c r="A1035" s="81">
        <v>20</v>
      </c>
      <c r="B1035" s="910" t="s">
        <v>967</v>
      </c>
      <c r="C1035" s="910"/>
      <c r="D1035" s="910"/>
      <c r="E1035" s="910"/>
      <c r="F1035" s="910"/>
      <c r="G1035" s="910"/>
      <c r="H1035" s="910"/>
      <c r="I1035" s="515"/>
      <c r="J1035" s="516"/>
      <c r="K1035" s="81"/>
      <c r="L1035" s="517"/>
      <c r="M1035" s="110"/>
    </row>
    <row r="1036" spans="1:13" s="525" customFormat="1" ht="16.5" hidden="1" customHeight="1">
      <c r="A1036" s="81"/>
      <c r="B1036" s="111" t="s">
        <v>1300</v>
      </c>
      <c r="C1036" s="515"/>
      <c r="D1036" s="553"/>
      <c r="E1036" s="534"/>
      <c r="F1036" s="113"/>
      <c r="G1036" s="113"/>
      <c r="H1036" s="113"/>
      <c r="I1036" s="554"/>
      <c r="J1036" s="532"/>
      <c r="K1036" s="111"/>
      <c r="L1036" s="517"/>
      <c r="M1036" s="111"/>
    </row>
    <row r="1037" spans="1:13" s="525" customFormat="1" ht="16.5" hidden="1" customHeight="1">
      <c r="A1037" s="81"/>
      <c r="B1037" s="111" t="s">
        <v>1020</v>
      </c>
      <c r="C1037" s="515">
        <v>1</v>
      </c>
      <c r="D1037" s="553" t="s">
        <v>265</v>
      </c>
      <c r="E1037" s="534">
        <v>2</v>
      </c>
      <c r="F1037" s="113">
        <v>0.75</v>
      </c>
      <c r="G1037" s="113">
        <v>0.15</v>
      </c>
      <c r="H1037" s="113">
        <v>1.05</v>
      </c>
      <c r="I1037" s="523">
        <f t="shared" ref="I1037:I1043" si="93">ROUND(IF(AND(F1037:H1037),C1037*E1037*F1037*G1037*H1037,IF(AND(F1037,G1037),C1037*E1037*F1037*G1037,IF(AND(F1037,H1037),C1037*E1037*F1037*H1037,IF(AND(G1037,H1037),C1037*E1037*G1037*H1037,IF(F1037,C1037*E1037*F1037,IF(G1037,C1037*E1037*G1037,IF(H1037,C1037*E1037*H1037,C1037*E1037))))))),2)</f>
        <v>0.24</v>
      </c>
      <c r="J1037" s="532" t="s">
        <v>5</v>
      </c>
      <c r="K1037" s="111"/>
      <c r="L1037" s="517"/>
      <c r="M1037" s="111"/>
    </row>
    <row r="1038" spans="1:13" s="525" customFormat="1" ht="16.5" hidden="1" customHeight="1">
      <c r="A1038" s="81"/>
      <c r="B1038" s="111"/>
      <c r="C1038" s="515">
        <v>1</v>
      </c>
      <c r="D1038" s="553" t="s">
        <v>265</v>
      </c>
      <c r="E1038" s="534">
        <v>1</v>
      </c>
      <c r="F1038" s="113">
        <v>1.2</v>
      </c>
      <c r="G1038" s="113">
        <v>0.15</v>
      </c>
      <c r="H1038" s="113">
        <v>0.75</v>
      </c>
      <c r="I1038" s="523">
        <f t="shared" si="93"/>
        <v>0.14000000000000001</v>
      </c>
      <c r="J1038" s="532" t="s">
        <v>5</v>
      </c>
      <c r="K1038" s="111"/>
      <c r="L1038" s="517"/>
      <c r="M1038" s="111"/>
    </row>
    <row r="1039" spans="1:13" s="525" customFormat="1" ht="16.5" hidden="1" customHeight="1">
      <c r="A1039" s="81"/>
      <c r="B1039" s="111"/>
      <c r="C1039" s="515">
        <v>1</v>
      </c>
      <c r="D1039" s="553" t="s">
        <v>265</v>
      </c>
      <c r="E1039" s="534">
        <v>0.5</v>
      </c>
      <c r="F1039" s="113">
        <v>2.7</v>
      </c>
      <c r="G1039" s="113">
        <v>0.15</v>
      </c>
      <c r="H1039" s="113">
        <v>1.8</v>
      </c>
      <c r="I1039" s="523">
        <f t="shared" si="93"/>
        <v>0.36</v>
      </c>
      <c r="J1039" s="532" t="s">
        <v>5</v>
      </c>
      <c r="K1039" s="111"/>
      <c r="L1039" s="517"/>
      <c r="M1039" s="111"/>
    </row>
    <row r="1040" spans="1:13" s="525" customFormat="1" ht="16.5" hidden="1" customHeight="1">
      <c r="A1040" s="81"/>
      <c r="B1040" s="111"/>
      <c r="C1040" s="515">
        <v>1</v>
      </c>
      <c r="D1040" s="553" t="s">
        <v>265</v>
      </c>
      <c r="E1040" s="534">
        <v>1</v>
      </c>
      <c r="F1040" s="113">
        <v>1</v>
      </c>
      <c r="G1040" s="113">
        <v>0.15</v>
      </c>
      <c r="H1040" s="113">
        <v>1.4</v>
      </c>
      <c r="I1040" s="523">
        <f t="shared" si="93"/>
        <v>0.21</v>
      </c>
      <c r="J1040" s="532" t="s">
        <v>5</v>
      </c>
      <c r="K1040" s="111"/>
      <c r="L1040" s="517"/>
      <c r="M1040" s="111"/>
    </row>
    <row r="1041" spans="1:13" s="525" customFormat="1" ht="16.5" hidden="1" customHeight="1">
      <c r="A1041" s="81"/>
      <c r="B1041" s="111"/>
      <c r="C1041" s="515">
        <v>1</v>
      </c>
      <c r="D1041" s="553" t="s">
        <v>265</v>
      </c>
      <c r="E1041" s="534">
        <v>1</v>
      </c>
      <c r="F1041" s="113">
        <v>1.73</v>
      </c>
      <c r="G1041" s="113">
        <v>0.15</v>
      </c>
      <c r="H1041" s="113">
        <v>1.8</v>
      </c>
      <c r="I1041" s="523">
        <f t="shared" si="93"/>
        <v>0.47</v>
      </c>
      <c r="J1041" s="532" t="s">
        <v>5</v>
      </c>
      <c r="K1041" s="111"/>
      <c r="L1041" s="517"/>
      <c r="M1041" s="111"/>
    </row>
    <row r="1042" spans="1:13" s="525" customFormat="1" ht="16.5" hidden="1" customHeight="1">
      <c r="A1042" s="81"/>
      <c r="B1042" s="111"/>
      <c r="C1042" s="515">
        <v>1</v>
      </c>
      <c r="D1042" s="553" t="s">
        <v>265</v>
      </c>
      <c r="E1042" s="534">
        <v>1</v>
      </c>
      <c r="F1042" s="113">
        <v>2.65</v>
      </c>
      <c r="G1042" s="113">
        <v>0.15</v>
      </c>
      <c r="H1042" s="113">
        <v>1.2</v>
      </c>
      <c r="I1042" s="523">
        <f t="shared" si="93"/>
        <v>0.48</v>
      </c>
      <c r="J1042" s="532" t="s">
        <v>5</v>
      </c>
      <c r="K1042" s="111"/>
      <c r="L1042" s="517"/>
      <c r="M1042" s="111"/>
    </row>
    <row r="1043" spans="1:13" s="525" customFormat="1" ht="16.5" hidden="1" customHeight="1">
      <c r="A1043" s="81"/>
      <c r="B1043" s="111"/>
      <c r="C1043" s="515">
        <v>1</v>
      </c>
      <c r="D1043" s="553" t="s">
        <v>265</v>
      </c>
      <c r="E1043" s="534">
        <v>1</v>
      </c>
      <c r="F1043" s="113">
        <v>2.85</v>
      </c>
      <c r="G1043" s="113">
        <v>0.15</v>
      </c>
      <c r="H1043" s="113">
        <v>1.2</v>
      </c>
      <c r="I1043" s="523">
        <f t="shared" si="93"/>
        <v>0.51</v>
      </c>
      <c r="J1043" s="532" t="s">
        <v>5</v>
      </c>
      <c r="K1043" s="111"/>
      <c r="L1043" s="517"/>
      <c r="M1043" s="111"/>
    </row>
    <row r="1044" spans="1:13" s="525" customFormat="1" ht="16.5" hidden="1" customHeight="1">
      <c r="A1044" s="81"/>
      <c r="B1044" s="526"/>
      <c r="C1044" s="527"/>
      <c r="D1044" s="528"/>
      <c r="E1044" s="529"/>
      <c r="F1044" s="530"/>
      <c r="G1044" s="530"/>
      <c r="H1044" s="530"/>
      <c r="I1044" s="531"/>
      <c r="J1044" s="532"/>
      <c r="K1044" s="111"/>
      <c r="L1044" s="517"/>
      <c r="M1044" s="111"/>
    </row>
    <row r="1045" spans="1:13" hidden="1">
      <c r="A1045" s="81"/>
      <c r="B1045" s="111"/>
      <c r="C1045" s="112"/>
      <c r="D1045" s="533"/>
      <c r="E1045" s="534"/>
      <c r="F1045" s="113"/>
      <c r="G1045" s="539"/>
      <c r="H1045" s="81"/>
      <c r="I1045" s="531"/>
      <c r="J1045" s="532" t="s">
        <v>5</v>
      </c>
      <c r="K1045" s="12">
        <f>'DATA 2024-25'!G488</f>
        <v>7453.36</v>
      </c>
      <c r="L1045" s="517" t="s">
        <v>266</v>
      </c>
      <c r="M1045" s="11">
        <f>ROUND(I1045*K1045,0)</f>
        <v>0</v>
      </c>
    </row>
    <row r="1046" spans="1:13" ht="54.75" hidden="1" customHeight="1">
      <c r="A1046" s="81">
        <v>21</v>
      </c>
      <c r="B1046" s="910" t="s">
        <v>123</v>
      </c>
      <c r="C1046" s="910"/>
      <c r="D1046" s="910"/>
      <c r="E1046" s="910"/>
      <c r="F1046" s="910"/>
      <c r="G1046" s="910"/>
      <c r="H1046" s="910"/>
      <c r="I1046" s="515"/>
      <c r="J1046" s="516"/>
      <c r="K1046" s="81"/>
      <c r="L1046" s="517"/>
      <c r="M1046" s="110"/>
    </row>
    <row r="1047" spans="1:13" s="525" customFormat="1" ht="16.5" hidden="1" customHeight="1">
      <c r="A1047" s="81"/>
      <c r="B1047" s="111" t="s">
        <v>1310</v>
      </c>
      <c r="C1047" s="515"/>
      <c r="D1047" s="553"/>
      <c r="E1047" s="534"/>
      <c r="F1047" s="113"/>
      <c r="G1047" s="113"/>
      <c r="H1047" s="113"/>
      <c r="I1047" s="554"/>
      <c r="J1047" s="532"/>
      <c r="K1047" s="111"/>
      <c r="L1047" s="517"/>
      <c r="M1047" s="111"/>
    </row>
    <row r="1048" spans="1:13" s="525" customFormat="1" ht="16.5" hidden="1" customHeight="1">
      <c r="A1048" s="81"/>
      <c r="B1048" s="111" t="s">
        <v>1308</v>
      </c>
      <c r="C1048" s="515">
        <v>1</v>
      </c>
      <c r="D1048" s="553" t="s">
        <v>265</v>
      </c>
      <c r="E1048" s="534">
        <v>1</v>
      </c>
      <c r="F1048" s="113">
        <v>2.96</v>
      </c>
      <c r="G1048" s="113">
        <v>0.86</v>
      </c>
      <c r="H1048" s="113">
        <v>0</v>
      </c>
      <c r="I1048" s="523">
        <f t="shared" ref="I1048:I1053" si="94">ROUND(IF(AND(F1048:H1048),C1048*E1048*F1048*G1048*H1048,IF(AND(F1048,G1048),C1048*E1048*F1048*G1048,IF(AND(F1048,H1048),C1048*E1048*F1048*H1048,IF(AND(G1048,H1048),C1048*E1048*G1048*H1048,IF(F1048,C1048*E1048*F1048,IF(G1048,C1048*E1048*G1048,IF(H1048,C1048*E1048*H1048,C1048*E1048))))))),2)</f>
        <v>2.5499999999999998</v>
      </c>
      <c r="J1048" s="532" t="s">
        <v>102</v>
      </c>
      <c r="K1048" s="111"/>
      <c r="L1048" s="517"/>
      <c r="M1048" s="111"/>
    </row>
    <row r="1049" spans="1:13" s="525" customFormat="1" ht="16.5" hidden="1" customHeight="1">
      <c r="A1049" s="81"/>
      <c r="B1049" s="111" t="s">
        <v>1023</v>
      </c>
      <c r="C1049" s="515">
        <v>1</v>
      </c>
      <c r="D1049" s="553" t="s">
        <v>265</v>
      </c>
      <c r="E1049" s="534">
        <v>2</v>
      </c>
      <c r="F1049" s="113">
        <v>2.7</v>
      </c>
      <c r="G1049" s="113">
        <v>0</v>
      </c>
      <c r="H1049" s="113">
        <v>0.3</v>
      </c>
      <c r="I1049" s="523">
        <f t="shared" si="94"/>
        <v>1.62</v>
      </c>
      <c r="J1049" s="532" t="s">
        <v>102</v>
      </c>
      <c r="K1049" s="111"/>
      <c r="L1049" s="517"/>
      <c r="M1049" s="111"/>
    </row>
    <row r="1050" spans="1:13" s="525" customFormat="1" ht="16.5" hidden="1" customHeight="1">
      <c r="A1050" s="81"/>
      <c r="B1050" s="111" t="s">
        <v>1311</v>
      </c>
      <c r="C1050" s="515">
        <v>1</v>
      </c>
      <c r="D1050" s="553" t="s">
        <v>265</v>
      </c>
      <c r="E1050" s="534">
        <v>1</v>
      </c>
      <c r="F1050" s="113">
        <v>3.37</v>
      </c>
      <c r="G1050" s="113">
        <v>2.69</v>
      </c>
      <c r="H1050" s="113">
        <v>0</v>
      </c>
      <c r="I1050" s="523">
        <f t="shared" si="94"/>
        <v>9.07</v>
      </c>
      <c r="J1050" s="532" t="s">
        <v>102</v>
      </c>
      <c r="K1050" s="111"/>
      <c r="L1050" s="517"/>
      <c r="M1050" s="111"/>
    </row>
    <row r="1051" spans="1:13" s="525" customFormat="1" ht="16.5" hidden="1" customHeight="1">
      <c r="A1051" s="81"/>
      <c r="B1051" s="111" t="s">
        <v>574</v>
      </c>
      <c r="C1051" s="515">
        <v>1</v>
      </c>
      <c r="D1051" s="553" t="s">
        <v>265</v>
      </c>
      <c r="E1051" s="534">
        <v>1</v>
      </c>
      <c r="F1051" s="113">
        <v>0.75</v>
      </c>
      <c r="G1051" s="113">
        <v>3.24</v>
      </c>
      <c r="H1051" s="113">
        <v>0</v>
      </c>
      <c r="I1051" s="523">
        <f t="shared" si="94"/>
        <v>2.4300000000000002</v>
      </c>
      <c r="J1051" s="532" t="s">
        <v>102</v>
      </c>
      <c r="K1051" s="111"/>
      <c r="L1051" s="517"/>
      <c r="M1051" s="111"/>
    </row>
    <row r="1052" spans="1:13" s="525" customFormat="1" ht="16.5" hidden="1" customHeight="1">
      <c r="A1052" s="81"/>
      <c r="B1052" s="111" t="s">
        <v>1023</v>
      </c>
      <c r="C1052" s="515">
        <v>1</v>
      </c>
      <c r="D1052" s="553" t="s">
        <v>265</v>
      </c>
      <c r="E1052" s="534">
        <v>2</v>
      </c>
      <c r="F1052" s="113">
        <v>0.78</v>
      </c>
      <c r="G1052" s="113">
        <v>0</v>
      </c>
      <c r="H1052" s="113">
        <v>0.3</v>
      </c>
      <c r="I1052" s="523">
        <f t="shared" si="94"/>
        <v>0.47</v>
      </c>
      <c r="J1052" s="532" t="s">
        <v>102</v>
      </c>
      <c r="K1052" s="111"/>
      <c r="L1052" s="517"/>
      <c r="M1052" s="111"/>
    </row>
    <row r="1053" spans="1:13" s="525" customFormat="1" ht="16.5" hidden="1" customHeight="1">
      <c r="A1053" s="81"/>
      <c r="B1053" s="111" t="s">
        <v>1312</v>
      </c>
      <c r="C1053" s="515">
        <v>1</v>
      </c>
      <c r="D1053" s="553" t="s">
        <v>265</v>
      </c>
      <c r="E1053" s="534">
        <v>2</v>
      </c>
      <c r="F1053" s="113">
        <v>4.5999999999999996</v>
      </c>
      <c r="G1053" s="113">
        <v>0.88</v>
      </c>
      <c r="H1053" s="113">
        <v>0</v>
      </c>
      <c r="I1053" s="523">
        <f t="shared" si="94"/>
        <v>8.1</v>
      </c>
      <c r="J1053" s="532" t="s">
        <v>102</v>
      </c>
      <c r="K1053" s="111"/>
      <c r="L1053" s="517"/>
      <c r="M1053" s="111"/>
    </row>
    <row r="1054" spans="1:13" s="525" customFormat="1" ht="16.5" hidden="1" customHeight="1">
      <c r="A1054" s="81"/>
      <c r="B1054" s="526"/>
      <c r="C1054" s="527"/>
      <c r="D1054" s="528"/>
      <c r="E1054" s="529"/>
      <c r="F1054" s="530"/>
      <c r="G1054" s="530"/>
      <c r="H1054" s="530"/>
      <c r="I1054" s="531"/>
      <c r="J1054" s="532"/>
      <c r="K1054" s="111"/>
      <c r="L1054" s="517"/>
      <c r="M1054" s="111"/>
    </row>
    <row r="1055" spans="1:13" hidden="1">
      <c r="A1055" s="81"/>
      <c r="B1055" s="111"/>
      <c r="C1055" s="112"/>
      <c r="D1055" s="533"/>
      <c r="E1055" s="534"/>
      <c r="F1055" s="113"/>
      <c r="G1055" s="539"/>
      <c r="H1055" s="81"/>
      <c r="I1055" s="531"/>
      <c r="J1055" s="532" t="s">
        <v>102</v>
      </c>
      <c r="K1055" s="12">
        <f>'DATA 2024-25'!G505</f>
        <v>462.35</v>
      </c>
      <c r="L1055" s="517" t="s">
        <v>267</v>
      </c>
      <c r="M1055" s="11">
        <f>ROUND(I1055*K1055,0)</f>
        <v>0</v>
      </c>
    </row>
    <row r="1056" spans="1:13" ht="42" hidden="1" customHeight="1">
      <c r="A1056" s="81">
        <v>19</v>
      </c>
      <c r="B1056" s="910" t="s">
        <v>124</v>
      </c>
      <c r="C1056" s="910"/>
      <c r="D1056" s="910"/>
      <c r="E1056" s="910"/>
      <c r="F1056" s="910"/>
      <c r="G1056" s="910"/>
      <c r="H1056" s="910"/>
      <c r="I1056" s="515"/>
      <c r="J1056" s="516"/>
      <c r="K1056" s="81"/>
      <c r="L1056" s="517"/>
      <c r="M1056" s="110"/>
    </row>
    <row r="1057" spans="1:13" s="525" customFormat="1" ht="16.5" hidden="1" customHeight="1">
      <c r="A1057" s="81"/>
      <c r="B1057" s="542" t="s">
        <v>1288</v>
      </c>
      <c r="C1057" s="547"/>
      <c r="D1057" s="548"/>
      <c r="E1057" s="549"/>
      <c r="F1057" s="550"/>
      <c r="G1057" s="550"/>
      <c r="H1057" s="551"/>
      <c r="I1057" s="552"/>
      <c r="J1057" s="532"/>
      <c r="K1057" s="111"/>
      <c r="L1057" s="517"/>
      <c r="M1057" s="111"/>
    </row>
    <row r="1058" spans="1:13" s="525" customFormat="1" ht="16.5" hidden="1" customHeight="1">
      <c r="A1058" s="81"/>
      <c r="B1058" s="526"/>
      <c r="C1058" s="527">
        <v>1</v>
      </c>
      <c r="D1058" s="528" t="s">
        <v>265</v>
      </c>
      <c r="E1058" s="529">
        <v>1</v>
      </c>
      <c r="F1058" s="530">
        <v>30.18</v>
      </c>
      <c r="G1058" s="530">
        <v>0</v>
      </c>
      <c r="H1058" s="530">
        <v>3.46</v>
      </c>
      <c r="I1058" s="531">
        <f t="shared" ref="I1058:I1064" si="95">ROUND(IF(AND(F1058:H1058),C1058*E1058*F1058*G1058*H1058,IF(AND(F1058,G1058),C1058*E1058*F1058*G1058,IF(AND(F1058,H1058),C1058*E1058*F1058*H1058,IF(AND(G1058,H1058),C1058*E1058*G1058*H1058,IF(F1058,C1058*E1058*F1058,IF(G1058,C1058*E1058*G1058,IF(H1058,C1058*E1058*H1058,C1058*E1058))))))),2)</f>
        <v>104.42</v>
      </c>
      <c r="J1058" s="532" t="s">
        <v>102</v>
      </c>
      <c r="K1058" s="111"/>
      <c r="L1058" s="517"/>
      <c r="M1058" s="111"/>
    </row>
    <row r="1059" spans="1:13" s="525" customFormat="1" ht="16.5" hidden="1" customHeight="1">
      <c r="A1059" s="81"/>
      <c r="B1059" s="526"/>
      <c r="C1059" s="527">
        <v>1</v>
      </c>
      <c r="D1059" s="528" t="s">
        <v>265</v>
      </c>
      <c r="E1059" s="529">
        <v>2</v>
      </c>
      <c r="F1059" s="530">
        <v>14.6</v>
      </c>
      <c r="G1059" s="530">
        <v>0</v>
      </c>
      <c r="H1059" s="530">
        <v>3.46</v>
      </c>
      <c r="I1059" s="531">
        <f t="shared" si="95"/>
        <v>101.03</v>
      </c>
      <c r="J1059" s="532" t="s">
        <v>102</v>
      </c>
      <c r="K1059" s="111"/>
      <c r="L1059" s="517"/>
      <c r="M1059" s="111"/>
    </row>
    <row r="1060" spans="1:13" s="525" customFormat="1" ht="16.5" hidden="1" customHeight="1">
      <c r="A1060" s="81"/>
      <c r="B1060" s="526"/>
      <c r="C1060" s="527">
        <v>1</v>
      </c>
      <c r="D1060" s="528" t="s">
        <v>265</v>
      </c>
      <c r="E1060" s="529">
        <v>1</v>
      </c>
      <c r="F1060" s="530">
        <v>14.6</v>
      </c>
      <c r="G1060" s="530">
        <v>0</v>
      </c>
      <c r="H1060" s="530">
        <v>3.46</v>
      </c>
      <c r="I1060" s="531">
        <f t="shared" si="95"/>
        <v>50.52</v>
      </c>
      <c r="J1060" s="532" t="s">
        <v>102</v>
      </c>
      <c r="K1060" s="111"/>
      <c r="L1060" s="517"/>
      <c r="M1060" s="111"/>
    </row>
    <row r="1061" spans="1:13" s="525" customFormat="1" ht="16.5" hidden="1" customHeight="1">
      <c r="A1061" s="81"/>
      <c r="B1061" s="526"/>
      <c r="C1061" s="527">
        <v>2</v>
      </c>
      <c r="D1061" s="528" t="s">
        <v>265</v>
      </c>
      <c r="E1061" s="529">
        <v>2</v>
      </c>
      <c r="F1061" s="530">
        <v>5.73</v>
      </c>
      <c r="G1061" s="530">
        <v>0</v>
      </c>
      <c r="H1061" s="530">
        <v>0.38</v>
      </c>
      <c r="I1061" s="531">
        <f t="shared" si="95"/>
        <v>8.7100000000000009</v>
      </c>
      <c r="J1061" s="532" t="s">
        <v>102</v>
      </c>
      <c r="K1061" s="111"/>
      <c r="L1061" s="517"/>
      <c r="M1061" s="111"/>
    </row>
    <row r="1062" spans="1:13" s="525" customFormat="1" ht="16.5" hidden="1" customHeight="1">
      <c r="A1062" s="81"/>
      <c r="B1062" s="526"/>
      <c r="C1062" s="527">
        <v>2</v>
      </c>
      <c r="D1062" s="528" t="s">
        <v>265</v>
      </c>
      <c r="E1062" s="529">
        <v>2</v>
      </c>
      <c r="F1062" s="530">
        <v>0.84</v>
      </c>
      <c r="G1062" s="530">
        <v>0</v>
      </c>
      <c r="H1062" s="530">
        <v>0.3</v>
      </c>
      <c r="I1062" s="531">
        <f t="shared" si="95"/>
        <v>1.01</v>
      </c>
      <c r="J1062" s="532" t="s">
        <v>102</v>
      </c>
      <c r="K1062" s="111"/>
      <c r="L1062" s="517"/>
      <c r="M1062" s="111"/>
    </row>
    <row r="1063" spans="1:13" s="525" customFormat="1" ht="16.5" hidden="1" customHeight="1">
      <c r="A1063" s="81"/>
      <c r="B1063" s="526"/>
      <c r="C1063" s="527">
        <v>2</v>
      </c>
      <c r="D1063" s="528" t="s">
        <v>265</v>
      </c>
      <c r="E1063" s="529">
        <v>2</v>
      </c>
      <c r="F1063" s="530">
        <v>1.77</v>
      </c>
      <c r="G1063" s="530">
        <v>0</v>
      </c>
      <c r="H1063" s="530">
        <v>0.3</v>
      </c>
      <c r="I1063" s="531">
        <f t="shared" si="95"/>
        <v>2.12</v>
      </c>
      <c r="J1063" s="532" t="s">
        <v>102</v>
      </c>
      <c r="K1063" s="111"/>
      <c r="L1063" s="517"/>
      <c r="M1063" s="111"/>
    </row>
    <row r="1064" spans="1:13" s="525" customFormat="1" ht="16.5" hidden="1" customHeight="1">
      <c r="A1064" s="81"/>
      <c r="B1064" s="526"/>
      <c r="C1064" s="527">
        <v>1</v>
      </c>
      <c r="D1064" s="528" t="s">
        <v>265</v>
      </c>
      <c r="E1064" s="529">
        <v>2</v>
      </c>
      <c r="F1064" s="530">
        <v>10.45</v>
      </c>
      <c r="G1064" s="530">
        <v>0</v>
      </c>
      <c r="H1064" s="530">
        <v>0.3</v>
      </c>
      <c r="I1064" s="531">
        <f t="shared" si="95"/>
        <v>6.27</v>
      </c>
      <c r="J1064" s="532" t="s">
        <v>102</v>
      </c>
      <c r="K1064" s="111"/>
      <c r="L1064" s="517"/>
      <c r="M1064" s="111"/>
    </row>
    <row r="1065" spans="1:13" s="525" customFormat="1" ht="16.5" hidden="1" customHeight="1">
      <c r="A1065" s="81"/>
      <c r="B1065" s="526"/>
      <c r="C1065" s="527">
        <v>1</v>
      </c>
      <c r="D1065" s="528" t="s">
        <v>265</v>
      </c>
      <c r="E1065" s="529">
        <v>11</v>
      </c>
      <c r="F1065" s="530">
        <v>1.2</v>
      </c>
      <c r="G1065" s="530">
        <v>0</v>
      </c>
      <c r="H1065" s="530">
        <v>1.2</v>
      </c>
      <c r="I1065" s="531">
        <f>-ROUND(IF(AND(F1065:H1065),C1065*E1065*F1065*G1065*H1065,IF(AND(F1065,G1065),C1065*E1065*F1065*G1065,IF(AND(F1065,H1065),C1065*E1065*F1065*H1065,IF(AND(G1065,H1065),C1065*E1065*G1065*H1065,IF(F1065,C1065*E1065*F1065,IF(G1065,C1065*E1065*G1065,IF(H1065,C1065*E1065*H1065,C1065*E1065))))))),2)</f>
        <v>-15.84</v>
      </c>
      <c r="J1065" s="532" t="s">
        <v>102</v>
      </c>
      <c r="K1065" s="111"/>
      <c r="L1065" s="517"/>
      <c r="M1065" s="111"/>
    </row>
    <row r="1066" spans="1:13" s="525" customFormat="1" ht="16.5" hidden="1" customHeight="1">
      <c r="A1066" s="81"/>
      <c r="B1066" s="526"/>
      <c r="C1066" s="527">
        <v>1</v>
      </c>
      <c r="D1066" s="528" t="s">
        <v>265</v>
      </c>
      <c r="E1066" s="529">
        <v>0.2</v>
      </c>
      <c r="F1066" s="530">
        <v>1.2</v>
      </c>
      <c r="G1066" s="530">
        <v>0</v>
      </c>
      <c r="H1066" s="530">
        <v>2.1</v>
      </c>
      <c r="I1066" s="531">
        <f>-ROUND(IF(AND(F1066:H1066),C1066*E1066*F1066*G1066*H1066,IF(AND(F1066,G1066),C1066*E1066*F1066*G1066,IF(AND(F1066,H1066),C1066*E1066*F1066*H1066,IF(AND(G1066,H1066),C1066*E1066*G1066*H1066,IF(F1066,C1066*E1066*F1066,IF(G1066,C1066*E1066*G1066,IF(H1066,C1066*E1066*H1066,C1066*E1066))))))),2)</f>
        <v>-0.5</v>
      </c>
      <c r="J1066" s="532" t="s">
        <v>102</v>
      </c>
      <c r="K1066" s="111"/>
      <c r="L1066" s="517"/>
      <c r="M1066" s="111"/>
    </row>
    <row r="1067" spans="1:13" s="525" customFormat="1" ht="16.5" hidden="1" customHeight="1">
      <c r="A1067" s="81"/>
      <c r="B1067" s="526"/>
      <c r="C1067" s="527">
        <v>1</v>
      </c>
      <c r="D1067" s="528" t="s">
        <v>265</v>
      </c>
      <c r="E1067" s="529">
        <v>0.2</v>
      </c>
      <c r="F1067" s="530">
        <v>1.05</v>
      </c>
      <c r="G1067" s="530">
        <v>0</v>
      </c>
      <c r="H1067" s="530">
        <v>2.1</v>
      </c>
      <c r="I1067" s="531">
        <f>-ROUND(IF(AND(F1067:H1067),C1067*E1067*F1067*G1067*H1067,IF(AND(F1067,G1067),C1067*E1067*F1067*G1067,IF(AND(F1067,H1067),C1067*E1067*F1067*H1067,IF(AND(G1067,H1067),C1067*E1067*G1067*H1067,IF(F1067,C1067*E1067*F1067,IF(G1067,C1067*E1067*G1067,IF(H1067,C1067*E1067*H1067,C1067*E1067))))))),2)</f>
        <v>-0.44</v>
      </c>
      <c r="J1067" s="532" t="s">
        <v>102</v>
      </c>
      <c r="K1067" s="111"/>
      <c r="L1067" s="517"/>
      <c r="M1067" s="111"/>
    </row>
    <row r="1068" spans="1:13" s="525" customFormat="1" ht="16.5" hidden="1" customHeight="1">
      <c r="A1068" s="81"/>
      <c r="B1068" s="526"/>
      <c r="C1068" s="527">
        <v>1</v>
      </c>
      <c r="D1068" s="528" t="s">
        <v>265</v>
      </c>
      <c r="E1068" s="529">
        <v>11</v>
      </c>
      <c r="F1068" s="530">
        <v>0.45</v>
      </c>
      <c r="G1068" s="530">
        <v>0</v>
      </c>
      <c r="H1068" s="530">
        <v>0.3</v>
      </c>
      <c r="I1068" s="531">
        <f>-ROUND(IF(AND(F1068:H1068),C1068*E1068*F1068*G1068*H1068,IF(AND(F1068,G1068),C1068*E1068*F1068*G1068,IF(AND(F1068,H1068),C1068*E1068*F1068*H1068,IF(AND(G1068,H1068),C1068*E1068*G1068*H1068,IF(F1068,C1068*E1068*F1068,IF(G1068,C1068*E1068*G1068,IF(H1068,C1068*E1068*H1068,C1068*E1068))))))),2)</f>
        <v>-1.49</v>
      </c>
      <c r="J1068" s="532" t="s">
        <v>102</v>
      </c>
      <c r="K1068" s="111"/>
      <c r="L1068" s="517"/>
      <c r="M1068" s="111"/>
    </row>
    <row r="1069" spans="1:13" s="525" customFormat="1" ht="16.5" hidden="1" customHeight="1">
      <c r="A1069" s="81"/>
      <c r="B1069" s="526"/>
      <c r="C1069" s="527">
        <v>1</v>
      </c>
      <c r="D1069" s="528" t="s">
        <v>265</v>
      </c>
      <c r="E1069" s="529">
        <v>1</v>
      </c>
      <c r="F1069" s="530">
        <v>0.6</v>
      </c>
      <c r="G1069" s="530">
        <v>0</v>
      </c>
      <c r="H1069" s="530">
        <v>0.3</v>
      </c>
      <c r="I1069" s="531">
        <f>-ROUND(IF(AND(F1069:H1069),C1069*E1069*F1069*G1069*H1069,IF(AND(F1069,G1069),C1069*E1069*F1069*G1069,IF(AND(F1069,H1069),C1069*E1069*F1069*H1069,IF(AND(G1069,H1069),C1069*E1069*G1069*H1069,IF(F1069,C1069*E1069*F1069,IF(G1069,C1069*E1069*G1069,IF(H1069,C1069*E1069*H1069,C1069*E1069))))))),2)</f>
        <v>-0.18</v>
      </c>
      <c r="J1069" s="532" t="s">
        <v>102</v>
      </c>
      <c r="K1069" s="111"/>
      <c r="L1069" s="517"/>
      <c r="M1069" s="111"/>
    </row>
    <row r="1070" spans="1:13" s="525" customFormat="1" ht="16.5" hidden="1" customHeight="1">
      <c r="A1070" s="81"/>
      <c r="B1070" s="526"/>
      <c r="C1070" s="527">
        <v>1</v>
      </c>
      <c r="D1070" s="528" t="s">
        <v>265</v>
      </c>
      <c r="E1070" s="529">
        <v>1</v>
      </c>
      <c r="F1070" s="530">
        <v>10.45</v>
      </c>
      <c r="G1070" s="530">
        <v>0</v>
      </c>
      <c r="H1070" s="530">
        <v>1.94</v>
      </c>
      <c r="I1070" s="531">
        <f t="shared" ref="I1070:I1089" si="96">ROUND(IF(AND(F1070:H1070),C1070*E1070*F1070*G1070*H1070,IF(AND(F1070,G1070),C1070*E1070*F1070*G1070,IF(AND(F1070,H1070),C1070*E1070*F1070*H1070,IF(AND(G1070,H1070),C1070*E1070*G1070*H1070,IF(F1070,C1070*E1070*F1070,IF(G1070,C1070*E1070*G1070,IF(H1070,C1070*E1070*H1070,C1070*E1070))))))),2)</f>
        <v>20.27</v>
      </c>
      <c r="J1070" s="532" t="s">
        <v>102</v>
      </c>
      <c r="K1070" s="111"/>
      <c r="L1070" s="517"/>
      <c r="M1070" s="111"/>
    </row>
    <row r="1071" spans="1:13" s="525" customFormat="1" ht="16.5" hidden="1" customHeight="1">
      <c r="A1071" s="81"/>
      <c r="B1071" s="526"/>
      <c r="C1071" s="527">
        <v>2</v>
      </c>
      <c r="D1071" s="528" t="s">
        <v>265</v>
      </c>
      <c r="E1071" s="529">
        <v>2</v>
      </c>
      <c r="F1071" s="530">
        <v>10.65</v>
      </c>
      <c r="G1071" s="530">
        <v>0</v>
      </c>
      <c r="H1071" s="530">
        <v>1.94</v>
      </c>
      <c r="I1071" s="531">
        <f t="shared" si="96"/>
        <v>82.64</v>
      </c>
      <c r="J1071" s="532" t="s">
        <v>102</v>
      </c>
      <c r="K1071" s="111"/>
      <c r="L1071" s="517"/>
      <c r="M1071" s="111"/>
    </row>
    <row r="1072" spans="1:13" s="525" customFormat="1" ht="16.5" hidden="1" customHeight="1">
      <c r="A1072" s="81"/>
      <c r="B1072" s="526"/>
      <c r="C1072" s="527">
        <v>1</v>
      </c>
      <c r="D1072" s="528" t="s">
        <v>265</v>
      </c>
      <c r="E1072" s="529">
        <v>2</v>
      </c>
      <c r="F1072" s="530">
        <v>3.4</v>
      </c>
      <c r="G1072" s="530">
        <v>0</v>
      </c>
      <c r="H1072" s="530">
        <v>2.63</v>
      </c>
      <c r="I1072" s="531">
        <f t="shared" si="96"/>
        <v>17.88</v>
      </c>
      <c r="J1072" s="532" t="s">
        <v>102</v>
      </c>
      <c r="K1072" s="111"/>
      <c r="L1072" s="517"/>
      <c r="M1072" s="111"/>
    </row>
    <row r="1073" spans="1:13" s="525" customFormat="1" ht="16.5" hidden="1" customHeight="1">
      <c r="A1073" s="81"/>
      <c r="B1073" s="526"/>
      <c r="C1073" s="527">
        <v>1</v>
      </c>
      <c r="D1073" s="528" t="s">
        <v>265</v>
      </c>
      <c r="E1073" s="529">
        <v>1</v>
      </c>
      <c r="F1073" s="530">
        <v>3.62</v>
      </c>
      <c r="G1073" s="530">
        <v>0</v>
      </c>
      <c r="H1073" s="530">
        <v>0.9</v>
      </c>
      <c r="I1073" s="531">
        <f t="shared" si="96"/>
        <v>3.26</v>
      </c>
      <c r="J1073" s="532" t="s">
        <v>102</v>
      </c>
      <c r="K1073" s="111"/>
      <c r="L1073" s="517"/>
      <c r="M1073" s="111"/>
    </row>
    <row r="1074" spans="1:13" s="525" customFormat="1" ht="16.5" hidden="1" customHeight="1">
      <c r="A1074" s="81"/>
      <c r="B1074" s="526"/>
      <c r="C1074" s="527">
        <v>1</v>
      </c>
      <c r="D1074" s="528" t="s">
        <v>265</v>
      </c>
      <c r="E1074" s="570">
        <v>0.5</v>
      </c>
      <c r="F1074" s="530">
        <v>3.44</v>
      </c>
      <c r="G1074" s="530">
        <v>0</v>
      </c>
      <c r="H1074" s="530">
        <v>0.89</v>
      </c>
      <c r="I1074" s="531">
        <f t="shared" si="96"/>
        <v>1.53</v>
      </c>
      <c r="J1074" s="532" t="s">
        <v>102</v>
      </c>
      <c r="K1074" s="111"/>
      <c r="L1074" s="517"/>
      <c r="M1074" s="111"/>
    </row>
    <row r="1075" spans="1:13" s="525" customFormat="1" ht="16.5" hidden="1" customHeight="1">
      <c r="A1075" s="81"/>
      <c r="B1075" s="526"/>
      <c r="C1075" s="527">
        <v>1</v>
      </c>
      <c r="D1075" s="528" t="s">
        <v>265</v>
      </c>
      <c r="E1075" s="529">
        <v>1</v>
      </c>
      <c r="F1075" s="530">
        <v>1.9</v>
      </c>
      <c r="G1075" s="530">
        <v>0</v>
      </c>
      <c r="H1075" s="530">
        <v>1.78</v>
      </c>
      <c r="I1075" s="531">
        <f t="shared" si="96"/>
        <v>3.38</v>
      </c>
      <c r="J1075" s="532" t="s">
        <v>102</v>
      </c>
      <c r="K1075" s="111"/>
      <c r="L1075" s="517"/>
      <c r="M1075" s="111"/>
    </row>
    <row r="1076" spans="1:13" s="525" customFormat="1" ht="16.5" hidden="1" customHeight="1">
      <c r="A1076" s="81"/>
      <c r="B1076" s="526"/>
      <c r="C1076" s="527">
        <v>2</v>
      </c>
      <c r="D1076" s="528" t="s">
        <v>265</v>
      </c>
      <c r="E1076" s="570">
        <v>0.5</v>
      </c>
      <c r="F1076" s="530">
        <v>1.18</v>
      </c>
      <c r="G1076" s="530">
        <v>0</v>
      </c>
      <c r="H1076" s="530">
        <v>1.2</v>
      </c>
      <c r="I1076" s="531">
        <f t="shared" si="96"/>
        <v>1.42</v>
      </c>
      <c r="J1076" s="532" t="s">
        <v>102</v>
      </c>
      <c r="K1076" s="111"/>
      <c r="L1076" s="517"/>
      <c r="M1076" s="111"/>
    </row>
    <row r="1077" spans="1:13" s="525" customFormat="1" ht="16.5" hidden="1" customHeight="1">
      <c r="A1077" s="81"/>
      <c r="B1077" s="526"/>
      <c r="C1077" s="527">
        <v>2</v>
      </c>
      <c r="D1077" s="528" t="s">
        <v>265</v>
      </c>
      <c r="E1077" s="570">
        <v>0.5</v>
      </c>
      <c r="F1077" s="530">
        <v>1.1299999999999999</v>
      </c>
      <c r="G1077" s="530">
        <v>0</v>
      </c>
      <c r="H1077" s="530">
        <v>1.1599999999999999</v>
      </c>
      <c r="I1077" s="531">
        <f t="shared" si="96"/>
        <v>1.31</v>
      </c>
      <c r="J1077" s="532" t="s">
        <v>102</v>
      </c>
      <c r="K1077" s="111"/>
      <c r="L1077" s="517"/>
      <c r="M1077" s="111"/>
    </row>
    <row r="1078" spans="1:13" s="525" customFormat="1" ht="16.5" hidden="1" customHeight="1">
      <c r="A1078" s="81"/>
      <c r="B1078" s="526"/>
      <c r="C1078" s="527">
        <v>1</v>
      </c>
      <c r="D1078" s="528" t="s">
        <v>265</v>
      </c>
      <c r="E1078" s="529">
        <v>2</v>
      </c>
      <c r="F1078" s="530">
        <v>3.6</v>
      </c>
      <c r="G1078" s="530">
        <v>1.1299999999999999</v>
      </c>
      <c r="H1078" s="530">
        <v>0</v>
      </c>
      <c r="I1078" s="531">
        <f t="shared" si="96"/>
        <v>8.14</v>
      </c>
      <c r="J1078" s="532" t="s">
        <v>102</v>
      </c>
      <c r="K1078" s="111"/>
      <c r="L1078" s="517"/>
      <c r="M1078" s="111"/>
    </row>
    <row r="1079" spans="1:13" s="525" customFormat="1" ht="16.5" hidden="1" customHeight="1">
      <c r="A1079" s="81"/>
      <c r="B1079" s="526"/>
      <c r="C1079" s="527">
        <v>2</v>
      </c>
      <c r="D1079" s="528" t="s">
        <v>265</v>
      </c>
      <c r="E1079" s="570">
        <v>0.5</v>
      </c>
      <c r="F1079" s="530">
        <v>0.96</v>
      </c>
      <c r="G1079" s="530">
        <v>1</v>
      </c>
      <c r="H1079" s="530">
        <v>0</v>
      </c>
      <c r="I1079" s="531">
        <f t="shared" si="96"/>
        <v>0.96</v>
      </c>
      <c r="J1079" s="532" t="s">
        <v>102</v>
      </c>
      <c r="K1079" s="111"/>
      <c r="L1079" s="517"/>
      <c r="M1079" s="111"/>
    </row>
    <row r="1080" spans="1:13" s="525" customFormat="1" ht="16.5" hidden="1" customHeight="1">
      <c r="A1080" s="81"/>
      <c r="B1080" s="526"/>
      <c r="C1080" s="527">
        <v>1</v>
      </c>
      <c r="D1080" s="528" t="s">
        <v>265</v>
      </c>
      <c r="E1080" s="529">
        <v>2</v>
      </c>
      <c r="F1080" s="530">
        <v>1.33</v>
      </c>
      <c r="G1080" s="530">
        <v>2.1</v>
      </c>
      <c r="H1080" s="530">
        <v>0</v>
      </c>
      <c r="I1080" s="531">
        <f t="shared" si="96"/>
        <v>5.59</v>
      </c>
      <c r="J1080" s="532" t="s">
        <v>102</v>
      </c>
      <c r="K1080" s="111"/>
      <c r="L1080" s="517"/>
      <c r="M1080" s="111"/>
    </row>
    <row r="1081" spans="1:13" s="525" customFormat="1" ht="16.5" hidden="1" customHeight="1">
      <c r="A1081" s="81"/>
      <c r="B1081" s="526"/>
      <c r="C1081" s="527">
        <v>4</v>
      </c>
      <c r="D1081" s="528" t="s">
        <v>265</v>
      </c>
      <c r="E1081" s="577">
        <v>3.14</v>
      </c>
      <c r="F1081" s="530">
        <v>0.23</v>
      </c>
      <c r="G1081" s="530">
        <v>0</v>
      </c>
      <c r="H1081" s="530">
        <v>3.17</v>
      </c>
      <c r="I1081" s="531">
        <f t="shared" si="96"/>
        <v>9.16</v>
      </c>
      <c r="J1081" s="532" t="s">
        <v>102</v>
      </c>
      <c r="K1081" s="111"/>
      <c r="L1081" s="517"/>
      <c r="M1081" s="111"/>
    </row>
    <row r="1082" spans="1:13" s="525" customFormat="1" ht="16.5" hidden="1" customHeight="1">
      <c r="A1082" s="81"/>
      <c r="B1082" s="526"/>
      <c r="C1082" s="527">
        <v>1</v>
      </c>
      <c r="D1082" s="528" t="s">
        <v>265</v>
      </c>
      <c r="E1082" s="529">
        <v>2</v>
      </c>
      <c r="F1082" s="530">
        <v>1.47</v>
      </c>
      <c r="G1082" s="530">
        <v>0</v>
      </c>
      <c r="H1082" s="530">
        <v>0.9</v>
      </c>
      <c r="I1082" s="531">
        <f t="shared" si="96"/>
        <v>2.65</v>
      </c>
      <c r="J1082" s="532" t="s">
        <v>102</v>
      </c>
      <c r="K1082" s="111"/>
      <c r="L1082" s="517"/>
      <c r="M1082" s="111"/>
    </row>
    <row r="1083" spans="1:13" s="525" customFormat="1" ht="16.5" hidden="1" customHeight="1">
      <c r="A1083" s="81"/>
      <c r="B1083" s="526"/>
      <c r="C1083" s="527">
        <v>1</v>
      </c>
      <c r="D1083" s="528" t="s">
        <v>265</v>
      </c>
      <c r="E1083" s="529">
        <v>10</v>
      </c>
      <c r="F1083" s="530">
        <v>1.2</v>
      </c>
      <c r="G1083" s="530">
        <v>0</v>
      </c>
      <c r="H1083" s="530">
        <v>0.9</v>
      </c>
      <c r="I1083" s="531">
        <f t="shared" si="96"/>
        <v>10.8</v>
      </c>
      <c r="J1083" s="532" t="s">
        <v>102</v>
      </c>
      <c r="K1083" s="111"/>
      <c r="L1083" s="517"/>
      <c r="M1083" s="111"/>
    </row>
    <row r="1084" spans="1:13" s="525" customFormat="1" ht="16.5" hidden="1" customHeight="1">
      <c r="A1084" s="81"/>
      <c r="B1084" s="526"/>
      <c r="C1084" s="527">
        <v>1</v>
      </c>
      <c r="D1084" s="528" t="s">
        <v>265</v>
      </c>
      <c r="E1084" s="529">
        <v>2</v>
      </c>
      <c r="F1084" s="530">
        <v>0.92</v>
      </c>
      <c r="G1084" s="530">
        <v>0</v>
      </c>
      <c r="H1084" s="530">
        <v>0.9</v>
      </c>
      <c r="I1084" s="531">
        <f t="shared" si="96"/>
        <v>1.66</v>
      </c>
      <c r="J1084" s="532" t="s">
        <v>102</v>
      </c>
      <c r="K1084" s="111"/>
      <c r="L1084" s="517"/>
      <c r="M1084" s="111"/>
    </row>
    <row r="1085" spans="1:13" s="525" customFormat="1" ht="16.5" hidden="1" customHeight="1">
      <c r="A1085" s="81"/>
      <c r="B1085" s="526"/>
      <c r="C1085" s="527">
        <v>1</v>
      </c>
      <c r="D1085" s="528" t="s">
        <v>265</v>
      </c>
      <c r="E1085" s="529">
        <v>11</v>
      </c>
      <c r="F1085" s="530">
        <v>5.2</v>
      </c>
      <c r="G1085" s="530">
        <v>0.1</v>
      </c>
      <c r="H1085" s="530">
        <v>0</v>
      </c>
      <c r="I1085" s="531">
        <f t="shared" si="96"/>
        <v>5.72</v>
      </c>
      <c r="J1085" s="532" t="s">
        <v>102</v>
      </c>
      <c r="K1085" s="111"/>
      <c r="L1085" s="517"/>
      <c r="M1085" s="111"/>
    </row>
    <row r="1086" spans="1:13" s="525" customFormat="1" ht="16.5" hidden="1" customHeight="1">
      <c r="A1086" s="81"/>
      <c r="B1086" s="526"/>
      <c r="C1086" s="527">
        <v>1</v>
      </c>
      <c r="D1086" s="528" t="s">
        <v>265</v>
      </c>
      <c r="E1086" s="529">
        <v>11</v>
      </c>
      <c r="F1086" s="530">
        <v>1.5</v>
      </c>
      <c r="G1086" s="530">
        <v>3.7999999999999999E-2</v>
      </c>
      <c r="H1086" s="530">
        <v>0</v>
      </c>
      <c r="I1086" s="531">
        <f t="shared" si="96"/>
        <v>0.63</v>
      </c>
      <c r="J1086" s="532" t="s">
        <v>102</v>
      </c>
      <c r="K1086" s="111"/>
      <c r="L1086" s="517"/>
      <c r="M1086" s="111"/>
    </row>
    <row r="1087" spans="1:13" s="525" customFormat="1" ht="16.5" hidden="1" customHeight="1">
      <c r="A1087" s="81"/>
      <c r="B1087" s="526"/>
      <c r="C1087" s="527">
        <v>1</v>
      </c>
      <c r="D1087" s="528" t="s">
        <v>265</v>
      </c>
      <c r="E1087" s="529">
        <v>1</v>
      </c>
      <c r="F1087" s="530">
        <v>1.8</v>
      </c>
      <c r="G1087" s="530">
        <v>3.7999999999999999E-2</v>
      </c>
      <c r="H1087" s="530">
        <v>0</v>
      </c>
      <c r="I1087" s="531">
        <f t="shared" si="96"/>
        <v>7.0000000000000007E-2</v>
      </c>
      <c r="J1087" s="532" t="s">
        <v>102</v>
      </c>
      <c r="K1087" s="111"/>
      <c r="L1087" s="517"/>
      <c r="M1087" s="111"/>
    </row>
    <row r="1088" spans="1:13" s="525" customFormat="1" ht="16.5" hidden="1" customHeight="1">
      <c r="A1088" s="81"/>
      <c r="B1088" s="526"/>
      <c r="C1088" s="527">
        <v>1</v>
      </c>
      <c r="D1088" s="528" t="s">
        <v>265</v>
      </c>
      <c r="E1088" s="529">
        <v>9</v>
      </c>
      <c r="F1088" s="530">
        <v>2.85</v>
      </c>
      <c r="G1088" s="530">
        <v>3.2000000000000001E-2</v>
      </c>
      <c r="H1088" s="530">
        <v>0</v>
      </c>
      <c r="I1088" s="531">
        <f t="shared" si="96"/>
        <v>0.82</v>
      </c>
      <c r="J1088" s="532" t="s">
        <v>102</v>
      </c>
      <c r="K1088" s="111"/>
      <c r="L1088" s="517"/>
      <c r="M1088" s="111"/>
    </row>
    <row r="1089" spans="1:13" s="525" customFormat="1" ht="16.5" hidden="1" customHeight="1">
      <c r="A1089" s="81"/>
      <c r="B1089" s="526"/>
      <c r="C1089" s="527">
        <v>1</v>
      </c>
      <c r="D1089" s="528" t="s">
        <v>265</v>
      </c>
      <c r="E1089" s="529">
        <v>1</v>
      </c>
      <c r="F1089" s="530">
        <v>39.25</v>
      </c>
      <c r="G1089" s="530">
        <v>7.0000000000000007E-2</v>
      </c>
      <c r="H1089" s="530">
        <v>0</v>
      </c>
      <c r="I1089" s="531">
        <f t="shared" si="96"/>
        <v>2.75</v>
      </c>
      <c r="J1089" s="532" t="s">
        <v>102</v>
      </c>
      <c r="K1089" s="111"/>
      <c r="L1089" s="517"/>
      <c r="M1089" s="111"/>
    </row>
    <row r="1090" spans="1:13" s="525" customFormat="1" ht="16.5" hidden="1" customHeight="1">
      <c r="A1090" s="81"/>
      <c r="B1090" s="542" t="s">
        <v>1289</v>
      </c>
      <c r="C1090" s="547"/>
      <c r="D1090" s="548"/>
      <c r="E1090" s="549"/>
      <c r="F1090" s="550"/>
      <c r="G1090" s="550"/>
      <c r="H1090" s="551"/>
      <c r="I1090" s="552"/>
      <c r="J1090" s="532"/>
      <c r="K1090" s="111"/>
      <c r="L1090" s="517"/>
      <c r="M1090" s="111"/>
    </row>
    <row r="1091" spans="1:13" s="525" customFormat="1" ht="16.5" hidden="1" customHeight="1">
      <c r="A1091" s="81"/>
      <c r="B1091" s="526"/>
      <c r="C1091" s="527">
        <v>1</v>
      </c>
      <c r="D1091" s="528" t="s">
        <v>265</v>
      </c>
      <c r="E1091" s="529">
        <v>2</v>
      </c>
      <c r="F1091" s="530">
        <v>3.77</v>
      </c>
      <c r="G1091" s="530">
        <v>0</v>
      </c>
      <c r="H1091" s="530">
        <v>0.64</v>
      </c>
      <c r="I1091" s="531">
        <f>ROUND(IF(AND(F1091:H1091),C1091*E1091*F1091*G1091*H1091,IF(AND(F1091,G1091),C1091*E1091*F1091*G1091,IF(AND(F1091,H1091),C1091*E1091*F1091*H1091,IF(AND(G1091,H1091),C1091*E1091*G1091*H1091,IF(F1091,C1091*E1091*F1091,IF(G1091,C1091*E1091*G1091,IF(H1091,C1091*E1091*H1091,C1091*E1091))))))),2)</f>
        <v>4.83</v>
      </c>
      <c r="J1091" s="532" t="s">
        <v>102</v>
      </c>
      <c r="K1091" s="111"/>
      <c r="L1091" s="517"/>
      <c r="M1091" s="111"/>
    </row>
    <row r="1092" spans="1:13" s="525" customFormat="1" ht="16.5" hidden="1" customHeight="1">
      <c r="A1092" s="81"/>
      <c r="B1092" s="526"/>
      <c r="C1092" s="527">
        <v>1</v>
      </c>
      <c r="D1092" s="528" t="s">
        <v>265</v>
      </c>
      <c r="E1092" s="529">
        <v>1</v>
      </c>
      <c r="F1092" s="530">
        <v>3.66</v>
      </c>
      <c r="G1092" s="530">
        <v>0</v>
      </c>
      <c r="H1092" s="530">
        <v>1.74</v>
      </c>
      <c r="I1092" s="531">
        <f>ROUND(IF(AND(F1092:H1092),C1092*E1092*F1092*G1092*H1092,IF(AND(F1092,G1092),C1092*E1092*F1092*G1092,IF(AND(F1092,H1092),C1092*E1092*F1092*H1092,IF(AND(G1092,H1092),C1092*E1092*G1092*H1092,IF(F1092,C1092*E1092*F1092,IF(G1092,C1092*E1092*G1092,IF(H1092,C1092*E1092*H1092,C1092*E1092))))))),2)</f>
        <v>6.37</v>
      </c>
      <c r="J1092" s="532" t="s">
        <v>102</v>
      </c>
      <c r="K1092" s="111"/>
      <c r="L1092" s="517"/>
      <c r="M1092" s="111"/>
    </row>
    <row r="1093" spans="1:13" s="525" customFormat="1" ht="16.5" hidden="1" customHeight="1">
      <c r="A1093" s="81"/>
      <c r="B1093" s="526"/>
      <c r="C1093" s="527">
        <v>1</v>
      </c>
      <c r="D1093" s="528" t="s">
        <v>265</v>
      </c>
      <c r="E1093" s="529">
        <v>6</v>
      </c>
      <c r="F1093" s="530">
        <v>0.43</v>
      </c>
      <c r="G1093" s="530">
        <v>0</v>
      </c>
      <c r="H1093" s="530">
        <v>0.87</v>
      </c>
      <c r="I1093" s="531">
        <f>ROUND(IF(AND(F1093:H1093),C1093*E1093*F1093*G1093*H1093,IF(AND(F1093,G1093),C1093*E1093*F1093*G1093,IF(AND(F1093,H1093),C1093*E1093*F1093*H1093,IF(AND(G1093,H1093),C1093*E1093*G1093*H1093,IF(F1093,C1093*E1093*F1093,IF(G1093,C1093*E1093*G1093,IF(H1093,C1093*E1093*H1093,C1093*E1093))))))),2)</f>
        <v>2.2400000000000002</v>
      </c>
      <c r="J1093" s="532" t="s">
        <v>102</v>
      </c>
      <c r="K1093" s="111"/>
      <c r="L1093" s="517"/>
      <c r="M1093" s="111"/>
    </row>
    <row r="1094" spans="1:13" s="525" customFormat="1" ht="16.5" hidden="1" customHeight="1">
      <c r="A1094" s="81"/>
      <c r="B1094" s="526"/>
      <c r="C1094" s="527">
        <v>1</v>
      </c>
      <c r="D1094" s="528" t="s">
        <v>265</v>
      </c>
      <c r="E1094" s="529">
        <v>4</v>
      </c>
      <c r="F1094" s="530">
        <v>0.43</v>
      </c>
      <c r="G1094" s="530">
        <v>0</v>
      </c>
      <c r="H1094" s="530">
        <v>0.94</v>
      </c>
      <c r="I1094" s="531">
        <f>ROUND(IF(AND(F1094:H1094),C1094*E1094*F1094*G1094*H1094,IF(AND(F1094,G1094),C1094*E1094*F1094*G1094,IF(AND(F1094,H1094),C1094*E1094*F1094*H1094,IF(AND(G1094,H1094),C1094*E1094*G1094*H1094,IF(F1094,C1094*E1094*F1094,IF(G1094,C1094*E1094*G1094,IF(H1094,C1094*E1094*H1094,C1094*E1094))))))),2)</f>
        <v>1.62</v>
      </c>
      <c r="J1094" s="532" t="s">
        <v>102</v>
      </c>
      <c r="K1094" s="111"/>
      <c r="L1094" s="517"/>
      <c r="M1094" s="111"/>
    </row>
    <row r="1095" spans="1:13" s="525" customFormat="1" ht="16.5" hidden="1" customHeight="1">
      <c r="A1095" s="81"/>
      <c r="B1095" s="526"/>
      <c r="C1095" s="527"/>
      <c r="D1095" s="528"/>
      <c r="E1095" s="529"/>
      <c r="F1095" s="530"/>
      <c r="G1095" s="530"/>
      <c r="H1095" s="530"/>
      <c r="I1095" s="531"/>
      <c r="J1095" s="532"/>
      <c r="K1095" s="111"/>
      <c r="L1095" s="517"/>
      <c r="M1095" s="111"/>
    </row>
    <row r="1096" spans="1:13" hidden="1">
      <c r="A1096" s="81"/>
      <c r="B1096" s="111"/>
      <c r="C1096" s="112"/>
      <c r="D1096" s="533"/>
      <c r="E1096" s="534"/>
      <c r="F1096" s="113"/>
      <c r="G1096" s="539"/>
      <c r="H1096" s="81"/>
      <c r="I1096" s="531"/>
      <c r="J1096" s="532" t="s">
        <v>102</v>
      </c>
      <c r="K1096" s="12">
        <f>'DATA 2024-25'!G522</f>
        <v>374.88</v>
      </c>
      <c r="L1096" s="517" t="s">
        <v>267</v>
      </c>
      <c r="M1096" s="11">
        <f>ROUND(I1096*K1096,0)</f>
        <v>0</v>
      </c>
    </row>
    <row r="1097" spans="1:13" ht="52.5" hidden="1" customHeight="1">
      <c r="A1097" s="81">
        <v>16</v>
      </c>
      <c r="B1097" s="910" t="s">
        <v>583</v>
      </c>
      <c r="C1097" s="910"/>
      <c r="D1097" s="910"/>
      <c r="E1097" s="910"/>
      <c r="F1097" s="910"/>
      <c r="G1097" s="910"/>
      <c r="H1097" s="910"/>
      <c r="I1097" s="515"/>
      <c r="J1097" s="516"/>
      <c r="K1097" s="81"/>
      <c r="L1097" s="517"/>
      <c r="M1097" s="110"/>
    </row>
    <row r="1098" spans="1:13" s="525" customFormat="1" ht="16.5" hidden="1" customHeight="1">
      <c r="A1098" s="81"/>
      <c r="B1098" s="542" t="s">
        <v>1290</v>
      </c>
      <c r="C1098" s="547"/>
      <c r="D1098" s="548"/>
      <c r="E1098" s="549"/>
      <c r="F1098" s="550"/>
      <c r="G1098" s="550"/>
      <c r="H1098" s="551"/>
      <c r="I1098" s="552"/>
      <c r="J1098" s="532"/>
      <c r="K1098" s="111"/>
      <c r="L1098" s="517"/>
      <c r="M1098" s="111"/>
    </row>
    <row r="1099" spans="1:13" s="525" customFormat="1" ht="16.5" hidden="1" customHeight="1">
      <c r="A1099" s="81"/>
      <c r="B1099" s="526" t="s">
        <v>573</v>
      </c>
      <c r="C1099" s="527">
        <v>1</v>
      </c>
      <c r="D1099" s="528" t="s">
        <v>265</v>
      </c>
      <c r="E1099" s="529">
        <v>1</v>
      </c>
      <c r="F1099" s="530">
        <v>40.82</v>
      </c>
      <c r="G1099" s="530">
        <v>0</v>
      </c>
      <c r="H1099" s="530">
        <v>3.8</v>
      </c>
      <c r="I1099" s="531">
        <f>ROUND(IF(AND(F1099:H1099),C1099*E1099*F1099*G1099*H1099,IF(AND(F1099,G1099),C1099*E1099*F1099*G1099,IF(AND(F1099,H1099),C1099*E1099*F1099*H1099,IF(AND(G1099,H1099),C1099*E1099*G1099*H1099,IF(F1099,C1099*E1099*F1099,IF(G1099,C1099*E1099*G1099,IF(H1099,C1099*E1099*H1099,C1099*E1099))))))),2)</f>
        <v>155.12</v>
      </c>
      <c r="J1099" s="532" t="s">
        <v>102</v>
      </c>
      <c r="K1099" s="111"/>
      <c r="L1099" s="517"/>
      <c r="M1099" s="111"/>
    </row>
    <row r="1100" spans="1:13" s="525" customFormat="1" ht="16.5" hidden="1" customHeight="1">
      <c r="A1100" s="81"/>
      <c r="B1100" s="526"/>
      <c r="C1100" s="527"/>
      <c r="D1100" s="528"/>
      <c r="E1100" s="529"/>
      <c r="F1100" s="530"/>
      <c r="G1100" s="530"/>
      <c r="H1100" s="530"/>
      <c r="I1100" s="531"/>
      <c r="J1100" s="532"/>
      <c r="K1100" s="111"/>
      <c r="L1100" s="517"/>
      <c r="M1100" s="111"/>
    </row>
    <row r="1101" spans="1:13" hidden="1">
      <c r="A1101" s="81"/>
      <c r="B1101" s="111"/>
      <c r="C1101" s="112"/>
      <c r="D1101" s="533"/>
      <c r="E1101" s="534"/>
      <c r="F1101" s="113"/>
      <c r="G1101" s="539"/>
      <c r="H1101" s="81"/>
      <c r="I1101" s="531"/>
      <c r="J1101" s="532" t="s">
        <v>102</v>
      </c>
      <c r="K1101" s="12">
        <f>'DATA 2024-25'!G539</f>
        <v>389.27</v>
      </c>
      <c r="L1101" s="517" t="s">
        <v>267</v>
      </c>
      <c r="M1101" s="11">
        <f>ROUND(I1101*K1101,0)</f>
        <v>0</v>
      </c>
    </row>
    <row r="1102" spans="1:13" ht="71.25" hidden="1" customHeight="1">
      <c r="A1102" s="81">
        <v>6</v>
      </c>
      <c r="B1102" s="910" t="s">
        <v>747</v>
      </c>
      <c r="C1102" s="910"/>
      <c r="D1102" s="910"/>
      <c r="E1102" s="910"/>
      <c r="F1102" s="910"/>
      <c r="G1102" s="910"/>
      <c r="H1102" s="910"/>
      <c r="I1102" s="515"/>
      <c r="J1102" s="516"/>
      <c r="K1102" s="81"/>
      <c r="L1102" s="517"/>
      <c r="M1102" s="110"/>
    </row>
    <row r="1103" spans="1:13" s="525" customFormat="1" ht="16.5" hidden="1" customHeight="1">
      <c r="A1103" s="81"/>
      <c r="B1103" s="111" t="s">
        <v>1398</v>
      </c>
      <c r="C1103" s="515"/>
      <c r="D1103" s="553"/>
      <c r="E1103" s="534"/>
      <c r="F1103" s="113"/>
      <c r="G1103" s="113"/>
      <c r="H1103" s="113"/>
      <c r="I1103" s="554"/>
      <c r="J1103" s="532"/>
      <c r="K1103" s="111"/>
      <c r="L1103" s="81"/>
      <c r="M1103" s="111"/>
    </row>
    <row r="1104" spans="1:13" s="525" customFormat="1" ht="16.5" hidden="1" customHeight="1">
      <c r="A1104" s="81"/>
      <c r="B1104" s="111"/>
      <c r="C1104" s="515">
        <v>1</v>
      </c>
      <c r="D1104" s="553" t="s">
        <v>265</v>
      </c>
      <c r="E1104" s="534">
        <v>1</v>
      </c>
      <c r="F1104" s="113">
        <v>7.2</v>
      </c>
      <c r="G1104" s="113">
        <v>0</v>
      </c>
      <c r="H1104" s="113">
        <v>1.8</v>
      </c>
      <c r="I1104" s="523">
        <f>ROUND(IF(AND(F1104:H1104),C1104*E1104*F1104*G1104*H1104,IF(AND(F1104,G1104),C1104*E1104*F1104*G1104,IF(AND(F1104,H1104),C1104*E1104*F1104*H1104,IF(AND(G1104,H1104),C1104*E1104*G1104*H1104,IF(F1104,C1104*E1104*F1104,IF(G1104,C1104*E1104*G1104,IF(H1104,C1104*E1104*H1104,C1104*E1104))))))),2)</f>
        <v>12.96</v>
      </c>
      <c r="J1104" s="532" t="s">
        <v>102</v>
      </c>
      <c r="K1104" s="111"/>
      <c r="L1104" s="81"/>
      <c r="M1104" s="111"/>
    </row>
    <row r="1105" spans="1:13" s="525" customFormat="1" ht="16.5" hidden="1" customHeight="1">
      <c r="A1105" s="81"/>
      <c r="B1105" s="111"/>
      <c r="C1105" s="515">
        <v>1</v>
      </c>
      <c r="D1105" s="553" t="s">
        <v>265</v>
      </c>
      <c r="E1105" s="534">
        <v>1</v>
      </c>
      <c r="F1105" s="113">
        <v>7.2</v>
      </c>
      <c r="G1105" s="113">
        <v>0</v>
      </c>
      <c r="H1105" s="113">
        <v>2</v>
      </c>
      <c r="I1105" s="523">
        <f>ROUND(IF(AND(F1105:H1105),C1105*E1105*F1105*G1105*H1105,IF(AND(F1105,G1105),C1105*E1105*F1105*G1105,IF(AND(F1105,H1105),C1105*E1105*F1105*H1105,IF(AND(G1105,H1105),C1105*E1105*G1105*H1105,IF(F1105,C1105*E1105*F1105,IF(G1105,C1105*E1105*G1105,IF(H1105,C1105*E1105*H1105,C1105*E1105))))))),2)</f>
        <v>14.4</v>
      </c>
      <c r="J1105" s="532" t="s">
        <v>102</v>
      </c>
      <c r="K1105" s="111"/>
      <c r="L1105" s="81"/>
      <c r="M1105" s="111"/>
    </row>
    <row r="1106" spans="1:13" s="525" customFormat="1" ht="16.5" hidden="1" customHeight="1">
      <c r="A1106" s="81"/>
      <c r="B1106" s="111"/>
      <c r="C1106" s="515">
        <v>1</v>
      </c>
      <c r="D1106" s="553" t="s">
        <v>265</v>
      </c>
      <c r="E1106" s="534">
        <v>1</v>
      </c>
      <c r="F1106" s="113">
        <v>1.8</v>
      </c>
      <c r="G1106" s="113">
        <v>1.8</v>
      </c>
      <c r="H1106" s="113">
        <v>0</v>
      </c>
      <c r="I1106" s="523">
        <f>ROUND(IF(AND(F1106:H1106),C1106*E1106*F1106*G1106*H1106,IF(AND(F1106,G1106),C1106*E1106*F1106*G1106,IF(AND(F1106,H1106),C1106*E1106*F1106*H1106,IF(AND(G1106,H1106),C1106*E1106*G1106*H1106,IF(F1106,C1106*E1106*F1106,IF(G1106,C1106*E1106*G1106,IF(H1106,C1106*E1106*H1106,C1106*E1106))))))),2)</f>
        <v>3.24</v>
      </c>
      <c r="J1106" s="532" t="s">
        <v>102</v>
      </c>
      <c r="K1106" s="111"/>
      <c r="L1106" s="81"/>
      <c r="M1106" s="111"/>
    </row>
    <row r="1107" spans="1:13" s="525" customFormat="1" ht="16.5" hidden="1" customHeight="1">
      <c r="A1107" s="81"/>
      <c r="B1107" s="526"/>
      <c r="C1107" s="527"/>
      <c r="D1107" s="528"/>
      <c r="E1107" s="529"/>
      <c r="F1107" s="530"/>
      <c r="G1107" s="530"/>
      <c r="H1107" s="530"/>
      <c r="I1107" s="531"/>
      <c r="J1107" s="532"/>
      <c r="K1107" s="111"/>
      <c r="L1107" s="517"/>
      <c r="M1107" s="111"/>
    </row>
    <row r="1108" spans="1:13" hidden="1">
      <c r="A1108" s="81"/>
      <c r="B1108" s="111"/>
      <c r="C1108" s="112"/>
      <c r="D1108" s="533"/>
      <c r="E1108" s="534"/>
      <c r="F1108" s="113"/>
      <c r="G1108" s="539"/>
      <c r="H1108" s="81"/>
      <c r="I1108" s="531"/>
      <c r="J1108" s="532" t="s">
        <v>102</v>
      </c>
      <c r="K1108" s="12">
        <f>'DATA 2024-25'!G576</f>
        <v>526.09</v>
      </c>
      <c r="L1108" s="517" t="s">
        <v>267</v>
      </c>
      <c r="M1108" s="11">
        <f>ROUND(I1108*K1108,0)</f>
        <v>0</v>
      </c>
    </row>
    <row r="1109" spans="1:13" ht="71.25" hidden="1" customHeight="1">
      <c r="A1109" s="81">
        <v>23</v>
      </c>
      <c r="B1109" s="910" t="s">
        <v>307</v>
      </c>
      <c r="C1109" s="910"/>
      <c r="D1109" s="910"/>
      <c r="E1109" s="910"/>
      <c r="F1109" s="910"/>
      <c r="G1109" s="910"/>
      <c r="H1109" s="910"/>
      <c r="I1109" s="515"/>
      <c r="J1109" s="516"/>
      <c r="K1109" s="81"/>
      <c r="L1109" s="517"/>
      <c r="M1109" s="110"/>
    </row>
    <row r="1110" spans="1:13" s="525" customFormat="1" ht="16.5" hidden="1" customHeight="1">
      <c r="A1110" s="81"/>
      <c r="B1110" s="111" t="s">
        <v>1313</v>
      </c>
      <c r="C1110" s="515"/>
      <c r="D1110" s="553"/>
      <c r="E1110" s="534"/>
      <c r="F1110" s="113"/>
      <c r="G1110" s="113"/>
      <c r="H1110" s="113"/>
      <c r="I1110" s="554"/>
      <c r="J1110" s="532"/>
      <c r="K1110" s="111"/>
      <c r="L1110" s="517"/>
      <c r="M1110" s="111"/>
    </row>
    <row r="1111" spans="1:13" s="525" customFormat="1" ht="18.75" hidden="1" customHeight="1">
      <c r="A1111" s="81"/>
      <c r="B1111" s="111"/>
      <c r="C1111" s="515">
        <v>1</v>
      </c>
      <c r="D1111" s="553" t="s">
        <v>265</v>
      </c>
      <c r="E1111" s="534">
        <v>2</v>
      </c>
      <c r="F1111" s="113">
        <v>3.24</v>
      </c>
      <c r="G1111" s="113">
        <v>0</v>
      </c>
      <c r="H1111" s="113">
        <v>2.4</v>
      </c>
      <c r="I1111" s="523">
        <f>ROUND(IF(AND(F1111:H1111),C1111*E1111*F1111*G1111*H1111,IF(AND(F1111,G1111),C1111*E1111*F1111*G1111,IF(AND(F1111,H1111),C1111*E1111*F1111*H1111,IF(AND(G1111,H1111),C1111*E1111*G1111*H1111,IF(F1111,C1111*E1111*F1111,IF(G1111,C1111*E1111*G1111,IF(H1111,C1111*E1111*H1111,C1111*E1111))))))),2)</f>
        <v>15.55</v>
      </c>
      <c r="J1111" s="532" t="s">
        <v>102</v>
      </c>
      <c r="K1111" s="111"/>
      <c r="L1111" s="517"/>
      <c r="M1111" s="111"/>
    </row>
    <row r="1112" spans="1:13" s="525" customFormat="1" ht="18.75" hidden="1" customHeight="1">
      <c r="A1112" s="81"/>
      <c r="B1112" s="111"/>
      <c r="C1112" s="515">
        <v>1</v>
      </c>
      <c r="D1112" s="553" t="s">
        <v>265</v>
      </c>
      <c r="E1112" s="534">
        <v>2</v>
      </c>
      <c r="F1112" s="113">
        <v>4.6900000000000004</v>
      </c>
      <c r="G1112" s="113">
        <v>0</v>
      </c>
      <c r="H1112" s="113">
        <v>2.4</v>
      </c>
      <c r="I1112" s="523">
        <f>ROUND(IF(AND(F1112:H1112),C1112*E1112*F1112*G1112*H1112,IF(AND(F1112,G1112),C1112*E1112*F1112*G1112,IF(AND(F1112,H1112),C1112*E1112*F1112*H1112,IF(AND(G1112,H1112),C1112*E1112*G1112*H1112,IF(F1112,C1112*E1112*F1112,IF(G1112,C1112*E1112*G1112,IF(H1112,C1112*E1112*H1112,C1112*E1112))))))),2)</f>
        <v>22.51</v>
      </c>
      <c r="J1112" s="532" t="s">
        <v>102</v>
      </c>
      <c r="K1112" s="111"/>
      <c r="L1112" s="517"/>
      <c r="M1112" s="111"/>
    </row>
    <row r="1113" spans="1:13" s="525" customFormat="1" ht="18.75" hidden="1" customHeight="1">
      <c r="A1113" s="81"/>
      <c r="B1113" s="111" t="s">
        <v>1251</v>
      </c>
      <c r="C1113" s="515">
        <v>1</v>
      </c>
      <c r="D1113" s="553" t="s">
        <v>265</v>
      </c>
      <c r="E1113" s="534">
        <v>1</v>
      </c>
      <c r="F1113" s="113">
        <v>38.71</v>
      </c>
      <c r="G1113" s="113">
        <v>0</v>
      </c>
      <c r="H1113" s="113">
        <v>1.92</v>
      </c>
      <c r="I1113" s="523">
        <f>ROUND(IF(AND(F1113:H1113),C1113*E1113*F1113*G1113*H1113,IF(AND(F1113,G1113),C1113*E1113*F1113*G1113,IF(AND(F1113,H1113),C1113*E1113*F1113*H1113,IF(AND(G1113,H1113),C1113*E1113*G1113*H1113,IF(F1113,C1113*E1113*F1113,IF(G1113,C1113*E1113*G1113,IF(H1113,C1113*E1113*H1113,C1113*E1113))))))),2)</f>
        <v>74.319999999999993</v>
      </c>
      <c r="J1113" s="532" t="s">
        <v>102</v>
      </c>
      <c r="K1113" s="111"/>
      <c r="L1113" s="517"/>
      <c r="M1113" s="111"/>
    </row>
    <row r="1114" spans="1:13" s="525" customFormat="1" ht="18.75" hidden="1" customHeight="1">
      <c r="A1114" s="81"/>
      <c r="B1114" s="111" t="s">
        <v>565</v>
      </c>
      <c r="C1114" s="515">
        <v>1</v>
      </c>
      <c r="D1114" s="553" t="s">
        <v>265</v>
      </c>
      <c r="E1114" s="534">
        <v>1</v>
      </c>
      <c r="F1114" s="113">
        <v>1.05</v>
      </c>
      <c r="G1114" s="113">
        <v>0</v>
      </c>
      <c r="H1114" s="113">
        <v>2.1</v>
      </c>
      <c r="I1114" s="523">
        <f>-ROUND(IF(AND(F1114:H1114),C1114*E1114*F1114*G1114*H1114,IF(AND(F1114,G1114),C1114*E1114*F1114*G1114,IF(AND(F1114,H1114),C1114*E1114*F1114*H1114,IF(AND(G1114,H1114),C1114*E1114*G1114*H1114,IF(F1114,C1114*E1114*F1114,IF(G1114,C1114*E1114*G1114,IF(H1114,C1114*E1114*H1114,C1114*E1114))))))),2)</f>
        <v>-2.21</v>
      </c>
      <c r="J1114" s="532" t="s">
        <v>102</v>
      </c>
      <c r="K1114" s="111"/>
      <c r="L1114" s="517"/>
      <c r="M1114" s="111"/>
    </row>
    <row r="1115" spans="1:13" s="525" customFormat="1" ht="18.75" hidden="1" customHeight="1">
      <c r="A1115" s="81"/>
      <c r="B1115" s="111" t="s">
        <v>274</v>
      </c>
      <c r="C1115" s="515">
        <v>1</v>
      </c>
      <c r="D1115" s="553" t="s">
        <v>265</v>
      </c>
      <c r="E1115" s="534">
        <v>1</v>
      </c>
      <c r="F1115" s="113">
        <v>1.53</v>
      </c>
      <c r="G1115" s="113">
        <v>0</v>
      </c>
      <c r="H1115" s="113">
        <v>1.28</v>
      </c>
      <c r="I1115" s="523">
        <f>-ROUND(IF(AND(F1115:H1115),C1115*E1115*F1115*G1115*H1115,IF(AND(F1115,G1115),C1115*E1115*F1115*G1115,IF(AND(F1115,H1115),C1115*E1115*F1115*H1115,IF(AND(G1115,H1115),C1115*E1115*G1115*H1115,IF(F1115,C1115*E1115*F1115,IF(G1115,C1115*E1115*G1115,IF(H1115,C1115*E1115*H1115,C1115*E1115))))))),2)</f>
        <v>-1.96</v>
      </c>
      <c r="J1115" s="532" t="s">
        <v>102</v>
      </c>
      <c r="K1115" s="111"/>
      <c r="L1115" s="517"/>
      <c r="M1115" s="111"/>
    </row>
    <row r="1116" spans="1:13" s="525" customFormat="1" ht="16.5" hidden="1" customHeight="1">
      <c r="A1116" s="81"/>
      <c r="B1116" s="526"/>
      <c r="C1116" s="527"/>
      <c r="D1116" s="528"/>
      <c r="E1116" s="529"/>
      <c r="F1116" s="530"/>
      <c r="G1116" s="530"/>
      <c r="H1116" s="530"/>
      <c r="I1116" s="531"/>
      <c r="J1116" s="532"/>
      <c r="K1116" s="111"/>
      <c r="L1116" s="517"/>
      <c r="M1116" s="111"/>
    </row>
    <row r="1117" spans="1:13" hidden="1">
      <c r="A1117" s="81"/>
      <c r="B1117" s="111"/>
      <c r="C1117" s="112"/>
      <c r="D1117" s="533"/>
      <c r="E1117" s="534"/>
      <c r="F1117" s="113"/>
      <c r="G1117" s="539"/>
      <c r="H1117" s="81"/>
      <c r="I1117" s="531"/>
      <c r="J1117" s="532" t="s">
        <v>102</v>
      </c>
      <c r="K1117" s="12">
        <f>'DATA 2024-25'!G597</f>
        <v>537.32000000000005</v>
      </c>
      <c r="L1117" s="517" t="s">
        <v>267</v>
      </c>
      <c r="M1117" s="11">
        <f>ROUND(I1117*K1117,0)</f>
        <v>0</v>
      </c>
    </row>
    <row r="1118" spans="1:13" ht="92.25" hidden="1" customHeight="1">
      <c r="A1118" s="81">
        <v>13</v>
      </c>
      <c r="B1118" s="910" t="s">
        <v>1223</v>
      </c>
      <c r="C1118" s="910"/>
      <c r="D1118" s="910"/>
      <c r="E1118" s="910"/>
      <c r="F1118" s="910"/>
      <c r="G1118" s="910"/>
      <c r="H1118" s="910"/>
      <c r="I1118" s="515"/>
      <c r="J1118" s="516"/>
      <c r="K1118" s="81"/>
      <c r="L1118" s="517"/>
      <c r="M1118" s="110"/>
    </row>
    <row r="1119" spans="1:13" s="525" customFormat="1" ht="16.5" hidden="1" customHeight="1">
      <c r="A1119" s="81"/>
      <c r="B1119" s="558" t="s">
        <v>581</v>
      </c>
      <c r="C1119" s="547"/>
      <c r="D1119" s="548"/>
      <c r="E1119" s="549"/>
      <c r="F1119" s="550"/>
      <c r="G1119" s="550"/>
      <c r="H1119" s="551"/>
      <c r="I1119" s="552"/>
      <c r="J1119" s="532"/>
      <c r="K1119" s="111"/>
      <c r="L1119" s="517"/>
      <c r="M1119" s="111"/>
    </row>
    <row r="1120" spans="1:13" s="525" customFormat="1" ht="16.5" hidden="1" customHeight="1">
      <c r="A1120" s="81"/>
      <c r="B1120" s="526"/>
      <c r="C1120" s="527">
        <v>11</v>
      </c>
      <c r="D1120" s="528" t="s">
        <v>265</v>
      </c>
      <c r="E1120" s="570">
        <v>0.5</v>
      </c>
      <c r="F1120" s="530">
        <v>1.8</v>
      </c>
      <c r="G1120" s="530">
        <v>0.3</v>
      </c>
      <c r="H1120" s="530">
        <v>0.15</v>
      </c>
      <c r="I1120" s="531">
        <f>ROUND(IF(AND(F1120:H1120),C1120*E1120*F1120*G1120*H1120,IF(AND(F1120,G1120),C1120*E1120*F1120*G1120,IF(AND(F1120,H1120),C1120*E1120*F1120*H1120,IF(AND(G1120,H1120),C1120*E1120*G1120*H1120,IF(F1120,C1120*E1120*F1120,IF(G1120,C1120*E1120*G1120,IF(H1120,C1120*E1120*H1120,C1120*E1120))))))),2)</f>
        <v>0.45</v>
      </c>
      <c r="J1120" s="532" t="s">
        <v>5</v>
      </c>
      <c r="K1120" s="111"/>
      <c r="L1120" s="517"/>
      <c r="M1120" s="111"/>
    </row>
    <row r="1121" spans="1:13" s="525" customFormat="1" ht="16.5" hidden="1" customHeight="1">
      <c r="A1121" s="81"/>
      <c r="B1121" s="558" t="s">
        <v>582</v>
      </c>
      <c r="C1121" s="547"/>
      <c r="D1121" s="548"/>
      <c r="E1121" s="549"/>
      <c r="F1121" s="550"/>
      <c r="G1121" s="550"/>
      <c r="H1121" s="551"/>
      <c r="I1121" s="552"/>
      <c r="J1121" s="532"/>
      <c r="K1121" s="111"/>
      <c r="L1121" s="517"/>
      <c r="M1121" s="111"/>
    </row>
    <row r="1122" spans="1:13" s="525" customFormat="1" ht="16.5" hidden="1" customHeight="1">
      <c r="A1122" s="81"/>
      <c r="B1122" s="526"/>
      <c r="C1122" s="527">
        <v>11</v>
      </c>
      <c r="D1122" s="528" t="s">
        <v>265</v>
      </c>
      <c r="E1122" s="570">
        <v>0.5</v>
      </c>
      <c r="F1122" s="530">
        <v>1.8</v>
      </c>
      <c r="G1122" s="530">
        <v>0.3</v>
      </c>
      <c r="H1122" s="530">
        <v>0.15</v>
      </c>
      <c r="I1122" s="531">
        <f>ROUND(IF(AND(F1122:H1122),C1122*E1122*F1122*G1122*H1122,IF(AND(F1122,G1122),C1122*E1122*F1122*G1122,IF(AND(F1122,H1122),C1122*E1122*F1122*H1122,IF(AND(G1122,H1122),C1122*E1122*G1122*H1122,IF(F1122,C1122*E1122*F1122,IF(G1122,C1122*E1122*G1122,IF(H1122,C1122*E1122*H1122,C1122*E1122))))))),2)</f>
        <v>0.45</v>
      </c>
      <c r="J1122" s="532" t="s">
        <v>5</v>
      </c>
      <c r="K1122" s="111"/>
      <c r="L1122" s="517"/>
      <c r="M1122" s="111"/>
    </row>
    <row r="1123" spans="1:13" hidden="1">
      <c r="A1123" s="81"/>
      <c r="B1123" s="111"/>
      <c r="C1123" s="112"/>
      <c r="D1123" s="533"/>
      <c r="E1123" s="534"/>
      <c r="F1123" s="113"/>
      <c r="G1123" s="539"/>
      <c r="H1123" s="81"/>
      <c r="I1123" s="531"/>
      <c r="J1123" s="532" t="s">
        <v>5</v>
      </c>
      <c r="K1123" s="12">
        <f>'DATA 2024-25'!G320</f>
        <v>6970.28</v>
      </c>
      <c r="L1123" s="517" t="s">
        <v>266</v>
      </c>
      <c r="M1123" s="11">
        <f>ROUND(I1123*K1123,0)</f>
        <v>0</v>
      </c>
    </row>
    <row r="1124" spans="1:13" ht="106.5" hidden="1" customHeight="1">
      <c r="A1124" s="81">
        <v>24</v>
      </c>
      <c r="B1124" s="910" t="s">
        <v>212</v>
      </c>
      <c r="C1124" s="910"/>
      <c r="D1124" s="910"/>
      <c r="E1124" s="910"/>
      <c r="F1124" s="910"/>
      <c r="G1124" s="910"/>
      <c r="H1124" s="910"/>
      <c r="I1124" s="515"/>
      <c r="J1124" s="516"/>
      <c r="K1124" s="81"/>
      <c r="L1124" s="517"/>
      <c r="M1124" s="110"/>
    </row>
    <row r="1125" spans="1:13" s="525" customFormat="1" ht="16.5" hidden="1" customHeight="1">
      <c r="A1125" s="81"/>
      <c r="B1125" s="111" t="s">
        <v>1009</v>
      </c>
      <c r="C1125" s="547"/>
      <c r="D1125" s="548"/>
      <c r="E1125" s="549"/>
      <c r="F1125" s="550"/>
      <c r="G1125" s="550"/>
      <c r="H1125" s="551"/>
      <c r="I1125" s="552"/>
      <c r="J1125" s="532"/>
      <c r="K1125" s="111"/>
      <c r="L1125" s="517"/>
      <c r="M1125" s="111"/>
    </row>
    <row r="1126" spans="1:13" s="525" customFormat="1" ht="16.5" hidden="1" customHeight="1">
      <c r="A1126" s="81"/>
      <c r="B1126" s="526" t="s">
        <v>741</v>
      </c>
      <c r="C1126" s="527">
        <v>1</v>
      </c>
      <c r="D1126" s="528" t="s">
        <v>265</v>
      </c>
      <c r="E1126" s="529">
        <v>1</v>
      </c>
      <c r="F1126" s="530">
        <v>8.51</v>
      </c>
      <c r="G1126" s="530">
        <v>4.96</v>
      </c>
      <c r="H1126" s="530">
        <v>0</v>
      </c>
      <c r="I1126" s="531">
        <f>ROUND(IF(AND(F1126:H1126),C1126*E1126*F1126*G1126*H1126,IF(AND(F1126,G1126),C1126*E1126*F1126*G1126,IF(AND(F1126,H1126),C1126*E1126*F1126*H1126,IF(AND(G1126,H1126),C1126*E1126*G1126*H1126,IF(F1126,C1126*E1126*F1126,IF(G1126,C1126*E1126*G1126,IF(H1126,C1126*E1126*H1126,C1126*E1126))))))),2)</f>
        <v>42.21</v>
      </c>
      <c r="J1126" s="532" t="s">
        <v>102</v>
      </c>
      <c r="K1126" s="111"/>
      <c r="L1126" s="517"/>
      <c r="M1126" s="111"/>
    </row>
    <row r="1127" spans="1:13" s="525" customFormat="1" ht="16.5" hidden="1" customHeight="1">
      <c r="A1127" s="81"/>
      <c r="B1127" s="526" t="s">
        <v>1026</v>
      </c>
      <c r="C1127" s="527">
        <v>1</v>
      </c>
      <c r="D1127" s="528" t="s">
        <v>265</v>
      </c>
      <c r="E1127" s="529">
        <v>1</v>
      </c>
      <c r="F1127" s="530">
        <v>2.8</v>
      </c>
      <c r="G1127" s="530">
        <v>3.24</v>
      </c>
      <c r="H1127" s="530">
        <v>0</v>
      </c>
      <c r="I1127" s="531">
        <f>ROUND(IF(AND(F1127:H1127),C1127*E1127*F1127*G1127*H1127,IF(AND(F1127,G1127),C1127*E1127*F1127*G1127,IF(AND(F1127,H1127),C1127*E1127*F1127*H1127,IF(AND(G1127,H1127),C1127*E1127*G1127*H1127,IF(F1127,C1127*E1127*F1127,IF(G1127,C1127*E1127*G1127,IF(H1127,C1127*E1127*H1127,C1127*E1127))))))),2)</f>
        <v>9.07</v>
      </c>
      <c r="J1127" s="532" t="s">
        <v>102</v>
      </c>
      <c r="K1127" s="111"/>
      <c r="L1127" s="517"/>
      <c r="M1127" s="111"/>
    </row>
    <row r="1128" spans="1:13" s="525" customFormat="1" ht="16.5" hidden="1" customHeight="1">
      <c r="A1128" s="81"/>
      <c r="B1128" s="526" t="s">
        <v>634</v>
      </c>
      <c r="C1128" s="527">
        <v>1</v>
      </c>
      <c r="D1128" s="528" t="s">
        <v>265</v>
      </c>
      <c r="E1128" s="529">
        <v>1</v>
      </c>
      <c r="F1128" s="530">
        <v>2.74</v>
      </c>
      <c r="G1128" s="530">
        <v>3.26</v>
      </c>
      <c r="H1128" s="530">
        <v>0</v>
      </c>
      <c r="I1128" s="531">
        <f>ROUND(IF(AND(F1128:H1128),C1128*E1128*F1128*G1128*H1128,IF(AND(F1128,G1128),C1128*E1128*F1128*G1128,IF(AND(F1128,H1128),C1128*E1128*F1128*H1128,IF(AND(G1128,H1128),C1128*E1128*G1128*H1128,IF(F1128,C1128*E1128*F1128,IF(G1128,C1128*E1128*G1128,IF(H1128,C1128*E1128*H1128,C1128*E1128))))))),2)</f>
        <v>8.93</v>
      </c>
      <c r="J1128" s="532" t="s">
        <v>102</v>
      </c>
      <c r="K1128" s="111"/>
      <c r="L1128" s="517"/>
      <c r="M1128" s="111"/>
    </row>
    <row r="1129" spans="1:13" s="525" customFormat="1" ht="16.5" hidden="1" customHeight="1">
      <c r="A1129" s="81"/>
      <c r="B1129" s="526" t="s">
        <v>645</v>
      </c>
      <c r="C1129" s="527">
        <v>1</v>
      </c>
      <c r="D1129" s="528" t="s">
        <v>265</v>
      </c>
      <c r="E1129" s="529">
        <v>1</v>
      </c>
      <c r="F1129" s="530">
        <v>8.35</v>
      </c>
      <c r="G1129" s="530">
        <v>3.2</v>
      </c>
      <c r="H1129" s="530">
        <v>0</v>
      </c>
      <c r="I1129" s="531">
        <f>ROUND(IF(AND(F1129:H1129),C1129*E1129*F1129*G1129*H1129,IF(AND(F1129,G1129),C1129*E1129*F1129*G1129,IF(AND(F1129,H1129),C1129*E1129*F1129*H1129,IF(AND(G1129,H1129),C1129*E1129*G1129*H1129,IF(F1129,C1129*E1129*F1129,IF(G1129,C1129*E1129*G1129,IF(H1129,C1129*E1129*H1129,C1129*E1129))))))),2)</f>
        <v>26.72</v>
      </c>
      <c r="J1129" s="532" t="s">
        <v>102</v>
      </c>
      <c r="K1129" s="111"/>
      <c r="L1129" s="517"/>
      <c r="M1129" s="111"/>
    </row>
    <row r="1130" spans="1:13" s="525" customFormat="1" ht="16.5" hidden="1" customHeight="1">
      <c r="A1130" s="81"/>
      <c r="B1130" s="526" t="s">
        <v>1027</v>
      </c>
      <c r="C1130" s="527">
        <v>1</v>
      </c>
      <c r="D1130" s="528" t="s">
        <v>265</v>
      </c>
      <c r="E1130" s="529">
        <v>1</v>
      </c>
      <c r="F1130" s="530">
        <v>3.4</v>
      </c>
      <c r="G1130" s="530">
        <v>2.7</v>
      </c>
      <c r="H1130" s="530">
        <v>0</v>
      </c>
      <c r="I1130" s="531">
        <f>ROUND(IF(AND(F1130:H1130),C1130*E1130*F1130*G1130*H1130,IF(AND(F1130,G1130),C1130*E1130*F1130*G1130,IF(AND(F1130,H1130),C1130*E1130*F1130*H1130,IF(AND(G1130,H1130),C1130*E1130*G1130*H1130,IF(F1130,C1130*E1130*F1130,IF(G1130,C1130*E1130*G1130,IF(H1130,C1130*E1130*H1130,C1130*E1130))))))),2)</f>
        <v>9.18</v>
      </c>
      <c r="J1130" s="532" t="s">
        <v>102</v>
      </c>
      <c r="K1130" s="111"/>
      <c r="L1130" s="517"/>
      <c r="M1130" s="111"/>
    </row>
    <row r="1131" spans="1:13" s="525" customFormat="1" ht="16.5" hidden="1" customHeight="1">
      <c r="A1131" s="81"/>
      <c r="B1131" s="526" t="s">
        <v>1028</v>
      </c>
      <c r="C1131" s="527">
        <v>1</v>
      </c>
      <c r="D1131" s="528" t="s">
        <v>265</v>
      </c>
      <c r="E1131" s="529">
        <v>2</v>
      </c>
      <c r="F1131" s="530">
        <v>0.3</v>
      </c>
      <c r="G1131" s="530">
        <v>1.3</v>
      </c>
      <c r="H1131" s="530">
        <v>0</v>
      </c>
      <c r="I1131" s="531">
        <f>-ROUND(IF(AND(F1131:H1131),C1131*E1131*F1131*G1131*H1131,IF(AND(F1131,G1131),C1131*E1131*F1131*G1131,IF(AND(F1131,H1131),C1131*E1131*F1131*H1131,IF(AND(G1131,H1131),C1131*E1131*G1131*H1131,IF(F1131,C1131*E1131*F1131,IF(G1131,C1131*E1131*G1131,IF(H1131,C1131*E1131*H1131,C1131*E1131))))))),2)</f>
        <v>-0.78</v>
      </c>
      <c r="J1131" s="532" t="s">
        <v>102</v>
      </c>
      <c r="K1131" s="111"/>
      <c r="L1131" s="517"/>
      <c r="M1131" s="111"/>
    </row>
    <row r="1132" spans="1:13" s="525" customFormat="1" ht="16.5" hidden="1" customHeight="1">
      <c r="A1132" s="81"/>
      <c r="B1132" s="526"/>
      <c r="C1132" s="527"/>
      <c r="D1132" s="528"/>
      <c r="E1132" s="529"/>
      <c r="F1132" s="530"/>
      <c r="G1132" s="530"/>
      <c r="H1132" s="530"/>
      <c r="I1132" s="531"/>
      <c r="J1132" s="532"/>
      <c r="K1132" s="111"/>
      <c r="L1132" s="517"/>
      <c r="M1132" s="111"/>
    </row>
    <row r="1133" spans="1:13" hidden="1">
      <c r="A1133" s="81"/>
      <c r="B1133" s="111"/>
      <c r="C1133" s="112"/>
      <c r="D1133" s="533"/>
      <c r="E1133" s="534"/>
      <c r="F1133" s="113"/>
      <c r="G1133" s="539"/>
      <c r="H1133" s="81"/>
      <c r="I1133" s="531"/>
      <c r="J1133" s="532" t="s">
        <v>102</v>
      </c>
      <c r="K1133" s="12">
        <f>'DATA 2024-25'!G748</f>
        <v>1330.7</v>
      </c>
      <c r="L1133" s="517" t="s">
        <v>267</v>
      </c>
      <c r="M1133" s="11">
        <f>ROUND(I1133*K1133,0)</f>
        <v>0</v>
      </c>
    </row>
    <row r="1134" spans="1:13" ht="79.5" hidden="1" customHeight="1">
      <c r="A1134" s="81">
        <v>25</v>
      </c>
      <c r="B1134" s="910" t="s">
        <v>213</v>
      </c>
      <c r="C1134" s="910"/>
      <c r="D1134" s="910"/>
      <c r="E1134" s="910"/>
      <c r="F1134" s="910"/>
      <c r="G1134" s="910"/>
      <c r="H1134" s="910"/>
      <c r="I1134" s="515"/>
      <c r="J1134" s="516"/>
      <c r="K1134" s="81"/>
      <c r="L1134" s="517"/>
      <c r="M1134" s="110"/>
    </row>
    <row r="1135" spans="1:13" s="525" customFormat="1" ht="16.5" hidden="1" customHeight="1">
      <c r="A1135" s="81"/>
      <c r="B1135" s="111" t="s">
        <v>1010</v>
      </c>
      <c r="C1135" s="547"/>
      <c r="D1135" s="548"/>
      <c r="E1135" s="549"/>
      <c r="F1135" s="550"/>
      <c r="G1135" s="550"/>
      <c r="H1135" s="551"/>
      <c r="I1135" s="552"/>
      <c r="J1135" s="532"/>
      <c r="K1135" s="111"/>
      <c r="L1135" s="517"/>
      <c r="M1135" s="111"/>
    </row>
    <row r="1136" spans="1:13" s="525" customFormat="1" ht="16.5" hidden="1" customHeight="1">
      <c r="A1136" s="81"/>
      <c r="B1136" s="526" t="s">
        <v>1029</v>
      </c>
      <c r="C1136" s="527">
        <v>1</v>
      </c>
      <c r="D1136" s="528" t="s">
        <v>265</v>
      </c>
      <c r="E1136" s="529">
        <v>1</v>
      </c>
      <c r="F1136" s="530">
        <v>26.94</v>
      </c>
      <c r="G1136" s="530">
        <v>0</v>
      </c>
      <c r="H1136" s="530">
        <v>0.1</v>
      </c>
      <c r="I1136" s="531">
        <f>ROUND(IF(AND(F1136:H1136),C1136*E1136*F1136*G1136*H1136,IF(AND(F1136,G1136),C1136*E1136*F1136*G1136,IF(AND(F1136,H1136),C1136*E1136*F1136*H1136,IF(AND(G1136,H1136),C1136*E1136*G1136*H1136,IF(F1136,C1136*E1136*F1136,IF(G1136,C1136*E1136*G1136,IF(H1136,C1136*E1136*H1136,C1136*E1136))))))),2)</f>
        <v>2.69</v>
      </c>
      <c r="J1136" s="532" t="s">
        <v>102</v>
      </c>
      <c r="K1136" s="111"/>
      <c r="L1136" s="517"/>
      <c r="M1136" s="111"/>
    </row>
    <row r="1137" spans="1:13" s="525" customFormat="1" ht="16.5" hidden="1" customHeight="1">
      <c r="A1137" s="81"/>
      <c r="B1137" s="526" t="s">
        <v>1026</v>
      </c>
      <c r="C1137" s="527">
        <v>1</v>
      </c>
      <c r="D1137" s="528" t="s">
        <v>265</v>
      </c>
      <c r="E1137" s="529">
        <v>1</v>
      </c>
      <c r="F1137" s="530">
        <v>12.08</v>
      </c>
      <c r="G1137" s="530">
        <v>0</v>
      </c>
      <c r="H1137" s="530">
        <v>0.1</v>
      </c>
      <c r="I1137" s="531">
        <f>ROUND(IF(AND(F1137:H1137),C1137*E1137*F1137*G1137*H1137,IF(AND(F1137,G1137),C1137*E1137*F1137*G1137,IF(AND(F1137,H1137),C1137*E1137*F1137*H1137,IF(AND(G1137,H1137),C1137*E1137*G1137*H1137,IF(F1137,C1137*E1137*F1137,IF(G1137,C1137*E1137*G1137,IF(H1137,C1137*E1137*H1137,C1137*E1137))))))),2)</f>
        <v>1.21</v>
      </c>
      <c r="J1137" s="532" t="s">
        <v>102</v>
      </c>
      <c r="K1137" s="111"/>
      <c r="L1137" s="517"/>
      <c r="M1137" s="111"/>
    </row>
    <row r="1138" spans="1:13" s="525" customFormat="1" ht="16.5" hidden="1" customHeight="1">
      <c r="A1138" s="81"/>
      <c r="B1138" s="526" t="s">
        <v>634</v>
      </c>
      <c r="C1138" s="527">
        <v>1</v>
      </c>
      <c r="D1138" s="528" t="s">
        <v>265</v>
      </c>
      <c r="E1138" s="529">
        <v>1</v>
      </c>
      <c r="F1138" s="530">
        <v>12</v>
      </c>
      <c r="G1138" s="530">
        <v>0</v>
      </c>
      <c r="H1138" s="530">
        <v>0.1</v>
      </c>
      <c r="I1138" s="531">
        <f>ROUND(IF(AND(F1138:H1138),C1138*E1138*F1138*G1138*H1138,IF(AND(F1138,G1138),C1138*E1138*F1138*G1138,IF(AND(F1138,H1138),C1138*E1138*F1138*H1138,IF(AND(G1138,H1138),C1138*E1138*G1138*H1138,IF(F1138,C1138*E1138*F1138,IF(G1138,C1138*E1138*G1138,IF(H1138,C1138*E1138*H1138,C1138*E1138))))))),2)</f>
        <v>1.2</v>
      </c>
      <c r="J1138" s="532" t="s">
        <v>102</v>
      </c>
      <c r="K1138" s="111"/>
      <c r="L1138" s="517"/>
      <c r="M1138" s="111"/>
    </row>
    <row r="1139" spans="1:13" s="525" customFormat="1" ht="16.5" hidden="1" customHeight="1">
      <c r="A1139" s="81"/>
      <c r="B1139" s="526" t="s">
        <v>645</v>
      </c>
      <c r="C1139" s="527">
        <v>1</v>
      </c>
      <c r="D1139" s="528" t="s">
        <v>265</v>
      </c>
      <c r="E1139" s="529">
        <v>1</v>
      </c>
      <c r="F1139" s="530">
        <v>23.1</v>
      </c>
      <c r="G1139" s="530">
        <v>0</v>
      </c>
      <c r="H1139" s="530">
        <v>0.1</v>
      </c>
      <c r="I1139" s="531">
        <f>ROUND(IF(AND(F1139:H1139),C1139*E1139*F1139*G1139*H1139,IF(AND(F1139,G1139),C1139*E1139*F1139*G1139,IF(AND(F1139,H1139),C1139*E1139*F1139*H1139,IF(AND(G1139,H1139),C1139*E1139*G1139*H1139,IF(F1139,C1139*E1139*F1139,IF(G1139,C1139*E1139*G1139,IF(H1139,C1139*E1139*H1139,C1139*E1139))))))),2)</f>
        <v>2.31</v>
      </c>
      <c r="J1139" s="532" t="s">
        <v>102</v>
      </c>
      <c r="K1139" s="111"/>
      <c r="L1139" s="517"/>
      <c r="M1139" s="111"/>
    </row>
    <row r="1140" spans="1:13" s="525" customFormat="1" ht="16.5" hidden="1" customHeight="1">
      <c r="A1140" s="81"/>
      <c r="B1140" s="526" t="s">
        <v>1027</v>
      </c>
      <c r="C1140" s="527">
        <v>1</v>
      </c>
      <c r="D1140" s="528" t="s">
        <v>265</v>
      </c>
      <c r="E1140" s="529">
        <v>1</v>
      </c>
      <c r="F1140" s="530">
        <v>6.32</v>
      </c>
      <c r="G1140" s="530">
        <v>0</v>
      </c>
      <c r="H1140" s="530">
        <v>0.1</v>
      </c>
      <c r="I1140" s="531">
        <f>ROUND(IF(AND(F1140:H1140),C1140*E1140*F1140*G1140*H1140,IF(AND(F1140,G1140),C1140*E1140*F1140*G1140,IF(AND(F1140,H1140),C1140*E1140*F1140*H1140,IF(AND(G1140,H1140),C1140*E1140*G1140*H1140,IF(F1140,C1140*E1140*F1140,IF(G1140,C1140*E1140*G1140,IF(H1140,C1140*E1140*H1140,C1140*E1140))))))),2)</f>
        <v>0.63</v>
      </c>
      <c r="J1140" s="532" t="s">
        <v>102</v>
      </c>
      <c r="K1140" s="111"/>
      <c r="L1140" s="517"/>
      <c r="M1140" s="111"/>
    </row>
    <row r="1141" spans="1:13" s="525" customFormat="1" ht="16.5" hidden="1" customHeight="1">
      <c r="A1141" s="81"/>
      <c r="B1141" s="526"/>
      <c r="C1141" s="527"/>
      <c r="D1141" s="528"/>
      <c r="E1141" s="529"/>
      <c r="F1141" s="530"/>
      <c r="G1141" s="530"/>
      <c r="H1141" s="530"/>
      <c r="I1141" s="531"/>
      <c r="J1141" s="532"/>
      <c r="K1141" s="111"/>
      <c r="L1141" s="517"/>
      <c r="M1141" s="111"/>
    </row>
    <row r="1142" spans="1:13" hidden="1">
      <c r="A1142" s="81"/>
      <c r="B1142" s="111"/>
      <c r="C1142" s="112"/>
      <c r="D1142" s="533"/>
      <c r="E1142" s="534"/>
      <c r="F1142" s="113"/>
      <c r="G1142" s="539"/>
      <c r="H1142" s="81"/>
      <c r="I1142" s="531"/>
      <c r="J1142" s="532" t="s">
        <v>102</v>
      </c>
      <c r="K1142" s="12">
        <f>'DATA 2024-25'!G767</f>
        <v>1325.83</v>
      </c>
      <c r="L1142" s="517" t="s">
        <v>267</v>
      </c>
      <c r="M1142" s="11">
        <f>ROUND(I1142*K1142,0)</f>
        <v>0</v>
      </c>
    </row>
    <row r="1143" spans="1:13" ht="108" hidden="1" customHeight="1">
      <c r="A1143" s="81">
        <v>23</v>
      </c>
      <c r="B1143" s="910" t="s">
        <v>650</v>
      </c>
      <c r="C1143" s="910"/>
      <c r="D1143" s="910"/>
      <c r="E1143" s="910"/>
      <c r="F1143" s="910"/>
      <c r="G1143" s="910"/>
      <c r="H1143" s="910"/>
      <c r="I1143" s="515"/>
      <c r="J1143" s="516"/>
      <c r="K1143" s="81"/>
      <c r="L1143" s="517"/>
      <c r="M1143" s="110"/>
    </row>
    <row r="1144" spans="1:13" s="525" customFormat="1" ht="16.5" hidden="1" customHeight="1">
      <c r="A1144" s="81"/>
      <c r="B1144" s="111" t="s">
        <v>1301</v>
      </c>
      <c r="C1144" s="547"/>
      <c r="D1144" s="548"/>
      <c r="E1144" s="549"/>
      <c r="F1144" s="550"/>
      <c r="G1144" s="550"/>
      <c r="H1144" s="551"/>
      <c r="I1144" s="552"/>
      <c r="J1144" s="532"/>
      <c r="K1144" s="111"/>
      <c r="L1144" s="517"/>
      <c r="M1144" s="111"/>
    </row>
    <row r="1145" spans="1:13" s="525" customFormat="1" ht="16.5" hidden="1" customHeight="1">
      <c r="A1145" s="81"/>
      <c r="B1145" s="526"/>
      <c r="C1145" s="527">
        <v>1</v>
      </c>
      <c r="D1145" s="528" t="s">
        <v>265</v>
      </c>
      <c r="E1145" s="529">
        <v>2</v>
      </c>
      <c r="F1145" s="530">
        <v>3.1</v>
      </c>
      <c r="G1145" s="530">
        <v>1.08</v>
      </c>
      <c r="H1145" s="530">
        <v>0</v>
      </c>
      <c r="I1145" s="531">
        <f>ROUND(IF(AND(F1145:H1145),C1145*E1145*F1145*G1145*H1145,IF(AND(F1145,G1145),C1145*E1145*F1145*G1145,IF(AND(F1145,H1145),C1145*E1145*F1145*H1145,IF(AND(G1145,H1145),C1145*E1145*G1145*H1145,IF(F1145,C1145*E1145*F1145,IF(G1145,C1145*E1145*G1145,IF(H1145,C1145*E1145*H1145,C1145*E1145))))))),2)</f>
        <v>6.7</v>
      </c>
      <c r="J1145" s="532" t="s">
        <v>102</v>
      </c>
      <c r="K1145" s="111"/>
      <c r="L1145" s="517"/>
      <c r="M1145" s="111"/>
    </row>
    <row r="1146" spans="1:13" s="525" customFormat="1" ht="16.5" hidden="1" customHeight="1">
      <c r="A1146" s="81"/>
      <c r="B1146" s="526"/>
      <c r="C1146" s="527">
        <v>1</v>
      </c>
      <c r="D1146" s="528" t="s">
        <v>265</v>
      </c>
      <c r="E1146" s="529">
        <v>1</v>
      </c>
      <c r="F1146" s="530">
        <v>3.69</v>
      </c>
      <c r="G1146" s="530">
        <v>2</v>
      </c>
      <c r="H1146" s="530">
        <v>0</v>
      </c>
      <c r="I1146" s="531">
        <f>ROUND(IF(AND(F1146:H1146),C1146*E1146*F1146*G1146*H1146,IF(AND(F1146,G1146),C1146*E1146*F1146*G1146,IF(AND(F1146,H1146),C1146*E1146*F1146*H1146,IF(AND(G1146,H1146),C1146*E1146*G1146*H1146,IF(F1146,C1146*E1146*F1146,IF(G1146,C1146*E1146*G1146,IF(H1146,C1146*E1146*H1146,C1146*E1146))))))),2)</f>
        <v>7.38</v>
      </c>
      <c r="J1146" s="532" t="s">
        <v>102</v>
      </c>
      <c r="K1146" s="111"/>
      <c r="L1146" s="517"/>
      <c r="M1146" s="111"/>
    </row>
    <row r="1147" spans="1:13" s="525" customFormat="1" ht="16.5" hidden="1" customHeight="1">
      <c r="A1147" s="81"/>
      <c r="B1147" s="526"/>
      <c r="C1147" s="527">
        <v>4</v>
      </c>
      <c r="D1147" s="528" t="s">
        <v>265</v>
      </c>
      <c r="E1147" s="600">
        <v>0.78500000000000003</v>
      </c>
      <c r="F1147" s="530">
        <v>0.23</v>
      </c>
      <c r="G1147" s="530">
        <v>0.23</v>
      </c>
      <c r="H1147" s="530">
        <v>0</v>
      </c>
      <c r="I1147" s="531">
        <f>-ROUND(IF(AND(F1147:H1147),C1147*E1147*F1147*G1147*H1147,IF(AND(F1147,G1147),C1147*E1147*F1147*G1147,IF(AND(F1147,H1147),C1147*E1147*F1147*H1147,IF(AND(G1147,H1147),C1147*E1147*G1147*H1147,IF(F1147,C1147*E1147*F1147,IF(G1147,C1147*E1147*G1147,IF(H1147,C1147*E1147*H1147,C1147*E1147))))))),2)</f>
        <v>-0.17</v>
      </c>
      <c r="J1147" s="532" t="s">
        <v>102</v>
      </c>
      <c r="K1147" s="111"/>
      <c r="L1147" s="517"/>
      <c r="M1147" s="111"/>
    </row>
    <row r="1148" spans="1:13" s="525" customFormat="1" ht="16.5" hidden="1" customHeight="1">
      <c r="A1148" s="81"/>
      <c r="B1148" s="526"/>
      <c r="C1148" s="527">
        <v>1</v>
      </c>
      <c r="D1148" s="528" t="s">
        <v>265</v>
      </c>
      <c r="E1148" s="529">
        <v>3</v>
      </c>
      <c r="F1148" s="530">
        <v>3.69</v>
      </c>
      <c r="G1148" s="530">
        <v>0.3</v>
      </c>
      <c r="H1148" s="530">
        <v>0</v>
      </c>
      <c r="I1148" s="531">
        <f>ROUND(IF(AND(F1148:H1148),C1148*E1148*F1148*G1148*H1148,IF(AND(F1148,G1148),C1148*E1148*F1148*G1148,IF(AND(F1148,H1148),C1148*E1148*F1148*H1148,IF(AND(G1148,H1148),C1148*E1148*G1148*H1148,IF(F1148,C1148*E1148*F1148,IF(G1148,C1148*E1148*G1148,IF(H1148,C1148*E1148*H1148,C1148*E1148))))))),2)</f>
        <v>3.32</v>
      </c>
      <c r="J1148" s="532" t="s">
        <v>102</v>
      </c>
      <c r="K1148" s="111"/>
      <c r="L1148" s="517"/>
      <c r="M1148" s="111"/>
    </row>
    <row r="1149" spans="1:13" s="525" customFormat="1" ht="16.5" hidden="1" customHeight="1">
      <c r="A1149" s="81"/>
      <c r="B1149" s="526"/>
      <c r="C1149" s="527">
        <v>1</v>
      </c>
      <c r="D1149" s="528" t="s">
        <v>265</v>
      </c>
      <c r="E1149" s="529">
        <v>1</v>
      </c>
      <c r="F1149" s="530">
        <v>3.69</v>
      </c>
      <c r="G1149" s="530">
        <v>0</v>
      </c>
      <c r="H1149" s="530">
        <v>0.1</v>
      </c>
      <c r="I1149" s="531">
        <f>ROUND(IF(AND(F1149:H1149),C1149*E1149*F1149*G1149*H1149,IF(AND(F1149,G1149),C1149*E1149*F1149*G1149,IF(AND(F1149,H1149),C1149*E1149*F1149*H1149,IF(AND(G1149,H1149),C1149*E1149*G1149*H1149,IF(F1149,C1149*E1149*F1149,IF(G1149,C1149*E1149*G1149,IF(H1149,C1149*E1149*H1149,C1149*E1149))))))),2)</f>
        <v>0.37</v>
      </c>
      <c r="J1149" s="532" t="s">
        <v>102</v>
      </c>
      <c r="K1149" s="111"/>
      <c r="L1149" s="517"/>
      <c r="M1149" s="111"/>
    </row>
    <row r="1150" spans="1:13" s="525" customFormat="1" ht="16.5" hidden="1" customHeight="1">
      <c r="A1150" s="81"/>
      <c r="B1150" s="526"/>
      <c r="C1150" s="527">
        <v>1</v>
      </c>
      <c r="D1150" s="528" t="s">
        <v>265</v>
      </c>
      <c r="E1150" s="529">
        <v>2</v>
      </c>
      <c r="F1150" s="530">
        <v>3.69</v>
      </c>
      <c r="G1150" s="530">
        <v>0</v>
      </c>
      <c r="H1150" s="530">
        <v>0.125</v>
      </c>
      <c r="I1150" s="531">
        <f>ROUND(IF(AND(F1150:H1150),C1150*E1150*F1150*G1150*H1150,IF(AND(F1150,G1150),C1150*E1150*F1150*G1150,IF(AND(F1150,H1150),C1150*E1150*F1150*H1150,IF(AND(G1150,H1150),C1150*E1150*G1150*H1150,IF(F1150,C1150*E1150*F1150,IF(G1150,C1150*E1150*G1150,IF(H1150,C1150*E1150*H1150,C1150*E1150))))))),2)</f>
        <v>0.92</v>
      </c>
      <c r="J1150" s="532" t="s">
        <v>102</v>
      </c>
      <c r="K1150" s="111"/>
      <c r="L1150" s="517"/>
      <c r="M1150" s="111"/>
    </row>
    <row r="1151" spans="1:13" s="525" customFormat="1" ht="16.5" hidden="1" customHeight="1">
      <c r="A1151" s="81"/>
      <c r="B1151" s="526"/>
      <c r="C1151" s="527">
        <v>1</v>
      </c>
      <c r="D1151" s="528" t="s">
        <v>265</v>
      </c>
      <c r="E1151" s="529">
        <v>1</v>
      </c>
      <c r="F1151" s="530">
        <v>3.69</v>
      </c>
      <c r="G1151" s="530">
        <v>0</v>
      </c>
      <c r="H1151" s="530">
        <v>0.3</v>
      </c>
      <c r="I1151" s="531">
        <f>ROUND(IF(AND(F1151:H1151),C1151*E1151*F1151*G1151*H1151,IF(AND(F1151,G1151),C1151*E1151*F1151*G1151,IF(AND(F1151,H1151),C1151*E1151*F1151*H1151,IF(AND(G1151,H1151),C1151*E1151*G1151*H1151,IF(F1151,C1151*E1151*F1151,IF(G1151,C1151*E1151*G1151,IF(H1151,C1151*E1151*H1151,C1151*E1151))))))),2)</f>
        <v>1.1100000000000001</v>
      </c>
      <c r="J1151" s="532" t="s">
        <v>102</v>
      </c>
      <c r="K1151" s="111"/>
      <c r="L1151" s="517"/>
      <c r="M1151" s="111"/>
    </row>
    <row r="1152" spans="1:13" s="525" customFormat="1" ht="16.5" hidden="1" customHeight="1">
      <c r="A1152" s="81"/>
      <c r="B1152" s="526"/>
      <c r="C1152" s="527"/>
      <c r="D1152" s="528"/>
      <c r="E1152" s="529"/>
      <c r="F1152" s="530"/>
      <c r="G1152" s="530"/>
      <c r="H1152" s="530"/>
      <c r="I1152" s="531"/>
      <c r="J1152" s="532"/>
      <c r="K1152" s="111"/>
      <c r="L1152" s="517"/>
      <c r="M1152" s="111"/>
    </row>
    <row r="1153" spans="1:13" hidden="1">
      <c r="A1153" s="81"/>
      <c r="B1153" s="111"/>
      <c r="C1153" s="112"/>
      <c r="D1153" s="533"/>
      <c r="E1153" s="534"/>
      <c r="F1153" s="113"/>
      <c r="G1153" s="539"/>
      <c r="H1153" s="81"/>
      <c r="I1153" s="531"/>
      <c r="J1153" s="532" t="s">
        <v>102</v>
      </c>
      <c r="K1153" s="12">
        <f>'DATA 2024-25'!G668</f>
        <v>3354.14</v>
      </c>
      <c r="L1153" s="517" t="s">
        <v>267</v>
      </c>
      <c r="M1153" s="11">
        <f>ROUND(I1153*K1153,0)</f>
        <v>0</v>
      </c>
    </row>
    <row r="1154" spans="1:13" ht="93.75" hidden="1" customHeight="1">
      <c r="A1154" s="81">
        <v>24</v>
      </c>
      <c r="B1154" s="910" t="s">
        <v>656</v>
      </c>
      <c r="C1154" s="910"/>
      <c r="D1154" s="910"/>
      <c r="E1154" s="910"/>
      <c r="F1154" s="910"/>
      <c r="G1154" s="910"/>
      <c r="H1154" s="910"/>
      <c r="I1154" s="515"/>
      <c r="J1154" s="516"/>
      <c r="K1154" s="81"/>
      <c r="L1154" s="517"/>
      <c r="M1154" s="110"/>
    </row>
    <row r="1155" spans="1:13" s="525" customFormat="1" ht="16.5" hidden="1" customHeight="1">
      <c r="A1155" s="81"/>
      <c r="B1155" s="111" t="s">
        <v>1302</v>
      </c>
      <c r="C1155" s="547"/>
      <c r="D1155" s="548"/>
      <c r="E1155" s="549"/>
      <c r="F1155" s="550"/>
      <c r="G1155" s="550"/>
      <c r="H1155" s="551"/>
      <c r="I1155" s="552"/>
      <c r="J1155" s="532"/>
      <c r="K1155" s="111"/>
      <c r="L1155" s="517"/>
      <c r="M1155" s="111"/>
    </row>
    <row r="1156" spans="1:13" s="525" customFormat="1" ht="16.5" hidden="1" customHeight="1">
      <c r="A1156" s="81"/>
      <c r="B1156" s="526" t="s">
        <v>772</v>
      </c>
      <c r="C1156" s="527">
        <v>1</v>
      </c>
      <c r="D1156" s="528" t="s">
        <v>265</v>
      </c>
      <c r="E1156" s="529">
        <v>1</v>
      </c>
      <c r="F1156" s="530">
        <v>6</v>
      </c>
      <c r="G1156" s="530">
        <v>0</v>
      </c>
      <c r="H1156" s="530">
        <v>0.15</v>
      </c>
      <c r="I1156" s="531">
        <f>ROUND(IF(AND(F1156:H1156),C1156*E1156*F1156*G1156*H1156,IF(AND(F1156,G1156),C1156*E1156*F1156*G1156,IF(AND(F1156,H1156),C1156*E1156*F1156*H1156,IF(AND(G1156,H1156),C1156*E1156*G1156*H1156,IF(F1156,C1156*E1156*F1156,IF(G1156,C1156*E1156*G1156,IF(H1156,C1156*E1156*H1156,C1156*E1156))))))),2)</f>
        <v>0.9</v>
      </c>
      <c r="J1156" s="532" t="s">
        <v>102</v>
      </c>
      <c r="K1156" s="111"/>
      <c r="L1156" s="517"/>
      <c r="M1156" s="111"/>
    </row>
    <row r="1157" spans="1:13" s="525" customFormat="1" ht="16.5" hidden="1" customHeight="1">
      <c r="A1157" s="81"/>
      <c r="B1157" s="526"/>
      <c r="C1157" s="527">
        <v>1</v>
      </c>
      <c r="D1157" s="528" t="s">
        <v>265</v>
      </c>
      <c r="E1157" s="529">
        <v>1</v>
      </c>
      <c r="F1157" s="530">
        <v>6</v>
      </c>
      <c r="G1157" s="530">
        <v>0</v>
      </c>
      <c r="H1157" s="530">
        <v>0.15</v>
      </c>
      <c r="I1157" s="531">
        <f>ROUND(IF(AND(F1157:H1157),C1157*E1157*F1157*G1157*H1157,IF(AND(F1157,G1157),C1157*E1157*F1157*G1157,IF(AND(F1157,H1157),C1157*E1157*F1157*H1157,IF(AND(G1157,H1157),C1157*E1157*G1157*H1157,IF(F1157,C1157*E1157*F1157,IF(G1157,C1157*E1157*G1157,IF(H1157,C1157*E1157*H1157,C1157*E1157))))))),2)</f>
        <v>0.9</v>
      </c>
      <c r="J1157" s="532" t="s">
        <v>102</v>
      </c>
      <c r="K1157" s="111"/>
      <c r="L1157" s="517"/>
      <c r="M1157" s="111"/>
    </row>
    <row r="1158" spans="1:13" s="525" customFormat="1" ht="16.5" hidden="1" customHeight="1">
      <c r="A1158" s="81"/>
      <c r="B1158" s="526"/>
      <c r="C1158" s="527">
        <v>1</v>
      </c>
      <c r="D1158" s="528" t="s">
        <v>265</v>
      </c>
      <c r="E1158" s="529">
        <v>1</v>
      </c>
      <c r="F1158" s="530">
        <v>6</v>
      </c>
      <c r="G1158" s="530">
        <v>0</v>
      </c>
      <c r="H1158" s="530">
        <v>0.15</v>
      </c>
      <c r="I1158" s="531">
        <f>ROUND(IF(AND(F1158:H1158),C1158*E1158*F1158*G1158*H1158,IF(AND(F1158,G1158),C1158*E1158*F1158*G1158,IF(AND(F1158,H1158),C1158*E1158*F1158*H1158,IF(AND(G1158,H1158),C1158*E1158*G1158*H1158,IF(F1158,C1158*E1158*F1158,IF(G1158,C1158*E1158*G1158,IF(H1158,C1158*E1158*H1158,C1158*E1158))))))),2)</f>
        <v>0.9</v>
      </c>
      <c r="J1158" s="532" t="s">
        <v>102</v>
      </c>
      <c r="K1158" s="111"/>
      <c r="L1158" s="517"/>
      <c r="M1158" s="111"/>
    </row>
    <row r="1159" spans="1:13" s="525" customFormat="1" ht="16.5" hidden="1" customHeight="1">
      <c r="A1159" s="81"/>
      <c r="B1159" s="526" t="s">
        <v>773</v>
      </c>
      <c r="C1159" s="527">
        <v>1</v>
      </c>
      <c r="D1159" s="528" t="s">
        <v>265</v>
      </c>
      <c r="E1159" s="529">
        <v>11</v>
      </c>
      <c r="F1159" s="530">
        <v>1.35</v>
      </c>
      <c r="G1159" s="530">
        <v>0</v>
      </c>
      <c r="H1159" s="530">
        <v>0.15</v>
      </c>
      <c r="I1159" s="531">
        <f>ROUND(IF(AND(F1159:H1159),C1159*E1159*F1159*G1159*H1159,IF(AND(F1159,G1159),C1159*E1159*F1159*G1159,IF(AND(F1159,H1159),C1159*E1159*F1159*H1159,IF(AND(G1159,H1159),C1159*E1159*G1159*H1159,IF(F1159,C1159*E1159*F1159,IF(G1159,C1159*E1159*G1159,IF(H1159,C1159*E1159*H1159,C1159*E1159))))))),2)</f>
        <v>2.23</v>
      </c>
      <c r="J1159" s="532" t="s">
        <v>102</v>
      </c>
      <c r="K1159" s="111"/>
      <c r="L1159" s="517"/>
      <c r="M1159" s="111"/>
    </row>
    <row r="1160" spans="1:13" s="525" customFormat="1" ht="16.5" hidden="1" customHeight="1">
      <c r="A1160" s="81"/>
      <c r="B1160" s="526" t="s">
        <v>774</v>
      </c>
      <c r="C1160" s="527">
        <v>1</v>
      </c>
      <c r="D1160" s="528" t="s">
        <v>265</v>
      </c>
      <c r="E1160" s="529">
        <v>11</v>
      </c>
      <c r="F1160" s="530">
        <v>1.35</v>
      </c>
      <c r="G1160" s="530">
        <v>0</v>
      </c>
      <c r="H1160" s="530">
        <v>0.15</v>
      </c>
      <c r="I1160" s="531">
        <f>ROUND(IF(AND(F1160:H1160),C1160*E1160*F1160*G1160*H1160,IF(AND(F1160,G1160),C1160*E1160*F1160*G1160,IF(AND(F1160,H1160),C1160*E1160*F1160*H1160,IF(AND(G1160,H1160),C1160*E1160*G1160*H1160,IF(F1160,C1160*E1160*F1160,IF(G1160,C1160*E1160*G1160,IF(H1160,C1160*E1160*H1160,C1160*E1160))))))),2)</f>
        <v>2.23</v>
      </c>
      <c r="J1160" s="532" t="s">
        <v>102</v>
      </c>
      <c r="K1160" s="111"/>
      <c r="L1160" s="517"/>
      <c r="M1160" s="111"/>
    </row>
    <row r="1161" spans="1:13" s="525" customFormat="1" ht="16.5" hidden="1" customHeight="1">
      <c r="A1161" s="81"/>
      <c r="B1161" s="526"/>
      <c r="C1161" s="527"/>
      <c r="D1161" s="528"/>
      <c r="E1161" s="529"/>
      <c r="F1161" s="530"/>
      <c r="G1161" s="530"/>
      <c r="H1161" s="530"/>
      <c r="I1161" s="531"/>
      <c r="J1161" s="532"/>
      <c r="K1161" s="111"/>
      <c r="L1161" s="517"/>
      <c r="M1161" s="111"/>
    </row>
    <row r="1162" spans="1:13" hidden="1">
      <c r="A1162" s="81"/>
      <c r="B1162" s="111"/>
      <c r="C1162" s="112"/>
      <c r="D1162" s="533"/>
      <c r="E1162" s="534"/>
      <c r="F1162" s="113"/>
      <c r="G1162" s="539"/>
      <c r="H1162" s="81"/>
      <c r="I1162" s="531"/>
      <c r="J1162" s="532" t="s">
        <v>102</v>
      </c>
      <c r="K1162" s="12">
        <f>'DATA 2024-25'!G688</f>
        <v>3073.05</v>
      </c>
      <c r="L1162" s="517" t="s">
        <v>267</v>
      </c>
      <c r="M1162" s="11">
        <f>ROUND(I1162*K1162,0)</f>
        <v>0</v>
      </c>
    </row>
    <row r="1163" spans="1:13" ht="90" hidden="1" customHeight="1">
      <c r="A1163" s="81">
        <v>26</v>
      </c>
      <c r="B1163" s="910" t="s">
        <v>657</v>
      </c>
      <c r="C1163" s="910"/>
      <c r="D1163" s="910"/>
      <c r="E1163" s="910"/>
      <c r="F1163" s="910"/>
      <c r="G1163" s="910"/>
      <c r="H1163" s="910"/>
      <c r="I1163" s="515"/>
      <c r="J1163" s="516"/>
      <c r="K1163" s="81"/>
      <c r="L1163" s="517"/>
      <c r="M1163" s="110"/>
    </row>
    <row r="1164" spans="1:13" s="525" customFormat="1" ht="16.5" hidden="1" customHeight="1">
      <c r="A1164" s="81"/>
      <c r="B1164" s="111" t="s">
        <v>1011</v>
      </c>
      <c r="C1164" s="547"/>
      <c r="D1164" s="548"/>
      <c r="E1164" s="549"/>
      <c r="F1164" s="550"/>
      <c r="G1164" s="550"/>
      <c r="H1164" s="551"/>
      <c r="I1164" s="552"/>
      <c r="J1164" s="532"/>
      <c r="K1164" s="111"/>
      <c r="L1164" s="517"/>
      <c r="M1164" s="111"/>
    </row>
    <row r="1165" spans="1:13" s="525" customFormat="1" ht="16.5" hidden="1" customHeight="1">
      <c r="A1165" s="81"/>
      <c r="B1165" s="526" t="s">
        <v>564</v>
      </c>
      <c r="C1165" s="527">
        <v>1</v>
      </c>
      <c r="D1165" s="528" t="s">
        <v>265</v>
      </c>
      <c r="E1165" s="529">
        <v>1</v>
      </c>
      <c r="F1165" s="530">
        <v>9.8699999999999992</v>
      </c>
      <c r="G1165" s="530">
        <v>1.83</v>
      </c>
      <c r="H1165" s="530">
        <v>0</v>
      </c>
      <c r="I1165" s="531">
        <f t="shared" ref="I1165:I1175" si="97">ROUND(IF(AND(F1165:H1165),C1165*E1165*F1165*G1165*H1165,IF(AND(F1165,G1165),C1165*E1165*F1165*G1165,IF(AND(F1165,H1165),C1165*E1165*F1165*H1165,IF(AND(G1165,H1165),C1165*E1165*G1165*H1165,IF(F1165,C1165*E1165*F1165,IF(G1165,C1165*E1165*G1165,IF(H1165,C1165*E1165*H1165,C1165*E1165))))))),2)</f>
        <v>18.059999999999999</v>
      </c>
      <c r="J1165" s="532" t="s">
        <v>102</v>
      </c>
      <c r="K1165" s="111"/>
      <c r="L1165" s="517"/>
      <c r="M1165" s="111"/>
    </row>
    <row r="1166" spans="1:13" s="525" customFormat="1" ht="16.5" hidden="1" customHeight="1">
      <c r="A1166" s="81"/>
      <c r="B1166" s="526" t="s">
        <v>635</v>
      </c>
      <c r="C1166" s="527">
        <v>1</v>
      </c>
      <c r="D1166" s="528" t="s">
        <v>265</v>
      </c>
      <c r="E1166" s="529">
        <v>1</v>
      </c>
      <c r="F1166" s="530">
        <v>2.83</v>
      </c>
      <c r="G1166" s="530">
        <v>1.55</v>
      </c>
      <c r="H1166" s="530">
        <v>0</v>
      </c>
      <c r="I1166" s="531">
        <f t="shared" si="97"/>
        <v>4.3899999999999997</v>
      </c>
      <c r="J1166" s="532" t="s">
        <v>102</v>
      </c>
      <c r="K1166" s="111"/>
      <c r="L1166" s="517"/>
      <c r="M1166" s="111"/>
    </row>
    <row r="1167" spans="1:13" s="525" customFormat="1" ht="16.5" hidden="1" customHeight="1">
      <c r="A1167" s="81"/>
      <c r="B1167" s="526"/>
      <c r="C1167" s="527">
        <v>1</v>
      </c>
      <c r="D1167" s="528" t="s">
        <v>265</v>
      </c>
      <c r="E1167" s="529">
        <v>1</v>
      </c>
      <c r="F1167" s="530">
        <v>2.65</v>
      </c>
      <c r="G1167" s="530">
        <v>0.53</v>
      </c>
      <c r="H1167" s="530">
        <v>0</v>
      </c>
      <c r="I1167" s="531">
        <f t="shared" si="97"/>
        <v>1.4</v>
      </c>
      <c r="J1167" s="532" t="s">
        <v>102</v>
      </c>
      <c r="K1167" s="111"/>
      <c r="L1167" s="517"/>
      <c r="M1167" s="111"/>
    </row>
    <row r="1168" spans="1:13" s="525" customFormat="1" ht="16.5" hidden="1" customHeight="1">
      <c r="A1168" s="81"/>
      <c r="B1168" s="526"/>
      <c r="C1168" s="527">
        <v>1</v>
      </c>
      <c r="D1168" s="528" t="s">
        <v>265</v>
      </c>
      <c r="E1168" s="529">
        <v>1</v>
      </c>
      <c r="F1168" s="530">
        <v>2.65</v>
      </c>
      <c r="G1168" s="530">
        <v>0.9</v>
      </c>
      <c r="H1168" s="530">
        <v>0</v>
      </c>
      <c r="I1168" s="531">
        <f t="shared" si="97"/>
        <v>2.39</v>
      </c>
      <c r="J1168" s="532" t="s">
        <v>102</v>
      </c>
      <c r="K1168" s="111"/>
      <c r="L1168" s="517"/>
      <c r="M1168" s="111"/>
    </row>
    <row r="1169" spans="1:13" s="525" customFormat="1" ht="16.5" hidden="1" customHeight="1">
      <c r="A1169" s="81"/>
      <c r="B1169" s="526" t="s">
        <v>1030</v>
      </c>
      <c r="C1169" s="527">
        <v>1</v>
      </c>
      <c r="D1169" s="528" t="s">
        <v>265</v>
      </c>
      <c r="E1169" s="529">
        <v>2</v>
      </c>
      <c r="F1169" s="530">
        <v>2.65</v>
      </c>
      <c r="G1169" s="530">
        <v>1.1000000000000001</v>
      </c>
      <c r="H1169" s="530">
        <v>0</v>
      </c>
      <c r="I1169" s="531">
        <f t="shared" si="97"/>
        <v>5.83</v>
      </c>
      <c r="J1169" s="532" t="s">
        <v>102</v>
      </c>
      <c r="K1169" s="111"/>
      <c r="L1169" s="517"/>
      <c r="M1169" s="111"/>
    </row>
    <row r="1170" spans="1:13" s="525" customFormat="1" ht="16.5" hidden="1" customHeight="1">
      <c r="A1170" s="81"/>
      <c r="B1170" s="526"/>
      <c r="C1170" s="527">
        <v>1</v>
      </c>
      <c r="D1170" s="528" t="s">
        <v>265</v>
      </c>
      <c r="E1170" s="529">
        <v>1</v>
      </c>
      <c r="F1170" s="530">
        <v>1.3</v>
      </c>
      <c r="G1170" s="530">
        <v>0.56000000000000005</v>
      </c>
      <c r="H1170" s="530">
        <v>0</v>
      </c>
      <c r="I1170" s="531">
        <f t="shared" si="97"/>
        <v>0.73</v>
      </c>
      <c r="J1170" s="532" t="s">
        <v>102</v>
      </c>
      <c r="K1170" s="111"/>
      <c r="L1170" s="517"/>
      <c r="M1170" s="111"/>
    </row>
    <row r="1171" spans="1:13" s="525" customFormat="1" ht="16.5" hidden="1" customHeight="1">
      <c r="A1171" s="81"/>
      <c r="B1171" s="526"/>
      <c r="C1171" s="527">
        <v>1</v>
      </c>
      <c r="D1171" s="528" t="s">
        <v>265</v>
      </c>
      <c r="E1171" s="529">
        <v>1</v>
      </c>
      <c r="F1171" s="530">
        <v>2.8</v>
      </c>
      <c r="G1171" s="530">
        <v>0.53</v>
      </c>
      <c r="H1171" s="530">
        <v>0</v>
      </c>
      <c r="I1171" s="531">
        <f t="shared" si="97"/>
        <v>1.48</v>
      </c>
      <c r="J1171" s="532" t="s">
        <v>102</v>
      </c>
      <c r="K1171" s="111"/>
      <c r="L1171" s="517"/>
      <c r="M1171" s="111"/>
    </row>
    <row r="1172" spans="1:13" s="525" customFormat="1" ht="16.5" hidden="1" customHeight="1">
      <c r="A1172" s="81"/>
      <c r="B1172" s="526"/>
      <c r="C1172" s="527">
        <v>1</v>
      </c>
      <c r="D1172" s="528" t="s">
        <v>265</v>
      </c>
      <c r="E1172" s="529">
        <v>1</v>
      </c>
      <c r="F1172" s="530">
        <v>2.8</v>
      </c>
      <c r="G1172" s="530">
        <v>0.9</v>
      </c>
      <c r="H1172" s="530">
        <v>0</v>
      </c>
      <c r="I1172" s="531">
        <f t="shared" si="97"/>
        <v>2.52</v>
      </c>
      <c r="J1172" s="532" t="s">
        <v>102</v>
      </c>
      <c r="K1172" s="111"/>
      <c r="L1172" s="517"/>
      <c r="M1172" s="111"/>
    </row>
    <row r="1173" spans="1:13" s="525" customFormat="1" ht="16.5" hidden="1" customHeight="1">
      <c r="A1173" s="81"/>
      <c r="B1173" s="526" t="s">
        <v>1031</v>
      </c>
      <c r="C1173" s="527">
        <v>1</v>
      </c>
      <c r="D1173" s="528" t="s">
        <v>265</v>
      </c>
      <c r="E1173" s="529">
        <v>4</v>
      </c>
      <c r="F1173" s="530">
        <v>2.72</v>
      </c>
      <c r="G1173" s="530">
        <v>0.38</v>
      </c>
      <c r="H1173" s="530">
        <v>0</v>
      </c>
      <c r="I1173" s="531">
        <f t="shared" si="97"/>
        <v>4.13</v>
      </c>
      <c r="J1173" s="532" t="s">
        <v>102</v>
      </c>
      <c r="K1173" s="111"/>
      <c r="L1173" s="517"/>
      <c r="M1173" s="111"/>
    </row>
    <row r="1174" spans="1:13" s="525" customFormat="1" ht="16.5" hidden="1" customHeight="1">
      <c r="A1174" s="81"/>
      <c r="B1174" s="526" t="s">
        <v>1032</v>
      </c>
      <c r="C1174" s="527">
        <v>1</v>
      </c>
      <c r="D1174" s="528" t="s">
        <v>265</v>
      </c>
      <c r="E1174" s="529">
        <v>4</v>
      </c>
      <c r="F1174" s="530">
        <v>2.5</v>
      </c>
      <c r="G1174" s="530">
        <v>0.38</v>
      </c>
      <c r="H1174" s="530">
        <v>0</v>
      </c>
      <c r="I1174" s="531">
        <f t="shared" si="97"/>
        <v>3.8</v>
      </c>
      <c r="J1174" s="532" t="s">
        <v>102</v>
      </c>
      <c r="K1174" s="111"/>
      <c r="L1174" s="517"/>
      <c r="M1174" s="111"/>
    </row>
    <row r="1175" spans="1:13" s="525" customFormat="1" ht="16.5" hidden="1" customHeight="1">
      <c r="A1175" s="81"/>
      <c r="B1175" s="526" t="s">
        <v>1033</v>
      </c>
      <c r="C1175" s="527">
        <v>1</v>
      </c>
      <c r="D1175" s="528" t="s">
        <v>265</v>
      </c>
      <c r="E1175" s="529">
        <v>21</v>
      </c>
      <c r="F1175" s="530">
        <v>1.28</v>
      </c>
      <c r="G1175" s="530">
        <v>0.3</v>
      </c>
      <c r="H1175" s="530">
        <v>0</v>
      </c>
      <c r="I1175" s="531">
        <f t="shared" si="97"/>
        <v>8.06</v>
      </c>
      <c r="J1175" s="532" t="s">
        <v>102</v>
      </c>
      <c r="K1175" s="111"/>
      <c r="L1175" s="517"/>
      <c r="M1175" s="111"/>
    </row>
    <row r="1176" spans="1:13" s="525" customFormat="1" ht="16.5" hidden="1" customHeight="1">
      <c r="A1176" s="81"/>
      <c r="B1176" s="526"/>
      <c r="C1176" s="527"/>
      <c r="D1176" s="528"/>
      <c r="E1176" s="529"/>
      <c r="F1176" s="530"/>
      <c r="G1176" s="530"/>
      <c r="H1176" s="530"/>
      <c r="I1176" s="531"/>
      <c r="J1176" s="532"/>
      <c r="K1176" s="111"/>
      <c r="L1176" s="517"/>
      <c r="M1176" s="111"/>
    </row>
    <row r="1177" spans="1:13" hidden="1">
      <c r="A1177" s="81"/>
      <c r="B1177" s="111"/>
      <c r="C1177" s="112"/>
      <c r="D1177" s="533"/>
      <c r="E1177" s="534"/>
      <c r="F1177" s="113"/>
      <c r="G1177" s="539"/>
      <c r="H1177" s="81"/>
      <c r="I1177" s="531"/>
      <c r="J1177" s="532" t="s">
        <v>102</v>
      </c>
      <c r="K1177" s="12">
        <f>'DATA 2024-25'!G709</f>
        <v>826.62</v>
      </c>
      <c r="L1177" s="517" t="s">
        <v>267</v>
      </c>
      <c r="M1177" s="11">
        <f>ROUND(I1177*K1177,0)</f>
        <v>0</v>
      </c>
    </row>
    <row r="1178" spans="1:13" ht="96" hidden="1" customHeight="1">
      <c r="A1178" s="81">
        <v>27</v>
      </c>
      <c r="B1178" s="910" t="s">
        <v>663</v>
      </c>
      <c r="C1178" s="910"/>
      <c r="D1178" s="910"/>
      <c r="E1178" s="910"/>
      <c r="F1178" s="910"/>
      <c r="G1178" s="910"/>
      <c r="H1178" s="910"/>
      <c r="I1178" s="515"/>
      <c r="J1178" s="516"/>
      <c r="K1178" s="81"/>
      <c r="L1178" s="517"/>
      <c r="M1178" s="110"/>
    </row>
    <row r="1179" spans="1:13" s="525" customFormat="1" ht="16.5" hidden="1" customHeight="1">
      <c r="A1179" s="81"/>
      <c r="B1179" s="111" t="s">
        <v>1012</v>
      </c>
      <c r="C1179" s="547"/>
      <c r="D1179" s="548"/>
      <c r="E1179" s="549"/>
      <c r="F1179" s="550"/>
      <c r="G1179" s="550"/>
      <c r="H1179" s="551"/>
      <c r="I1179" s="552"/>
      <c r="J1179" s="532"/>
      <c r="K1179" s="111"/>
      <c r="L1179" s="517"/>
      <c r="M1179" s="111"/>
    </row>
    <row r="1180" spans="1:13" s="525" customFormat="1" ht="16.5" hidden="1" customHeight="1">
      <c r="A1180" s="81"/>
      <c r="B1180" s="526" t="s">
        <v>1030</v>
      </c>
      <c r="C1180" s="527">
        <v>1</v>
      </c>
      <c r="D1180" s="528" t="s">
        <v>265</v>
      </c>
      <c r="E1180" s="529">
        <v>2</v>
      </c>
      <c r="F1180" s="530">
        <v>5.25</v>
      </c>
      <c r="G1180" s="530">
        <v>0</v>
      </c>
      <c r="H1180" s="530">
        <v>0.1</v>
      </c>
      <c r="I1180" s="531">
        <f t="shared" ref="I1180:I1185" si="98">ROUND(IF(AND(F1180:H1180),C1180*E1180*F1180*G1180*H1180,IF(AND(F1180,G1180),C1180*E1180*F1180*G1180,IF(AND(F1180,H1180),C1180*E1180*F1180*H1180,IF(AND(G1180,H1180),C1180*E1180*G1180*H1180,IF(F1180,C1180*E1180*F1180,IF(G1180,C1180*E1180*G1180,IF(H1180,C1180*E1180*H1180,C1180*E1180))))))),2)</f>
        <v>1.05</v>
      </c>
      <c r="J1180" s="532" t="s">
        <v>102</v>
      </c>
      <c r="K1180" s="111"/>
      <c r="L1180" s="517"/>
      <c r="M1180" s="111"/>
    </row>
    <row r="1181" spans="1:13" s="525" customFormat="1" ht="16.5" hidden="1" customHeight="1">
      <c r="A1181" s="81"/>
      <c r="B1181" s="526" t="s">
        <v>564</v>
      </c>
      <c r="C1181" s="527">
        <v>1</v>
      </c>
      <c r="D1181" s="528" t="s">
        <v>265</v>
      </c>
      <c r="E1181" s="529">
        <v>1</v>
      </c>
      <c r="F1181" s="530">
        <v>9.8699999999999992</v>
      </c>
      <c r="G1181" s="530">
        <v>0</v>
      </c>
      <c r="H1181" s="530">
        <v>0.1</v>
      </c>
      <c r="I1181" s="531">
        <f t="shared" si="98"/>
        <v>0.99</v>
      </c>
      <c r="J1181" s="532" t="s">
        <v>102</v>
      </c>
      <c r="K1181" s="111"/>
      <c r="L1181" s="517"/>
      <c r="M1181" s="111"/>
    </row>
    <row r="1182" spans="1:13" s="525" customFormat="1" ht="16.5" hidden="1" customHeight="1">
      <c r="A1182" s="81"/>
      <c r="B1182" s="526" t="s">
        <v>1034</v>
      </c>
      <c r="C1182" s="527">
        <v>1</v>
      </c>
      <c r="D1182" s="528" t="s">
        <v>265</v>
      </c>
      <c r="E1182" s="529">
        <v>5</v>
      </c>
      <c r="F1182" s="530">
        <v>2.72</v>
      </c>
      <c r="G1182" s="530">
        <v>0</v>
      </c>
      <c r="H1182" s="530">
        <v>0.17</v>
      </c>
      <c r="I1182" s="531">
        <f t="shared" si="98"/>
        <v>2.31</v>
      </c>
      <c r="J1182" s="532" t="s">
        <v>102</v>
      </c>
      <c r="K1182" s="111"/>
      <c r="L1182" s="517"/>
      <c r="M1182" s="111"/>
    </row>
    <row r="1183" spans="1:13" s="525" customFormat="1" ht="16.5" hidden="1" customHeight="1">
      <c r="A1183" s="81"/>
      <c r="B1183" s="526" t="s">
        <v>1035</v>
      </c>
      <c r="C1183" s="527">
        <v>1</v>
      </c>
      <c r="D1183" s="528" t="s">
        <v>265</v>
      </c>
      <c r="E1183" s="529">
        <v>5</v>
      </c>
      <c r="F1183" s="530">
        <v>2.5</v>
      </c>
      <c r="G1183" s="530">
        <v>0</v>
      </c>
      <c r="H1183" s="530">
        <v>0.17</v>
      </c>
      <c r="I1183" s="531">
        <f t="shared" si="98"/>
        <v>2.13</v>
      </c>
      <c r="J1183" s="532" t="s">
        <v>102</v>
      </c>
      <c r="K1183" s="111"/>
      <c r="L1183" s="517"/>
      <c r="M1183" s="111"/>
    </row>
    <row r="1184" spans="1:13" s="525" customFormat="1" ht="16.5" hidden="1" customHeight="1">
      <c r="A1184" s="81"/>
      <c r="B1184" s="526" t="s">
        <v>1033</v>
      </c>
      <c r="C1184" s="527">
        <v>1</v>
      </c>
      <c r="D1184" s="528" t="s">
        <v>265</v>
      </c>
      <c r="E1184" s="529">
        <v>22</v>
      </c>
      <c r="F1184" s="530">
        <v>1.28</v>
      </c>
      <c r="G1184" s="530">
        <v>0</v>
      </c>
      <c r="H1184" s="530">
        <v>0.15</v>
      </c>
      <c r="I1184" s="531">
        <f t="shared" si="98"/>
        <v>4.22</v>
      </c>
      <c r="J1184" s="532" t="s">
        <v>102</v>
      </c>
      <c r="K1184" s="111"/>
      <c r="L1184" s="517"/>
      <c r="M1184" s="111"/>
    </row>
    <row r="1185" spans="1:13" s="525" customFormat="1" ht="16.5" hidden="1" customHeight="1">
      <c r="A1185" s="81"/>
      <c r="B1185" s="526" t="s">
        <v>1025</v>
      </c>
      <c r="C1185" s="527">
        <v>1</v>
      </c>
      <c r="D1185" s="528" t="s">
        <v>265</v>
      </c>
      <c r="E1185" s="529">
        <v>1</v>
      </c>
      <c r="F1185" s="530">
        <v>10.53</v>
      </c>
      <c r="G1185" s="530">
        <v>0</v>
      </c>
      <c r="H1185" s="530">
        <v>0.1</v>
      </c>
      <c r="I1185" s="531">
        <f t="shared" si="98"/>
        <v>1.05</v>
      </c>
      <c r="J1185" s="532" t="s">
        <v>102</v>
      </c>
      <c r="K1185" s="111"/>
      <c r="L1185" s="517"/>
      <c r="M1185" s="111"/>
    </row>
    <row r="1186" spans="1:13" s="525" customFormat="1" ht="16.5" hidden="1" customHeight="1">
      <c r="A1186" s="81"/>
      <c r="B1186" s="526"/>
      <c r="C1186" s="527"/>
      <c r="D1186" s="528"/>
      <c r="E1186" s="529"/>
      <c r="F1186" s="530"/>
      <c r="G1186" s="530"/>
      <c r="H1186" s="530"/>
      <c r="I1186" s="531"/>
      <c r="J1186" s="532"/>
      <c r="K1186" s="111"/>
      <c r="L1186" s="517"/>
      <c r="M1186" s="111"/>
    </row>
    <row r="1187" spans="1:13" hidden="1">
      <c r="A1187" s="81"/>
      <c r="B1187" s="111"/>
      <c r="C1187" s="112"/>
      <c r="D1187" s="533"/>
      <c r="E1187" s="534"/>
      <c r="F1187" s="113"/>
      <c r="G1187" s="539"/>
      <c r="H1187" s="81"/>
      <c r="I1187" s="531"/>
      <c r="J1187" s="532" t="s">
        <v>102</v>
      </c>
      <c r="K1187" s="12">
        <f>'DATA 2024-25'!G727</f>
        <v>853.85</v>
      </c>
      <c r="L1187" s="517" t="s">
        <v>267</v>
      </c>
      <c r="M1187" s="11">
        <f>ROUND(I1187*K1187,0)</f>
        <v>0</v>
      </c>
    </row>
    <row r="1188" spans="1:13" ht="94.5" hidden="1" customHeight="1">
      <c r="A1188" s="81">
        <v>19</v>
      </c>
      <c r="B1188" s="910" t="s">
        <v>211</v>
      </c>
      <c r="C1188" s="910"/>
      <c r="D1188" s="910"/>
      <c r="E1188" s="910"/>
      <c r="F1188" s="910"/>
      <c r="G1188" s="910"/>
      <c r="H1188" s="910"/>
      <c r="I1188" s="515"/>
      <c r="J1188" s="516"/>
      <c r="K1188" s="81"/>
      <c r="L1188" s="517"/>
      <c r="M1188" s="110"/>
    </row>
    <row r="1189" spans="1:13" s="525" customFormat="1" ht="16.5" hidden="1" customHeight="1">
      <c r="A1189" s="81"/>
      <c r="B1189" s="542" t="s">
        <v>1291</v>
      </c>
      <c r="C1189" s="547"/>
      <c r="D1189" s="548"/>
      <c r="E1189" s="549"/>
      <c r="F1189" s="550"/>
      <c r="G1189" s="550"/>
      <c r="H1189" s="551"/>
      <c r="I1189" s="552"/>
      <c r="J1189" s="532"/>
      <c r="K1189" s="111"/>
      <c r="L1189" s="517"/>
      <c r="M1189" s="111"/>
    </row>
    <row r="1190" spans="1:13" s="525" customFormat="1" ht="16.5" hidden="1" customHeight="1">
      <c r="A1190" s="81"/>
      <c r="B1190" s="526"/>
      <c r="C1190" s="527">
        <v>1</v>
      </c>
      <c r="D1190" s="528" t="s">
        <v>265</v>
      </c>
      <c r="E1190" s="529">
        <v>1</v>
      </c>
      <c r="F1190" s="530">
        <v>9.86</v>
      </c>
      <c r="G1190" s="530">
        <v>1.1499999999999999</v>
      </c>
      <c r="H1190" s="530">
        <v>0</v>
      </c>
      <c r="I1190" s="531">
        <f t="shared" ref="I1190:I1199" si="99">ROUND(IF(AND(F1190:H1190),C1190*E1190*F1190*G1190*H1190,IF(AND(F1190,G1190),C1190*E1190*F1190*G1190,IF(AND(F1190,H1190),C1190*E1190*F1190*H1190,IF(AND(G1190,H1190),C1190*E1190*G1190*H1190,IF(F1190,C1190*E1190*F1190,IF(G1190,C1190*E1190*G1190,IF(H1190,C1190*E1190*H1190,C1190*E1190))))))),2)</f>
        <v>11.34</v>
      </c>
      <c r="J1190" s="532" t="s">
        <v>102</v>
      </c>
      <c r="K1190" s="111"/>
      <c r="L1190" s="517"/>
      <c r="M1190" s="111"/>
    </row>
    <row r="1191" spans="1:13" s="525" customFormat="1" ht="16.5" hidden="1" customHeight="1">
      <c r="A1191" s="81"/>
      <c r="B1191" s="526"/>
      <c r="C1191" s="527">
        <v>1</v>
      </c>
      <c r="D1191" s="528" t="s">
        <v>265</v>
      </c>
      <c r="E1191" s="529">
        <v>1</v>
      </c>
      <c r="F1191" s="530">
        <v>3.1</v>
      </c>
      <c r="G1191" s="530">
        <v>0.4</v>
      </c>
      <c r="H1191" s="530">
        <v>0</v>
      </c>
      <c r="I1191" s="531">
        <f t="shared" si="99"/>
        <v>1.24</v>
      </c>
      <c r="J1191" s="532" t="s">
        <v>102</v>
      </c>
      <c r="K1191" s="111"/>
      <c r="L1191" s="517"/>
      <c r="M1191" s="111"/>
    </row>
    <row r="1192" spans="1:13" s="525" customFormat="1" ht="16.5" hidden="1" customHeight="1">
      <c r="A1192" s="81"/>
      <c r="B1192" s="526"/>
      <c r="C1192" s="527">
        <v>1</v>
      </c>
      <c r="D1192" s="528" t="s">
        <v>265</v>
      </c>
      <c r="E1192" s="529">
        <v>1</v>
      </c>
      <c r="F1192" s="530">
        <v>3.1</v>
      </c>
      <c r="G1192" s="530">
        <v>1.18</v>
      </c>
      <c r="H1192" s="530">
        <v>0</v>
      </c>
      <c r="I1192" s="531">
        <f t="shared" si="99"/>
        <v>3.66</v>
      </c>
      <c r="J1192" s="532" t="s">
        <v>102</v>
      </c>
      <c r="K1192" s="111"/>
      <c r="L1192" s="517"/>
      <c r="M1192" s="111"/>
    </row>
    <row r="1193" spans="1:13" s="525" customFormat="1" ht="16.5" hidden="1" customHeight="1">
      <c r="A1193" s="81"/>
      <c r="B1193" s="526"/>
      <c r="C1193" s="527">
        <v>1</v>
      </c>
      <c r="D1193" s="528" t="s">
        <v>265</v>
      </c>
      <c r="E1193" s="529">
        <v>1</v>
      </c>
      <c r="F1193" s="530">
        <v>3.15</v>
      </c>
      <c r="G1193" s="530">
        <v>0.4</v>
      </c>
      <c r="H1193" s="530">
        <v>0</v>
      </c>
      <c r="I1193" s="531">
        <f t="shared" si="99"/>
        <v>1.26</v>
      </c>
      <c r="J1193" s="532" t="s">
        <v>102</v>
      </c>
      <c r="K1193" s="111"/>
      <c r="L1193" s="517"/>
      <c r="M1193" s="111"/>
    </row>
    <row r="1194" spans="1:13" s="525" customFormat="1" ht="16.5" hidden="1" customHeight="1">
      <c r="A1194" s="81"/>
      <c r="B1194" s="526"/>
      <c r="C1194" s="527">
        <v>1</v>
      </c>
      <c r="D1194" s="528" t="s">
        <v>265</v>
      </c>
      <c r="E1194" s="529">
        <v>1</v>
      </c>
      <c r="F1194" s="530">
        <v>3.15</v>
      </c>
      <c r="G1194" s="530">
        <v>1.2</v>
      </c>
      <c r="H1194" s="530">
        <v>0</v>
      </c>
      <c r="I1194" s="531">
        <f t="shared" si="99"/>
        <v>3.78</v>
      </c>
      <c r="J1194" s="532" t="s">
        <v>102</v>
      </c>
      <c r="K1194" s="111"/>
      <c r="L1194" s="517"/>
      <c r="M1194" s="111"/>
    </row>
    <row r="1195" spans="1:13" s="525" customFormat="1" ht="16.5" hidden="1" customHeight="1">
      <c r="A1195" s="81"/>
      <c r="B1195" s="526"/>
      <c r="C1195" s="527">
        <v>1</v>
      </c>
      <c r="D1195" s="528" t="s">
        <v>265</v>
      </c>
      <c r="E1195" s="529">
        <v>1</v>
      </c>
      <c r="F1195" s="530">
        <v>3.6</v>
      </c>
      <c r="G1195" s="530">
        <v>0.9</v>
      </c>
      <c r="H1195" s="530">
        <v>0</v>
      </c>
      <c r="I1195" s="531">
        <f t="shared" si="99"/>
        <v>3.24</v>
      </c>
      <c r="J1195" s="532" t="s">
        <v>102</v>
      </c>
      <c r="K1195" s="111"/>
      <c r="L1195" s="517"/>
      <c r="M1195" s="111"/>
    </row>
    <row r="1196" spans="1:13" s="525" customFormat="1" ht="16.5" hidden="1" customHeight="1">
      <c r="A1196" s="81"/>
      <c r="B1196" s="526"/>
      <c r="C1196" s="527">
        <v>1</v>
      </c>
      <c r="D1196" s="528" t="s">
        <v>265</v>
      </c>
      <c r="E1196" s="529">
        <v>1</v>
      </c>
      <c r="F1196" s="530">
        <v>3.6</v>
      </c>
      <c r="G1196" s="530">
        <v>0.3</v>
      </c>
      <c r="H1196" s="530">
        <v>0</v>
      </c>
      <c r="I1196" s="531">
        <f t="shared" si="99"/>
        <v>1.08</v>
      </c>
      <c r="J1196" s="532" t="s">
        <v>102</v>
      </c>
      <c r="K1196" s="111"/>
      <c r="L1196" s="517"/>
      <c r="M1196" s="111"/>
    </row>
    <row r="1197" spans="1:13" s="525" customFormat="1" ht="16.5" hidden="1" customHeight="1">
      <c r="A1197" s="81"/>
      <c r="B1197" s="526"/>
      <c r="C1197" s="527">
        <v>1</v>
      </c>
      <c r="D1197" s="528" t="s">
        <v>265</v>
      </c>
      <c r="E1197" s="529">
        <v>1</v>
      </c>
      <c r="F1197" s="530">
        <v>3.6</v>
      </c>
      <c r="G1197" s="530">
        <v>0.38</v>
      </c>
      <c r="H1197" s="530">
        <v>0</v>
      </c>
      <c r="I1197" s="531">
        <f t="shared" si="99"/>
        <v>1.37</v>
      </c>
      <c r="J1197" s="532" t="s">
        <v>102</v>
      </c>
      <c r="K1197" s="111"/>
      <c r="L1197" s="517"/>
      <c r="M1197" s="111"/>
    </row>
    <row r="1198" spans="1:13" s="525" customFormat="1" ht="16.5" hidden="1" customHeight="1">
      <c r="A1198" s="81"/>
      <c r="B1198" s="526"/>
      <c r="C1198" s="527">
        <v>1</v>
      </c>
      <c r="D1198" s="528" t="s">
        <v>265</v>
      </c>
      <c r="E1198" s="529">
        <v>1</v>
      </c>
      <c r="F1198" s="530">
        <v>3.6</v>
      </c>
      <c r="G1198" s="530">
        <v>0.41</v>
      </c>
      <c r="H1198" s="530">
        <v>0</v>
      </c>
      <c r="I1198" s="531">
        <f t="shared" si="99"/>
        <v>1.48</v>
      </c>
      <c r="J1198" s="532" t="s">
        <v>102</v>
      </c>
      <c r="K1198" s="111"/>
      <c r="L1198" s="517"/>
      <c r="M1198" s="111"/>
    </row>
    <row r="1199" spans="1:13" s="525" customFormat="1" ht="16.5" hidden="1" customHeight="1">
      <c r="A1199" s="81"/>
      <c r="B1199" s="526"/>
      <c r="C1199" s="527">
        <v>1</v>
      </c>
      <c r="D1199" s="528" t="s">
        <v>265</v>
      </c>
      <c r="E1199" s="529">
        <v>1</v>
      </c>
      <c r="F1199" s="530">
        <v>3.6</v>
      </c>
      <c r="G1199" s="530">
        <v>0.37</v>
      </c>
      <c r="H1199" s="530">
        <v>0</v>
      </c>
      <c r="I1199" s="531">
        <f t="shared" si="99"/>
        <v>1.33</v>
      </c>
      <c r="J1199" s="532" t="s">
        <v>102</v>
      </c>
      <c r="K1199" s="111"/>
      <c r="L1199" s="517"/>
      <c r="M1199" s="111"/>
    </row>
    <row r="1200" spans="1:13" s="525" customFormat="1" ht="16.5" hidden="1" customHeight="1">
      <c r="A1200" s="81"/>
      <c r="B1200" s="526"/>
      <c r="C1200" s="527"/>
      <c r="D1200" s="528"/>
      <c r="E1200" s="529"/>
      <c r="F1200" s="530"/>
      <c r="G1200" s="530"/>
      <c r="H1200" s="530"/>
      <c r="I1200" s="531"/>
      <c r="J1200" s="532"/>
      <c r="K1200" s="111"/>
      <c r="L1200" s="517"/>
      <c r="M1200" s="111"/>
    </row>
    <row r="1201" spans="1:13" hidden="1">
      <c r="A1201" s="81"/>
      <c r="B1201" s="111"/>
      <c r="C1201" s="112"/>
      <c r="D1201" s="533"/>
      <c r="E1201" s="534"/>
      <c r="F1201" s="113"/>
      <c r="G1201" s="539"/>
      <c r="H1201" s="81"/>
      <c r="I1201" s="531"/>
      <c r="J1201" s="532" t="s">
        <v>102</v>
      </c>
      <c r="K1201" s="12">
        <f>'DATA 2024-25'!G785</f>
        <v>930.6</v>
      </c>
      <c r="L1201" s="517" t="s">
        <v>267</v>
      </c>
      <c r="M1201" s="11">
        <f>ROUND(I1201*K1201,0)</f>
        <v>0</v>
      </c>
    </row>
    <row r="1202" spans="1:13" ht="94.5" hidden="1" customHeight="1">
      <c r="A1202" s="81">
        <v>20</v>
      </c>
      <c r="B1202" s="910" t="s">
        <v>214</v>
      </c>
      <c r="C1202" s="910"/>
      <c r="D1202" s="910"/>
      <c r="E1202" s="910"/>
      <c r="F1202" s="910"/>
      <c r="G1202" s="910"/>
      <c r="H1202" s="910"/>
      <c r="I1202" s="515"/>
      <c r="J1202" s="516"/>
      <c r="K1202" s="81"/>
      <c r="L1202" s="517"/>
      <c r="M1202" s="110"/>
    </row>
    <row r="1203" spans="1:13" s="525" customFormat="1" ht="16.5" hidden="1" customHeight="1">
      <c r="A1203" s="81"/>
      <c r="B1203" s="558" t="s">
        <v>1292</v>
      </c>
      <c r="C1203" s="547"/>
      <c r="D1203" s="548"/>
      <c r="E1203" s="549"/>
      <c r="F1203" s="550"/>
      <c r="G1203" s="550"/>
      <c r="H1203" s="551"/>
      <c r="I1203" s="552"/>
      <c r="J1203" s="532"/>
      <c r="K1203" s="111"/>
      <c r="L1203" s="517"/>
      <c r="M1203" s="111"/>
    </row>
    <row r="1204" spans="1:13" s="525" customFormat="1" ht="16.5" hidden="1" customHeight="1">
      <c r="A1204" s="81"/>
      <c r="B1204" s="526"/>
      <c r="C1204" s="527">
        <v>1</v>
      </c>
      <c r="D1204" s="528" t="s">
        <v>265</v>
      </c>
      <c r="E1204" s="529">
        <v>1</v>
      </c>
      <c r="F1204" s="530">
        <v>8.6300000000000008</v>
      </c>
      <c r="G1204" s="530">
        <v>0</v>
      </c>
      <c r="H1204" s="530">
        <v>0.1</v>
      </c>
      <c r="I1204" s="531">
        <f>ROUND(IF(AND(F1204:H1204),C1204*E1204*F1204*G1204*H1204,IF(AND(F1204,G1204),C1204*E1204*F1204*G1204,IF(AND(F1204,H1204),C1204*E1204*F1204*H1204,IF(AND(G1204,H1204),C1204*E1204*G1204*H1204,IF(F1204,C1204*E1204*F1204,IF(G1204,C1204*E1204*G1204,IF(H1204,C1204*E1204*H1204,C1204*E1204))))))),2)</f>
        <v>0.86</v>
      </c>
      <c r="J1204" s="532" t="s">
        <v>102</v>
      </c>
      <c r="K1204" s="111"/>
      <c r="L1204" s="517"/>
      <c r="M1204" s="111"/>
    </row>
    <row r="1205" spans="1:13" s="525" customFormat="1" ht="16.5" hidden="1" customHeight="1">
      <c r="A1205" s="81"/>
      <c r="B1205" s="526"/>
      <c r="C1205" s="527">
        <v>1</v>
      </c>
      <c r="D1205" s="528" t="s">
        <v>265</v>
      </c>
      <c r="E1205" s="529">
        <v>4</v>
      </c>
      <c r="F1205" s="530">
        <v>3.6</v>
      </c>
      <c r="G1205" s="530">
        <v>0</v>
      </c>
      <c r="H1205" s="530">
        <v>0.18</v>
      </c>
      <c r="I1205" s="531">
        <f>ROUND(IF(AND(F1205:H1205),C1205*E1205*F1205*G1205*H1205,IF(AND(F1205,G1205),C1205*E1205*F1205*G1205,IF(AND(F1205,H1205),C1205*E1205*F1205*H1205,IF(AND(G1205,H1205),C1205*E1205*G1205*H1205,IF(F1205,C1205*E1205*F1205,IF(G1205,C1205*E1205*G1205,IF(H1205,C1205*E1205*H1205,C1205*E1205))))))),2)</f>
        <v>2.59</v>
      </c>
      <c r="J1205" s="532" t="s">
        <v>102</v>
      </c>
      <c r="K1205" s="111"/>
      <c r="L1205" s="517"/>
      <c r="M1205" s="111"/>
    </row>
    <row r="1206" spans="1:13" s="525" customFormat="1" ht="16.5" hidden="1" customHeight="1">
      <c r="A1206" s="81"/>
      <c r="B1206" s="526"/>
      <c r="C1206" s="527"/>
      <c r="D1206" s="528"/>
      <c r="E1206" s="529"/>
      <c r="F1206" s="530"/>
      <c r="G1206" s="530"/>
      <c r="H1206" s="530"/>
      <c r="I1206" s="531"/>
      <c r="J1206" s="532"/>
      <c r="K1206" s="111"/>
      <c r="L1206" s="517"/>
      <c r="M1206" s="111"/>
    </row>
    <row r="1207" spans="1:13" hidden="1">
      <c r="A1207" s="81"/>
      <c r="B1207" s="111"/>
      <c r="C1207" s="112"/>
      <c r="D1207" s="533"/>
      <c r="E1207" s="534"/>
      <c r="F1207" s="113"/>
      <c r="G1207" s="539"/>
      <c r="H1207" s="81"/>
      <c r="I1207" s="531"/>
      <c r="J1207" s="532" t="s">
        <v>102</v>
      </c>
      <c r="K1207" s="12">
        <f>'DATA 2024-25'!G802</f>
        <v>519.88</v>
      </c>
      <c r="L1207" s="517" t="s">
        <v>267</v>
      </c>
      <c r="M1207" s="11">
        <f>ROUND(I1207*K1207,0)</f>
        <v>0</v>
      </c>
    </row>
    <row r="1208" spans="1:13" ht="81.75" hidden="1" customHeight="1">
      <c r="A1208" s="81">
        <v>27</v>
      </c>
      <c r="B1208" s="910" t="s">
        <v>969</v>
      </c>
      <c r="C1208" s="910"/>
      <c r="D1208" s="910"/>
      <c r="E1208" s="910"/>
      <c r="F1208" s="910"/>
      <c r="G1208" s="910"/>
      <c r="H1208" s="910"/>
      <c r="I1208" s="515"/>
      <c r="J1208" s="516"/>
      <c r="K1208" s="81"/>
      <c r="L1208" s="517"/>
      <c r="M1208" s="110"/>
    </row>
    <row r="1209" spans="1:13" s="525" customFormat="1" ht="16.5" hidden="1" customHeight="1">
      <c r="A1209" s="81"/>
      <c r="B1209" s="558" t="s">
        <v>1303</v>
      </c>
      <c r="C1209" s="547"/>
      <c r="D1209" s="548"/>
      <c r="E1209" s="549"/>
      <c r="F1209" s="550"/>
      <c r="G1209" s="550"/>
      <c r="H1209" s="551"/>
      <c r="I1209" s="552"/>
      <c r="J1209" s="537"/>
      <c r="K1209" s="111"/>
      <c r="L1209" s="517"/>
      <c r="M1209" s="111"/>
    </row>
    <row r="1210" spans="1:13" s="525" customFormat="1" ht="16.5" hidden="1" customHeight="1">
      <c r="A1210" s="81"/>
      <c r="B1210" s="588" t="s">
        <v>957</v>
      </c>
      <c r="C1210" s="589">
        <v>2</v>
      </c>
      <c r="D1210" s="590" t="s">
        <v>265</v>
      </c>
      <c r="E1210" s="180">
        <v>0.5</v>
      </c>
      <c r="F1210" s="591">
        <v>0.96</v>
      </c>
      <c r="G1210" s="591">
        <v>1</v>
      </c>
      <c r="H1210" s="591">
        <v>0</v>
      </c>
      <c r="I1210" s="592">
        <f>ROUND(IF(AND(F1210:H1210),C1210*E1210*F1210*G1210*H1210,IF(AND(F1210,G1210),C1210*E1210*F1210*G1210,IF(AND(F1210,H1210),C1210*E1210*F1210*H1210,IF(AND(G1210,H1210),C1210*E1210*G1210*H1210,IF(F1210,C1210*E1210*F1210,IF(G1210,C1210*E1210*G1210,IF(H1210,C1210*E1210*H1210,C1210*E1210))))))),2)</f>
        <v>0.96</v>
      </c>
      <c r="J1210" s="537" t="s">
        <v>102</v>
      </c>
      <c r="K1210" s="111"/>
      <c r="L1210" s="517"/>
      <c r="M1210" s="111"/>
    </row>
    <row r="1211" spans="1:13" s="525" customFormat="1" ht="16.5" hidden="1" customHeight="1">
      <c r="A1211" s="81"/>
      <c r="B1211" s="588"/>
      <c r="C1211" s="589">
        <v>1</v>
      </c>
      <c r="D1211" s="590" t="s">
        <v>265</v>
      </c>
      <c r="E1211" s="180">
        <v>2</v>
      </c>
      <c r="F1211" s="591">
        <v>3.6</v>
      </c>
      <c r="G1211" s="591">
        <v>1.1299999999999999</v>
      </c>
      <c r="H1211" s="591">
        <v>0</v>
      </c>
      <c r="I1211" s="592">
        <f>ROUND(IF(AND(F1211:H1211),C1211*E1211*F1211*G1211*H1211,IF(AND(F1211,G1211),C1211*E1211*F1211*G1211,IF(AND(F1211,H1211),C1211*E1211*F1211*H1211,IF(AND(G1211,H1211),C1211*E1211*G1211*H1211,IF(F1211,C1211*E1211*F1211,IF(G1211,C1211*E1211*G1211,IF(H1211,C1211*E1211*H1211,C1211*E1211))))))),2)</f>
        <v>8.14</v>
      </c>
      <c r="J1211" s="537" t="s">
        <v>102</v>
      </c>
      <c r="K1211" s="111"/>
      <c r="L1211" s="517"/>
      <c r="M1211" s="111"/>
    </row>
    <row r="1212" spans="1:13" s="525" customFormat="1" ht="16.5" hidden="1" customHeight="1">
      <c r="A1212" s="81"/>
      <c r="B1212" s="588"/>
      <c r="C1212" s="589">
        <v>1</v>
      </c>
      <c r="D1212" s="590" t="s">
        <v>265</v>
      </c>
      <c r="E1212" s="180">
        <v>2</v>
      </c>
      <c r="F1212" s="591">
        <v>1.96</v>
      </c>
      <c r="G1212" s="591">
        <v>1</v>
      </c>
      <c r="H1212" s="591">
        <v>0</v>
      </c>
      <c r="I1212" s="592">
        <f>ROUND(IF(AND(F1212:H1212),C1212*E1212*F1212*G1212*H1212,IF(AND(F1212,G1212),C1212*E1212*F1212*G1212,IF(AND(F1212,H1212),C1212*E1212*F1212*H1212,IF(AND(G1212,H1212),C1212*E1212*G1212*H1212,IF(F1212,C1212*E1212*F1212,IF(G1212,C1212*E1212*G1212,IF(H1212,C1212*E1212*H1212,C1212*E1212))))))),2)</f>
        <v>3.92</v>
      </c>
      <c r="J1212" s="537" t="s">
        <v>102</v>
      </c>
      <c r="K1212" s="111"/>
      <c r="L1212" s="517"/>
      <c r="M1212" s="111"/>
    </row>
    <row r="1213" spans="1:13" s="525" customFormat="1" ht="16.5" hidden="1" customHeight="1">
      <c r="A1213" s="81"/>
      <c r="B1213" s="588"/>
      <c r="C1213" s="589">
        <v>1</v>
      </c>
      <c r="D1213" s="590" t="s">
        <v>265</v>
      </c>
      <c r="E1213" s="180">
        <v>2</v>
      </c>
      <c r="F1213" s="591">
        <v>1.33</v>
      </c>
      <c r="G1213" s="591">
        <v>1.1000000000000001</v>
      </c>
      <c r="H1213" s="591">
        <v>0</v>
      </c>
      <c r="I1213" s="592">
        <f>ROUND(IF(AND(F1213:H1213),C1213*E1213*F1213*G1213*H1213,IF(AND(F1213,G1213),C1213*E1213*F1213*G1213,IF(AND(F1213,H1213),C1213*E1213*F1213*H1213,IF(AND(G1213,H1213),C1213*E1213*G1213*H1213,IF(F1213,C1213*E1213*F1213,IF(G1213,C1213*E1213*G1213,IF(H1213,C1213*E1213*H1213,C1213*E1213))))))),2)</f>
        <v>2.93</v>
      </c>
      <c r="J1213" s="537" t="s">
        <v>102</v>
      </c>
      <c r="K1213" s="111"/>
      <c r="L1213" s="517"/>
      <c r="M1213" s="111"/>
    </row>
    <row r="1214" spans="1:13" s="525" customFormat="1" ht="16.5" hidden="1" customHeight="1">
      <c r="A1214" s="81"/>
      <c r="B1214" s="526"/>
      <c r="C1214" s="527"/>
      <c r="D1214" s="528"/>
      <c r="E1214" s="529"/>
      <c r="F1214" s="530"/>
      <c r="G1214" s="530"/>
      <c r="H1214" s="530"/>
      <c r="I1214" s="531"/>
      <c r="J1214" s="537"/>
      <c r="K1214" s="111"/>
      <c r="L1214" s="517"/>
      <c r="M1214" s="111"/>
    </row>
    <row r="1215" spans="1:13" hidden="1">
      <c r="A1215" s="81"/>
      <c r="B1215" s="111"/>
      <c r="C1215" s="112"/>
      <c r="D1215" s="533"/>
      <c r="E1215" s="534"/>
      <c r="F1215" s="113"/>
      <c r="G1215" s="539"/>
      <c r="H1215" s="81"/>
      <c r="I1215" s="531"/>
      <c r="J1215" s="537" t="s">
        <v>102</v>
      </c>
      <c r="K1215" s="12">
        <f>'DATA 2024-25'!G830</f>
        <v>1475.04</v>
      </c>
      <c r="L1215" s="517" t="s">
        <v>267</v>
      </c>
      <c r="M1215" s="11">
        <f>ROUND(I1215*K1215,0)</f>
        <v>0</v>
      </c>
    </row>
    <row r="1216" spans="1:13" ht="66" hidden="1" customHeight="1">
      <c r="A1216" s="81">
        <v>26</v>
      </c>
      <c r="B1216" s="910" t="s">
        <v>959</v>
      </c>
      <c r="C1216" s="910"/>
      <c r="D1216" s="910"/>
      <c r="E1216" s="910"/>
      <c r="F1216" s="910"/>
      <c r="G1216" s="910"/>
      <c r="H1216" s="910"/>
      <c r="I1216" s="515"/>
      <c r="J1216" s="516"/>
      <c r="K1216" s="81"/>
      <c r="L1216" s="517"/>
      <c r="M1216" s="110"/>
    </row>
    <row r="1217" spans="1:13" s="525" customFormat="1" ht="16.5" hidden="1" customHeight="1">
      <c r="A1217" s="81"/>
      <c r="B1217" s="111" t="s">
        <v>1282</v>
      </c>
      <c r="C1217" s="547"/>
      <c r="D1217" s="548"/>
      <c r="E1217" s="549"/>
      <c r="F1217" s="550"/>
      <c r="G1217" s="550"/>
      <c r="H1217" s="551"/>
      <c r="I1217" s="552"/>
      <c r="J1217" s="532"/>
      <c r="K1217" s="111"/>
      <c r="L1217" s="517"/>
      <c r="M1217" s="111"/>
    </row>
    <row r="1218" spans="1:13" s="525" customFormat="1" ht="16.5" hidden="1" customHeight="1">
      <c r="A1218" s="81"/>
      <c r="B1218" s="111" t="s">
        <v>741</v>
      </c>
      <c r="C1218" s="515">
        <v>1</v>
      </c>
      <c r="D1218" s="553" t="s">
        <v>265</v>
      </c>
      <c r="E1218" s="534">
        <v>1</v>
      </c>
      <c r="F1218" s="113">
        <v>8.5</v>
      </c>
      <c r="G1218" s="113">
        <v>4.95</v>
      </c>
      <c r="H1218" s="113">
        <v>0</v>
      </c>
      <c r="I1218" s="523">
        <f t="shared" ref="I1218:I1230" si="100">ROUND(IF(AND(F1218:H1218),C1218*E1218*F1218*G1218*H1218,IF(AND(F1218,G1218),C1218*E1218*F1218*G1218,IF(AND(F1218,H1218),C1218*E1218*F1218*H1218,IF(AND(G1218,H1218),C1218*E1218*G1218*H1218,IF(F1218,C1218*E1218*F1218,IF(G1218,C1218*E1218*G1218,IF(H1218,C1218*E1218*H1218,C1218*E1218))))))),2)</f>
        <v>42.08</v>
      </c>
      <c r="J1218" s="532" t="s">
        <v>102</v>
      </c>
      <c r="K1218" s="111"/>
      <c r="L1218" s="517"/>
      <c r="M1218" s="111"/>
    </row>
    <row r="1219" spans="1:13" s="525" customFormat="1" ht="16.5" hidden="1" customHeight="1">
      <c r="A1219" s="81"/>
      <c r="B1219" s="111" t="s">
        <v>756</v>
      </c>
      <c r="C1219" s="515">
        <v>1</v>
      </c>
      <c r="D1219" s="553" t="s">
        <v>265</v>
      </c>
      <c r="E1219" s="534">
        <v>1</v>
      </c>
      <c r="F1219" s="113">
        <v>5.5</v>
      </c>
      <c r="G1219" s="113">
        <v>2.4</v>
      </c>
      <c r="H1219" s="113">
        <v>0</v>
      </c>
      <c r="I1219" s="523">
        <f t="shared" si="100"/>
        <v>13.2</v>
      </c>
      <c r="J1219" s="532" t="s">
        <v>102</v>
      </c>
      <c r="K1219" s="111"/>
      <c r="L1219" s="517"/>
      <c r="M1219" s="111"/>
    </row>
    <row r="1220" spans="1:13" s="525" customFormat="1" ht="16.5" hidden="1" customHeight="1">
      <c r="A1220" s="81"/>
      <c r="B1220" s="111" t="s">
        <v>759</v>
      </c>
      <c r="C1220" s="515">
        <v>1</v>
      </c>
      <c r="D1220" s="553" t="s">
        <v>265</v>
      </c>
      <c r="E1220" s="534">
        <v>1</v>
      </c>
      <c r="F1220" s="113">
        <v>3.15</v>
      </c>
      <c r="G1220" s="113">
        <v>2.85</v>
      </c>
      <c r="H1220" s="113">
        <v>0</v>
      </c>
      <c r="I1220" s="523">
        <f t="shared" si="100"/>
        <v>8.98</v>
      </c>
      <c r="J1220" s="532" t="s">
        <v>102</v>
      </c>
      <c r="K1220" s="111"/>
      <c r="L1220" s="517"/>
      <c r="M1220" s="111"/>
    </row>
    <row r="1221" spans="1:13" s="525" customFormat="1" ht="16.5" hidden="1" customHeight="1">
      <c r="A1221" s="81"/>
      <c r="B1221" s="111" t="s">
        <v>762</v>
      </c>
      <c r="C1221" s="515">
        <v>1</v>
      </c>
      <c r="D1221" s="553" t="s">
        <v>265</v>
      </c>
      <c r="E1221" s="534">
        <v>1</v>
      </c>
      <c r="F1221" s="113">
        <v>3.15</v>
      </c>
      <c r="G1221" s="113">
        <v>2.75</v>
      </c>
      <c r="H1221" s="113">
        <v>0</v>
      </c>
      <c r="I1221" s="523">
        <f t="shared" si="100"/>
        <v>8.66</v>
      </c>
      <c r="J1221" s="532" t="s">
        <v>102</v>
      </c>
      <c r="K1221" s="111"/>
      <c r="L1221" s="517"/>
      <c r="M1221" s="111"/>
    </row>
    <row r="1222" spans="1:13" s="525" customFormat="1" ht="16.5" hidden="1" customHeight="1">
      <c r="A1222" s="81"/>
      <c r="B1222" s="111" t="s">
        <v>645</v>
      </c>
      <c r="C1222" s="515">
        <v>1</v>
      </c>
      <c r="D1222" s="553" t="s">
        <v>265</v>
      </c>
      <c r="E1222" s="534">
        <v>1</v>
      </c>
      <c r="F1222" s="113">
        <v>8.35</v>
      </c>
      <c r="G1222" s="113">
        <v>3.35</v>
      </c>
      <c r="H1222" s="113">
        <v>0</v>
      </c>
      <c r="I1222" s="523">
        <f t="shared" si="100"/>
        <v>27.97</v>
      </c>
      <c r="J1222" s="532" t="s">
        <v>102</v>
      </c>
      <c r="K1222" s="111"/>
      <c r="L1222" s="517"/>
      <c r="M1222" s="111"/>
    </row>
    <row r="1223" spans="1:13" s="525" customFormat="1" ht="16.5" hidden="1" customHeight="1">
      <c r="A1223" s="81"/>
      <c r="B1223" s="111" t="s">
        <v>763</v>
      </c>
      <c r="C1223" s="515">
        <v>1</v>
      </c>
      <c r="D1223" s="553" t="s">
        <v>265</v>
      </c>
      <c r="E1223" s="534">
        <v>1</v>
      </c>
      <c r="F1223" s="113">
        <v>2.5</v>
      </c>
      <c r="G1223" s="113">
        <v>0.5</v>
      </c>
      <c r="H1223" s="113">
        <v>0</v>
      </c>
      <c r="I1223" s="523">
        <f t="shared" si="100"/>
        <v>1.25</v>
      </c>
      <c r="J1223" s="532" t="s">
        <v>102</v>
      </c>
      <c r="K1223" s="111"/>
      <c r="L1223" s="517"/>
      <c r="M1223" s="111"/>
    </row>
    <row r="1224" spans="1:13" s="525" customFormat="1" ht="16.5" hidden="1" customHeight="1">
      <c r="A1224" s="81"/>
      <c r="B1224" s="111"/>
      <c r="C1224" s="515">
        <v>1</v>
      </c>
      <c r="D1224" s="553" t="s">
        <v>265</v>
      </c>
      <c r="E1224" s="534">
        <v>1</v>
      </c>
      <c r="F1224" s="113">
        <v>2.5</v>
      </c>
      <c r="G1224" s="113">
        <v>0.5</v>
      </c>
      <c r="H1224" s="113">
        <v>0</v>
      </c>
      <c r="I1224" s="523">
        <f t="shared" si="100"/>
        <v>1.25</v>
      </c>
      <c r="J1224" s="532" t="s">
        <v>102</v>
      </c>
      <c r="K1224" s="111"/>
      <c r="L1224" s="517"/>
      <c r="M1224" s="111"/>
    </row>
    <row r="1225" spans="1:13" s="525" customFormat="1" ht="16.5" hidden="1" customHeight="1">
      <c r="A1225" s="81"/>
      <c r="B1225" s="111"/>
      <c r="C1225" s="515">
        <v>1</v>
      </c>
      <c r="D1225" s="553" t="s">
        <v>265</v>
      </c>
      <c r="E1225" s="534">
        <v>1</v>
      </c>
      <c r="F1225" s="113">
        <v>2.5</v>
      </c>
      <c r="G1225" s="113">
        <v>0.5</v>
      </c>
      <c r="H1225" s="113">
        <v>0</v>
      </c>
      <c r="I1225" s="523">
        <f t="shared" si="100"/>
        <v>1.25</v>
      </c>
      <c r="J1225" s="532" t="s">
        <v>102</v>
      </c>
      <c r="K1225" s="111"/>
      <c r="L1225" s="517"/>
      <c r="M1225" s="111"/>
    </row>
    <row r="1226" spans="1:13" s="525" customFormat="1" ht="16.5" hidden="1" customHeight="1">
      <c r="A1226" s="81"/>
      <c r="B1226" s="111" t="s">
        <v>759</v>
      </c>
      <c r="C1226" s="515">
        <v>1</v>
      </c>
      <c r="D1226" s="553" t="s">
        <v>265</v>
      </c>
      <c r="E1226" s="534">
        <v>1</v>
      </c>
      <c r="F1226" s="113">
        <v>2.5</v>
      </c>
      <c r="G1226" s="113">
        <v>0.5</v>
      </c>
      <c r="H1226" s="113">
        <v>0</v>
      </c>
      <c r="I1226" s="523">
        <f t="shared" si="100"/>
        <v>1.25</v>
      </c>
      <c r="J1226" s="532" t="s">
        <v>102</v>
      </c>
      <c r="K1226" s="111"/>
      <c r="L1226" s="517"/>
      <c r="M1226" s="111"/>
    </row>
    <row r="1227" spans="1:13" s="525" customFormat="1" ht="16.5" hidden="1" customHeight="1">
      <c r="A1227" s="81"/>
      <c r="B1227" s="111" t="s">
        <v>762</v>
      </c>
      <c r="C1227" s="515">
        <v>1</v>
      </c>
      <c r="D1227" s="553" t="s">
        <v>265</v>
      </c>
      <c r="E1227" s="534">
        <v>1</v>
      </c>
      <c r="F1227" s="113">
        <v>2.5</v>
      </c>
      <c r="G1227" s="113">
        <v>0.5</v>
      </c>
      <c r="H1227" s="113">
        <v>0</v>
      </c>
      <c r="I1227" s="523">
        <f t="shared" si="100"/>
        <v>1.25</v>
      </c>
      <c r="J1227" s="532" t="s">
        <v>102</v>
      </c>
      <c r="K1227" s="111"/>
      <c r="L1227" s="517"/>
      <c r="M1227" s="111"/>
    </row>
    <row r="1228" spans="1:13" s="525" customFormat="1" ht="16.5" hidden="1" customHeight="1">
      <c r="A1228" s="81"/>
      <c r="B1228" s="111" t="s">
        <v>764</v>
      </c>
      <c r="C1228" s="515">
        <v>1</v>
      </c>
      <c r="D1228" s="553" t="s">
        <v>265</v>
      </c>
      <c r="E1228" s="534">
        <v>1</v>
      </c>
      <c r="F1228" s="113">
        <v>8.9</v>
      </c>
      <c r="G1228" s="113">
        <v>0.9</v>
      </c>
      <c r="H1228" s="113">
        <v>0</v>
      </c>
      <c r="I1228" s="523">
        <f t="shared" si="100"/>
        <v>8.01</v>
      </c>
      <c r="J1228" s="532" t="s">
        <v>102</v>
      </c>
      <c r="K1228" s="111"/>
      <c r="L1228" s="517"/>
      <c r="M1228" s="111"/>
    </row>
    <row r="1229" spans="1:13" s="525" customFormat="1" ht="16.5" hidden="1" customHeight="1">
      <c r="A1229" s="81"/>
      <c r="B1229" s="111" t="s">
        <v>765</v>
      </c>
      <c r="C1229" s="515">
        <v>1</v>
      </c>
      <c r="D1229" s="553" t="s">
        <v>265</v>
      </c>
      <c r="E1229" s="534">
        <v>1</v>
      </c>
      <c r="F1229" s="113">
        <v>2.9</v>
      </c>
      <c r="G1229" s="113">
        <v>1.3</v>
      </c>
      <c r="H1229" s="113">
        <v>0</v>
      </c>
      <c r="I1229" s="523">
        <f t="shared" si="100"/>
        <v>3.77</v>
      </c>
      <c r="J1229" s="532" t="s">
        <v>102</v>
      </c>
      <c r="K1229" s="111"/>
      <c r="L1229" s="517"/>
      <c r="M1229" s="111"/>
    </row>
    <row r="1230" spans="1:13" s="525" customFormat="1" ht="16.5" hidden="1" customHeight="1">
      <c r="A1230" s="81"/>
      <c r="B1230" s="111" t="s">
        <v>742</v>
      </c>
      <c r="C1230" s="515">
        <v>1</v>
      </c>
      <c r="D1230" s="553" t="s">
        <v>265</v>
      </c>
      <c r="E1230" s="534">
        <v>1</v>
      </c>
      <c r="F1230" s="113">
        <v>2.9</v>
      </c>
      <c r="G1230" s="113">
        <v>1.3</v>
      </c>
      <c r="H1230" s="113">
        <v>0</v>
      </c>
      <c r="I1230" s="523">
        <f t="shared" si="100"/>
        <v>3.77</v>
      </c>
      <c r="J1230" s="532" t="s">
        <v>102</v>
      </c>
      <c r="K1230" s="111"/>
      <c r="L1230" s="517"/>
      <c r="M1230" s="111"/>
    </row>
    <row r="1231" spans="1:13" s="525" customFormat="1" ht="16.5" hidden="1" customHeight="1">
      <c r="A1231" s="81"/>
      <c r="B1231" s="111" t="s">
        <v>1293</v>
      </c>
      <c r="C1231" s="547"/>
      <c r="D1231" s="548"/>
      <c r="E1231" s="549"/>
      <c r="F1231" s="550"/>
      <c r="G1231" s="550"/>
      <c r="H1231" s="551"/>
      <c r="I1231" s="552"/>
      <c r="J1231" s="532"/>
      <c r="K1231" s="111"/>
      <c r="L1231" s="517"/>
      <c r="M1231" s="111"/>
    </row>
    <row r="1232" spans="1:13" s="525" customFormat="1" ht="16.5" hidden="1" customHeight="1">
      <c r="A1232" s="81"/>
      <c r="B1232" s="111" t="s">
        <v>766</v>
      </c>
      <c r="C1232" s="515">
        <v>1</v>
      </c>
      <c r="D1232" s="553" t="s">
        <v>265</v>
      </c>
      <c r="E1232" s="534">
        <v>1</v>
      </c>
      <c r="F1232" s="113">
        <v>27.04</v>
      </c>
      <c r="G1232" s="113">
        <v>0</v>
      </c>
      <c r="H1232" s="113">
        <v>3.2</v>
      </c>
      <c r="I1232" s="523">
        <f t="shared" ref="I1232:I1239" si="101">ROUND(IF(AND(F1232:H1232),C1232*E1232*F1232*G1232*H1232,IF(AND(F1232,G1232),C1232*E1232*F1232*G1232,IF(AND(F1232,H1232),C1232*E1232*F1232*H1232,IF(AND(G1232,H1232),C1232*E1232*G1232*H1232,IF(F1232,C1232*E1232*F1232,IF(G1232,C1232*E1232*G1232,IF(H1232,C1232*E1232*H1232,C1232*E1232))))))),2)</f>
        <v>86.53</v>
      </c>
      <c r="J1232" s="532" t="s">
        <v>102</v>
      </c>
      <c r="K1232" s="111"/>
      <c r="L1232" s="517"/>
      <c r="M1232" s="111"/>
    </row>
    <row r="1233" spans="1:13" s="525" customFormat="1" ht="16.5" hidden="1" customHeight="1">
      <c r="A1233" s="81"/>
      <c r="B1233" s="111" t="s">
        <v>759</v>
      </c>
      <c r="C1233" s="515">
        <v>1</v>
      </c>
      <c r="D1233" s="553" t="s">
        <v>265</v>
      </c>
      <c r="E1233" s="534">
        <v>1</v>
      </c>
      <c r="F1233" s="113">
        <v>12.18</v>
      </c>
      <c r="G1233" s="113">
        <v>0</v>
      </c>
      <c r="H1233" s="113">
        <v>3.2</v>
      </c>
      <c r="I1233" s="523">
        <f t="shared" si="101"/>
        <v>38.979999999999997</v>
      </c>
      <c r="J1233" s="532" t="s">
        <v>102</v>
      </c>
      <c r="K1233" s="111"/>
      <c r="L1233" s="517"/>
      <c r="M1233" s="111"/>
    </row>
    <row r="1234" spans="1:13" s="525" customFormat="1" ht="16.5" hidden="1" customHeight="1">
      <c r="A1234" s="81"/>
      <c r="B1234" s="111" t="s">
        <v>762</v>
      </c>
      <c r="C1234" s="515">
        <v>1</v>
      </c>
      <c r="D1234" s="553" t="s">
        <v>265</v>
      </c>
      <c r="E1234" s="534">
        <v>1</v>
      </c>
      <c r="F1234" s="113">
        <v>12.1</v>
      </c>
      <c r="G1234" s="113">
        <v>0</v>
      </c>
      <c r="H1234" s="113">
        <v>3.2</v>
      </c>
      <c r="I1234" s="523">
        <f t="shared" si="101"/>
        <v>38.72</v>
      </c>
      <c r="J1234" s="532" t="s">
        <v>102</v>
      </c>
      <c r="K1234" s="111"/>
      <c r="L1234" s="517"/>
      <c r="M1234" s="111"/>
    </row>
    <row r="1235" spans="1:13" s="525" customFormat="1" ht="16.5" hidden="1" customHeight="1">
      <c r="A1235" s="81"/>
      <c r="B1235" s="111" t="s">
        <v>767</v>
      </c>
      <c r="C1235" s="515">
        <v>1</v>
      </c>
      <c r="D1235" s="553" t="s">
        <v>265</v>
      </c>
      <c r="E1235" s="534">
        <v>1</v>
      </c>
      <c r="F1235" s="113">
        <v>20.079999999999998</v>
      </c>
      <c r="G1235" s="113">
        <v>0</v>
      </c>
      <c r="H1235" s="113">
        <v>3.2</v>
      </c>
      <c r="I1235" s="523">
        <f t="shared" si="101"/>
        <v>64.260000000000005</v>
      </c>
      <c r="J1235" s="532" t="s">
        <v>102</v>
      </c>
      <c r="K1235" s="111"/>
      <c r="L1235" s="517"/>
      <c r="M1235" s="111"/>
    </row>
    <row r="1236" spans="1:13" s="525" customFormat="1" ht="16.5" hidden="1" customHeight="1">
      <c r="A1236" s="81"/>
      <c r="B1236" s="111" t="s">
        <v>768</v>
      </c>
      <c r="C1236" s="515">
        <v>1</v>
      </c>
      <c r="D1236" s="553" t="s">
        <v>265</v>
      </c>
      <c r="E1236" s="534">
        <v>1</v>
      </c>
      <c r="F1236" s="113">
        <v>12.6</v>
      </c>
      <c r="G1236" s="113">
        <v>0</v>
      </c>
      <c r="H1236" s="113">
        <v>0.75</v>
      </c>
      <c r="I1236" s="523">
        <f t="shared" si="101"/>
        <v>9.4499999999999993</v>
      </c>
      <c r="J1236" s="532" t="s">
        <v>102</v>
      </c>
      <c r="K1236" s="111"/>
      <c r="L1236" s="517"/>
      <c r="M1236" s="111"/>
    </row>
    <row r="1237" spans="1:13" s="525" customFormat="1" ht="16.5" hidden="1" customHeight="1">
      <c r="A1237" s="81"/>
      <c r="B1237" s="111" t="s">
        <v>769</v>
      </c>
      <c r="C1237" s="515">
        <v>1</v>
      </c>
      <c r="D1237" s="553" t="s">
        <v>265</v>
      </c>
      <c r="E1237" s="534">
        <v>1</v>
      </c>
      <c r="F1237" s="113">
        <v>3.27</v>
      </c>
      <c r="G1237" s="113">
        <v>0</v>
      </c>
      <c r="H1237" s="113">
        <v>3.2</v>
      </c>
      <c r="I1237" s="523">
        <f t="shared" si="101"/>
        <v>10.46</v>
      </c>
      <c r="J1237" s="532" t="s">
        <v>102</v>
      </c>
      <c r="K1237" s="111"/>
      <c r="L1237" s="517"/>
      <c r="M1237" s="111"/>
    </row>
    <row r="1238" spans="1:13" s="525" customFormat="1" ht="16.5" hidden="1" customHeight="1">
      <c r="A1238" s="81"/>
      <c r="B1238" s="111"/>
      <c r="C1238" s="515">
        <v>1</v>
      </c>
      <c r="D1238" s="553" t="s">
        <v>265</v>
      </c>
      <c r="E1238" s="534">
        <v>1</v>
      </c>
      <c r="F1238" s="113">
        <v>3.27</v>
      </c>
      <c r="G1238" s="113">
        <v>0</v>
      </c>
      <c r="H1238" s="113">
        <v>3.2</v>
      </c>
      <c r="I1238" s="523">
        <f t="shared" si="101"/>
        <v>10.46</v>
      </c>
      <c r="J1238" s="532" t="s">
        <v>102</v>
      </c>
      <c r="K1238" s="111"/>
      <c r="L1238" s="517"/>
      <c r="M1238" s="111"/>
    </row>
    <row r="1239" spans="1:13" s="525" customFormat="1" ht="16.5" hidden="1" customHeight="1">
      <c r="A1239" s="81"/>
      <c r="B1239" s="111" t="s">
        <v>770</v>
      </c>
      <c r="C1239" s="515">
        <v>1</v>
      </c>
      <c r="D1239" s="553" t="s">
        <v>265</v>
      </c>
      <c r="E1239" s="534">
        <v>1</v>
      </c>
      <c r="F1239" s="113">
        <v>2.68</v>
      </c>
      <c r="G1239" s="113">
        <v>0</v>
      </c>
      <c r="H1239" s="113">
        <v>1.2</v>
      </c>
      <c r="I1239" s="523">
        <f t="shared" si="101"/>
        <v>3.22</v>
      </c>
      <c r="J1239" s="532" t="s">
        <v>102</v>
      </c>
      <c r="K1239" s="111"/>
      <c r="L1239" s="517"/>
      <c r="M1239" s="111"/>
    </row>
    <row r="1240" spans="1:13" s="525" customFormat="1" ht="16.5" hidden="1" customHeight="1">
      <c r="A1240" s="81"/>
      <c r="B1240" s="111" t="s">
        <v>565</v>
      </c>
      <c r="C1240" s="515">
        <v>1</v>
      </c>
      <c r="D1240" s="553" t="s">
        <v>265</v>
      </c>
      <c r="E1240" s="534">
        <v>2</v>
      </c>
      <c r="F1240" s="113">
        <v>1.2</v>
      </c>
      <c r="G1240" s="113">
        <v>0</v>
      </c>
      <c r="H1240" s="113">
        <v>2.1</v>
      </c>
      <c r="I1240" s="523">
        <f>-ROUND(IF(AND(F1240:H1240),C1240*E1240*F1240*G1240*H1240,IF(AND(F1240,G1240),C1240*E1240*F1240*G1240,IF(AND(F1240,H1240),C1240*E1240*F1240*H1240,IF(AND(G1240,H1240),C1240*E1240*G1240*H1240,IF(F1240,C1240*E1240*F1240,IF(G1240,C1240*E1240*G1240,IF(H1240,C1240*E1240*H1240,C1240*E1240))))))),2)</f>
        <v>-5.04</v>
      </c>
      <c r="J1240" s="532" t="s">
        <v>102</v>
      </c>
      <c r="K1240" s="111"/>
      <c r="L1240" s="517"/>
      <c r="M1240" s="111"/>
    </row>
    <row r="1241" spans="1:13" s="525" customFormat="1" ht="16.5" hidden="1" customHeight="1">
      <c r="A1241" s="81"/>
      <c r="B1241" s="111" t="s">
        <v>744</v>
      </c>
      <c r="C1241" s="515">
        <v>1</v>
      </c>
      <c r="D1241" s="553" t="s">
        <v>265</v>
      </c>
      <c r="E1241" s="534">
        <v>5</v>
      </c>
      <c r="F1241" s="113">
        <v>1.5</v>
      </c>
      <c r="G1241" s="113">
        <v>0</v>
      </c>
      <c r="H1241" s="113">
        <v>1.35</v>
      </c>
      <c r="I1241" s="523">
        <f>-ROUND(IF(AND(F1241:H1241),C1241*E1241*F1241*G1241*H1241,IF(AND(F1241,G1241),C1241*E1241*F1241*G1241,IF(AND(F1241,H1241),C1241*E1241*F1241*H1241,IF(AND(G1241,H1241),C1241*E1241*G1241*H1241,IF(F1241,C1241*E1241*F1241,IF(G1241,C1241*E1241*G1241,IF(H1241,C1241*E1241*H1241,C1241*E1241))))))),2)</f>
        <v>-10.130000000000001</v>
      </c>
      <c r="J1241" s="532" t="s">
        <v>102</v>
      </c>
      <c r="K1241" s="111"/>
      <c r="L1241" s="517"/>
      <c r="M1241" s="111"/>
    </row>
    <row r="1242" spans="1:13" s="525" customFormat="1" ht="16.5" hidden="1" customHeight="1">
      <c r="A1242" s="81"/>
      <c r="B1242" s="111" t="s">
        <v>740</v>
      </c>
      <c r="C1242" s="515">
        <v>1</v>
      </c>
      <c r="D1242" s="553" t="s">
        <v>265</v>
      </c>
      <c r="E1242" s="534">
        <v>10</v>
      </c>
      <c r="F1242" s="113">
        <v>0.6</v>
      </c>
      <c r="G1242" s="113">
        <v>0</v>
      </c>
      <c r="H1242" s="113">
        <v>0.3</v>
      </c>
      <c r="I1242" s="523">
        <f>-ROUND(IF(AND(F1242:H1242),C1242*E1242*F1242*G1242*H1242,IF(AND(F1242,G1242),C1242*E1242*F1242*G1242,IF(AND(F1242,H1242),C1242*E1242*F1242*H1242,IF(AND(G1242,H1242),C1242*E1242*G1242*H1242,IF(F1242,C1242*E1242*F1242,IF(G1242,C1242*E1242*G1242,IF(H1242,C1242*E1242*H1242,C1242*E1242))))))),2)</f>
        <v>-1.8</v>
      </c>
      <c r="J1242" s="532" t="s">
        <v>102</v>
      </c>
      <c r="K1242" s="111"/>
      <c r="L1242" s="517"/>
      <c r="M1242" s="111"/>
    </row>
    <row r="1243" spans="1:13" s="525" customFormat="1" ht="16.5" hidden="1" customHeight="1">
      <c r="A1243" s="81"/>
      <c r="B1243" s="111" t="s">
        <v>771</v>
      </c>
      <c r="C1243" s="515">
        <v>1</v>
      </c>
      <c r="D1243" s="553" t="s">
        <v>265</v>
      </c>
      <c r="E1243" s="534">
        <v>1</v>
      </c>
      <c r="F1243" s="113">
        <v>1.2</v>
      </c>
      <c r="G1243" s="113">
        <v>0</v>
      </c>
      <c r="H1243" s="113">
        <v>2.1</v>
      </c>
      <c r="I1243" s="523">
        <f>-ROUND(IF(AND(F1243:H1243),C1243*E1243*F1243*G1243*H1243,IF(AND(F1243,G1243),C1243*E1243*F1243*G1243,IF(AND(F1243,H1243),C1243*E1243*F1243*H1243,IF(AND(G1243,H1243),C1243*E1243*G1243*H1243,IF(F1243,C1243*E1243*F1243,IF(G1243,C1243*E1243*G1243,IF(H1243,C1243*E1243*H1243,C1243*E1243))))))),2)</f>
        <v>-2.52</v>
      </c>
      <c r="J1243" s="532" t="s">
        <v>102</v>
      </c>
      <c r="K1243" s="111"/>
      <c r="L1243" s="517"/>
      <c r="M1243" s="111"/>
    </row>
    <row r="1244" spans="1:13" s="525" customFormat="1" ht="16.5" hidden="1" customHeight="1">
      <c r="A1244" s="81"/>
      <c r="B1244" s="111" t="s">
        <v>1283</v>
      </c>
      <c r="C1244" s="547"/>
      <c r="D1244" s="548"/>
      <c r="E1244" s="549"/>
      <c r="F1244" s="550"/>
      <c r="G1244" s="550"/>
      <c r="H1244" s="551"/>
      <c r="I1244" s="552"/>
      <c r="J1244" s="532"/>
      <c r="K1244" s="111"/>
      <c r="L1244" s="517"/>
      <c r="M1244" s="111"/>
    </row>
    <row r="1245" spans="1:13" s="525" customFormat="1" ht="16.5" hidden="1" customHeight="1">
      <c r="A1245" s="81"/>
      <c r="B1245" s="111" t="s">
        <v>757</v>
      </c>
      <c r="C1245" s="515">
        <v>1</v>
      </c>
      <c r="D1245" s="553" t="s">
        <v>265</v>
      </c>
      <c r="E1245" s="534">
        <v>1</v>
      </c>
      <c r="F1245" s="113">
        <v>12.53</v>
      </c>
      <c r="G1245" s="113">
        <v>0</v>
      </c>
      <c r="H1245" s="113">
        <v>3.6</v>
      </c>
      <c r="I1245" s="523">
        <f>ROUND(IF(AND(F1245:H1245),C1245*E1245*F1245*G1245*H1245,IF(AND(F1245,G1245),C1245*E1245*F1245*G1245,IF(AND(F1245,H1245),C1245*E1245*F1245*H1245,IF(AND(G1245,H1245),C1245*E1245*G1245*H1245,IF(F1245,C1245*E1245*F1245,IF(G1245,C1245*E1245*G1245,IF(H1245,C1245*E1245*H1245,C1245*E1245))))))),2)</f>
        <v>45.11</v>
      </c>
      <c r="J1245" s="532" t="s">
        <v>102</v>
      </c>
      <c r="K1245" s="111"/>
      <c r="L1245" s="517"/>
      <c r="M1245" s="111"/>
    </row>
    <row r="1246" spans="1:13" s="525" customFormat="1" ht="16.5" hidden="1" customHeight="1">
      <c r="A1246" s="81"/>
      <c r="B1246" s="111" t="s">
        <v>758</v>
      </c>
      <c r="C1246" s="515">
        <v>1</v>
      </c>
      <c r="D1246" s="553" t="s">
        <v>265</v>
      </c>
      <c r="E1246" s="534">
        <v>1</v>
      </c>
      <c r="F1246" s="113">
        <v>8.85</v>
      </c>
      <c r="G1246" s="113">
        <v>0</v>
      </c>
      <c r="H1246" s="113">
        <v>3.6</v>
      </c>
      <c r="I1246" s="523">
        <f>ROUND(IF(AND(F1246:H1246),C1246*E1246*F1246*G1246*H1246,IF(AND(F1246,G1246),C1246*E1246*F1246*G1246,IF(AND(F1246,H1246),C1246*E1246*F1246*H1246,IF(AND(G1246,H1246),C1246*E1246*G1246*H1246,IF(F1246,C1246*E1246*F1246,IF(G1246,C1246*E1246*G1246,IF(H1246,C1246*E1246*H1246,C1246*E1246))))))),2)</f>
        <v>31.86</v>
      </c>
      <c r="J1246" s="532" t="s">
        <v>102</v>
      </c>
      <c r="K1246" s="111"/>
      <c r="L1246" s="517"/>
      <c r="M1246" s="111"/>
    </row>
    <row r="1247" spans="1:13" s="525" customFormat="1" ht="16.5" hidden="1" customHeight="1">
      <c r="A1247" s="81"/>
      <c r="B1247" s="111" t="s">
        <v>761</v>
      </c>
      <c r="C1247" s="515">
        <v>1</v>
      </c>
      <c r="D1247" s="553" t="s">
        <v>265</v>
      </c>
      <c r="E1247" s="534">
        <v>1</v>
      </c>
      <c r="F1247" s="113">
        <v>6.25</v>
      </c>
      <c r="G1247" s="113">
        <v>0</v>
      </c>
      <c r="H1247" s="113">
        <v>3.6</v>
      </c>
      <c r="I1247" s="523">
        <f>ROUND(IF(AND(F1247:H1247),C1247*E1247*F1247*G1247*H1247,IF(AND(F1247,G1247),C1247*E1247*F1247*G1247,IF(AND(F1247,H1247),C1247*E1247*F1247*H1247,IF(AND(G1247,H1247),C1247*E1247*G1247*H1247,IF(F1247,C1247*E1247*F1247,IF(G1247,C1247*E1247*G1247,IF(H1247,C1247*E1247*H1247,C1247*E1247))))))),2)</f>
        <v>22.5</v>
      </c>
      <c r="J1247" s="532" t="s">
        <v>102</v>
      </c>
      <c r="K1247" s="111"/>
      <c r="L1247" s="517"/>
      <c r="M1247" s="111"/>
    </row>
    <row r="1248" spans="1:13" s="525" customFormat="1" ht="16.5" hidden="1" customHeight="1">
      <c r="A1248" s="81"/>
      <c r="B1248" s="111" t="s">
        <v>760</v>
      </c>
      <c r="C1248" s="515">
        <v>1</v>
      </c>
      <c r="D1248" s="553" t="s">
        <v>265</v>
      </c>
      <c r="E1248" s="534">
        <v>1</v>
      </c>
      <c r="F1248" s="113">
        <v>5.45</v>
      </c>
      <c r="G1248" s="113">
        <v>0</v>
      </c>
      <c r="H1248" s="113">
        <v>3.2</v>
      </c>
      <c r="I1248" s="523">
        <f>ROUND(IF(AND(F1248:H1248),C1248*E1248*F1248*G1248*H1248,IF(AND(F1248,G1248),C1248*E1248*F1248*G1248,IF(AND(F1248,H1248),C1248*E1248*F1248*H1248,IF(AND(G1248,H1248),C1248*E1248*G1248*H1248,IF(F1248,C1248*E1248*F1248,IF(G1248,C1248*E1248*G1248,IF(H1248,C1248*E1248*H1248,C1248*E1248))))))),2)</f>
        <v>17.440000000000001</v>
      </c>
      <c r="J1248" s="532" t="s">
        <v>102</v>
      </c>
      <c r="K1248" s="111"/>
      <c r="L1248" s="517"/>
      <c r="M1248" s="111"/>
    </row>
    <row r="1249" spans="1:13" s="525" customFormat="1" ht="16.5" hidden="1" customHeight="1">
      <c r="A1249" s="81"/>
      <c r="B1249" s="526"/>
      <c r="C1249" s="527"/>
      <c r="D1249" s="528"/>
      <c r="E1249" s="577"/>
      <c r="F1249" s="530"/>
      <c r="G1249" s="530"/>
      <c r="H1249" s="530"/>
      <c r="I1249" s="531"/>
      <c r="J1249" s="532"/>
      <c r="K1249" s="111"/>
      <c r="L1249" s="517"/>
      <c r="M1249" s="111"/>
    </row>
    <row r="1250" spans="1:13" hidden="1">
      <c r="A1250" s="81"/>
      <c r="B1250" s="111"/>
      <c r="C1250" s="112"/>
      <c r="D1250" s="533"/>
      <c r="E1250" s="534"/>
      <c r="F1250" s="113"/>
      <c r="G1250" s="539"/>
      <c r="H1250" s="81"/>
      <c r="I1250" s="531"/>
      <c r="J1250" s="532" t="s">
        <v>102</v>
      </c>
      <c r="K1250" s="12">
        <f>'DATA 2024-25'!G860</f>
        <v>28.94</v>
      </c>
      <c r="L1250" s="517" t="s">
        <v>267</v>
      </c>
      <c r="M1250" s="11">
        <f>ROUND(I1250*K1250,0)</f>
        <v>0</v>
      </c>
    </row>
    <row r="1251" spans="1:13" ht="117.75" hidden="1" customHeight="1">
      <c r="A1251" s="81">
        <v>7</v>
      </c>
      <c r="B1251" s="910" t="s">
        <v>841</v>
      </c>
      <c r="C1251" s="910"/>
      <c r="D1251" s="910"/>
      <c r="E1251" s="910"/>
      <c r="F1251" s="910"/>
      <c r="G1251" s="910"/>
      <c r="H1251" s="910"/>
      <c r="I1251" s="515"/>
      <c r="J1251" s="516"/>
      <c r="K1251" s="81"/>
      <c r="L1251" s="517"/>
      <c r="M1251" s="110"/>
    </row>
    <row r="1252" spans="1:13" s="525" customFormat="1" ht="16.5" hidden="1" customHeight="1">
      <c r="A1252" s="81"/>
      <c r="B1252" s="111" t="s">
        <v>1389</v>
      </c>
      <c r="C1252" s="547"/>
      <c r="D1252" s="548"/>
      <c r="E1252" s="549"/>
      <c r="F1252" s="550"/>
      <c r="G1252" s="550"/>
      <c r="H1252" s="551"/>
      <c r="I1252" s="552"/>
      <c r="J1252" s="532"/>
      <c r="K1252" s="111"/>
      <c r="L1252" s="81"/>
      <c r="M1252" s="111"/>
    </row>
    <row r="1253" spans="1:13" s="525" customFormat="1" ht="16.5" hidden="1" customHeight="1">
      <c r="A1253" s="81"/>
      <c r="B1253" s="111" t="s">
        <v>1361</v>
      </c>
      <c r="C1253" s="515">
        <v>1</v>
      </c>
      <c r="D1253" s="553" t="s">
        <v>265</v>
      </c>
      <c r="E1253" s="534">
        <v>1</v>
      </c>
      <c r="F1253" s="113">
        <v>3.3</v>
      </c>
      <c r="G1253" s="113">
        <v>0</v>
      </c>
      <c r="H1253" s="113">
        <v>3.15</v>
      </c>
      <c r="I1253" s="523">
        <f t="shared" ref="I1253:I1259" si="102">ROUND(IF(AND(F1253:H1253),C1253*E1253*F1253*G1253*H1253,IF(AND(F1253,G1253),C1253*E1253*F1253*G1253,IF(AND(F1253,H1253),C1253*E1253*F1253*H1253,IF(AND(G1253,H1253),C1253*E1253*G1253*H1253,IF(F1253,C1253*E1253*F1253,IF(G1253,C1253*E1253*G1253,IF(H1253,C1253*E1253*H1253,C1253*E1253))))))),2)</f>
        <v>10.4</v>
      </c>
      <c r="J1253" s="532" t="s">
        <v>102</v>
      </c>
      <c r="K1253" s="111"/>
      <c r="L1253" s="81"/>
      <c r="M1253" s="111"/>
    </row>
    <row r="1254" spans="1:13" s="525" customFormat="1" ht="16.5" hidden="1" customHeight="1">
      <c r="A1254" s="81"/>
      <c r="B1254" s="111"/>
      <c r="C1254" s="515">
        <v>1</v>
      </c>
      <c r="D1254" s="553" t="s">
        <v>265</v>
      </c>
      <c r="E1254" s="534">
        <v>1</v>
      </c>
      <c r="F1254" s="113">
        <v>3.3</v>
      </c>
      <c r="G1254" s="113">
        <v>0</v>
      </c>
      <c r="H1254" s="113">
        <v>3.15</v>
      </c>
      <c r="I1254" s="523">
        <f t="shared" si="102"/>
        <v>10.4</v>
      </c>
      <c r="J1254" s="532" t="s">
        <v>102</v>
      </c>
      <c r="K1254" s="111"/>
      <c r="L1254" s="81"/>
      <c r="M1254" s="111"/>
    </row>
    <row r="1255" spans="1:13" s="525" customFormat="1" ht="16.5" hidden="1" customHeight="1">
      <c r="A1255" s="81"/>
      <c r="B1255" s="111"/>
      <c r="C1255" s="515">
        <v>1</v>
      </c>
      <c r="D1255" s="553" t="s">
        <v>265</v>
      </c>
      <c r="E1255" s="534">
        <v>1</v>
      </c>
      <c r="F1255" s="113">
        <v>3.2</v>
      </c>
      <c r="G1255" s="113">
        <v>0</v>
      </c>
      <c r="H1255" s="113">
        <v>2.75</v>
      </c>
      <c r="I1255" s="523">
        <f t="shared" si="102"/>
        <v>8.8000000000000007</v>
      </c>
      <c r="J1255" s="532" t="s">
        <v>102</v>
      </c>
      <c r="K1255" s="111"/>
      <c r="L1255" s="81"/>
      <c r="M1255" s="111"/>
    </row>
    <row r="1256" spans="1:13" s="525" customFormat="1" ht="16.5" hidden="1" customHeight="1">
      <c r="A1256" s="81"/>
      <c r="B1256" s="111"/>
      <c r="C1256" s="515">
        <v>1</v>
      </c>
      <c r="D1256" s="553" t="s">
        <v>265</v>
      </c>
      <c r="E1256" s="534">
        <v>1</v>
      </c>
      <c r="F1256" s="113">
        <v>3.2</v>
      </c>
      <c r="G1256" s="113">
        <v>0</v>
      </c>
      <c r="H1256" s="113">
        <v>2.75</v>
      </c>
      <c r="I1256" s="523">
        <f t="shared" si="102"/>
        <v>8.8000000000000007</v>
      </c>
      <c r="J1256" s="532" t="s">
        <v>102</v>
      </c>
      <c r="K1256" s="111"/>
      <c r="L1256" s="81"/>
      <c r="M1256" s="111"/>
    </row>
    <row r="1257" spans="1:13" s="525" customFormat="1" ht="16.5" hidden="1" customHeight="1">
      <c r="A1257" s="81"/>
      <c r="B1257" s="111" t="s">
        <v>1362</v>
      </c>
      <c r="C1257" s="515">
        <v>1</v>
      </c>
      <c r="D1257" s="553" t="s">
        <v>265</v>
      </c>
      <c r="E1257" s="534">
        <v>1</v>
      </c>
      <c r="F1257" s="113">
        <v>3.3</v>
      </c>
      <c r="G1257" s="113">
        <v>0</v>
      </c>
      <c r="H1257" s="113">
        <v>2.7</v>
      </c>
      <c r="I1257" s="523">
        <f t="shared" si="102"/>
        <v>8.91</v>
      </c>
      <c r="J1257" s="532" t="s">
        <v>102</v>
      </c>
      <c r="K1257" s="111"/>
      <c r="L1257" s="81"/>
      <c r="M1257" s="111"/>
    </row>
    <row r="1258" spans="1:13" s="525" customFormat="1" ht="16.5" hidden="1" customHeight="1">
      <c r="A1258" s="81"/>
      <c r="B1258" s="111"/>
      <c r="C1258" s="515">
        <v>1</v>
      </c>
      <c r="D1258" s="553" t="s">
        <v>265</v>
      </c>
      <c r="E1258" s="534">
        <v>1</v>
      </c>
      <c r="F1258" s="113">
        <v>3.3</v>
      </c>
      <c r="G1258" s="113">
        <v>0</v>
      </c>
      <c r="H1258" s="113">
        <v>2.7</v>
      </c>
      <c r="I1258" s="523">
        <f t="shared" si="102"/>
        <v>8.91</v>
      </c>
      <c r="J1258" s="532" t="s">
        <v>102</v>
      </c>
      <c r="K1258" s="111"/>
      <c r="L1258" s="81"/>
      <c r="M1258" s="111"/>
    </row>
    <row r="1259" spans="1:13" s="525" customFormat="1" ht="16.5" hidden="1" customHeight="1">
      <c r="A1259" s="81"/>
      <c r="B1259" s="111"/>
      <c r="C1259" s="515">
        <v>1</v>
      </c>
      <c r="D1259" s="553" t="s">
        <v>265</v>
      </c>
      <c r="E1259" s="534">
        <v>1</v>
      </c>
      <c r="F1259" s="113">
        <v>3.2</v>
      </c>
      <c r="G1259" s="113">
        <v>0</v>
      </c>
      <c r="H1259" s="113">
        <v>2.7</v>
      </c>
      <c r="I1259" s="523">
        <f t="shared" si="102"/>
        <v>8.64</v>
      </c>
      <c r="J1259" s="532" t="s">
        <v>102</v>
      </c>
      <c r="K1259" s="111"/>
      <c r="L1259" s="81"/>
      <c r="M1259" s="111"/>
    </row>
    <row r="1260" spans="1:13" s="525" customFormat="1" ht="16.5" hidden="1" customHeight="1">
      <c r="A1260" s="81"/>
      <c r="B1260" s="111" t="s">
        <v>575</v>
      </c>
      <c r="C1260" s="515">
        <v>1</v>
      </c>
      <c r="D1260" s="553" t="s">
        <v>265</v>
      </c>
      <c r="E1260" s="534">
        <v>1</v>
      </c>
      <c r="F1260" s="113">
        <v>1.2</v>
      </c>
      <c r="G1260" s="113">
        <v>0</v>
      </c>
      <c r="H1260" s="113">
        <v>2.1</v>
      </c>
      <c r="I1260" s="523">
        <f>-ROUND(IF(AND(F1260:H1260),C1260*E1260*F1260*G1260*H1260,IF(AND(F1260,G1260),C1260*E1260*F1260*G1260,IF(AND(F1260,H1260),C1260*E1260*F1260*H1260,IF(AND(G1260,H1260),C1260*E1260*G1260*H1260,IF(F1260,C1260*E1260*F1260,IF(G1260,C1260*E1260*G1260,IF(H1260,C1260*E1260*H1260,C1260*E1260))))))),2)</f>
        <v>-2.52</v>
      </c>
      <c r="J1260" s="532" t="s">
        <v>102</v>
      </c>
      <c r="K1260" s="111"/>
      <c r="L1260" s="81"/>
      <c r="M1260" s="111"/>
    </row>
    <row r="1261" spans="1:13" s="525" customFormat="1" ht="16.5" hidden="1" customHeight="1">
      <c r="A1261" s="81"/>
      <c r="B1261" s="111" t="s">
        <v>1363</v>
      </c>
      <c r="C1261" s="515">
        <v>1</v>
      </c>
      <c r="D1261" s="553" t="s">
        <v>265</v>
      </c>
      <c r="E1261" s="534">
        <v>1</v>
      </c>
      <c r="F1261" s="113">
        <v>42</v>
      </c>
      <c r="G1261" s="113">
        <v>0</v>
      </c>
      <c r="H1261" s="113">
        <v>0.8</v>
      </c>
      <c r="I1261" s="523">
        <f>ROUND(IF(AND(F1261:H1261),C1261*E1261*F1261*G1261*H1261,IF(AND(F1261,G1261),C1261*E1261*F1261*G1261,IF(AND(F1261,H1261),C1261*E1261*F1261*H1261,IF(AND(G1261,H1261),C1261*E1261*G1261*H1261,IF(F1261,C1261*E1261*F1261,IF(G1261,C1261*E1261*G1261,IF(H1261,C1261*E1261*H1261,C1261*E1261))))))),2)</f>
        <v>33.6</v>
      </c>
      <c r="J1261" s="532" t="s">
        <v>102</v>
      </c>
      <c r="K1261" s="111"/>
      <c r="L1261" s="81"/>
      <c r="M1261" s="111"/>
    </row>
    <row r="1262" spans="1:13" s="525" customFormat="1" ht="16.5" hidden="1" customHeight="1">
      <c r="A1262" s="81"/>
      <c r="B1262" s="111" t="s">
        <v>1364</v>
      </c>
      <c r="C1262" s="515">
        <v>1</v>
      </c>
      <c r="D1262" s="553" t="s">
        <v>265</v>
      </c>
      <c r="E1262" s="534">
        <v>1</v>
      </c>
      <c r="F1262" s="113">
        <v>14.8</v>
      </c>
      <c r="G1262" s="113">
        <v>0</v>
      </c>
      <c r="H1262" s="113">
        <v>0.8</v>
      </c>
      <c r="I1262" s="523">
        <f>ROUND(IF(AND(F1262:H1262),C1262*E1262*F1262*G1262*H1262,IF(AND(F1262,G1262),C1262*E1262*F1262*G1262,IF(AND(F1262,H1262),C1262*E1262*F1262*H1262,IF(AND(G1262,H1262),C1262*E1262*G1262*H1262,IF(F1262,C1262*E1262*F1262,IF(G1262,C1262*E1262*G1262,IF(H1262,C1262*E1262*H1262,C1262*E1262))))))),2)</f>
        <v>11.84</v>
      </c>
      <c r="J1262" s="532" t="s">
        <v>102</v>
      </c>
      <c r="K1262" s="111"/>
      <c r="L1262" s="81"/>
      <c r="M1262" s="111"/>
    </row>
    <row r="1263" spans="1:13" s="525" customFormat="1" ht="16.5" hidden="1" customHeight="1">
      <c r="A1263" s="81"/>
      <c r="B1263" s="111" t="s">
        <v>1365</v>
      </c>
      <c r="C1263" s="515">
        <v>1</v>
      </c>
      <c r="D1263" s="553" t="s">
        <v>265</v>
      </c>
      <c r="E1263" s="534">
        <v>1</v>
      </c>
      <c r="F1263" s="113">
        <v>10.3</v>
      </c>
      <c r="G1263" s="113">
        <v>0</v>
      </c>
      <c r="H1263" s="113">
        <v>0.8</v>
      </c>
      <c r="I1263" s="523">
        <f>ROUND(IF(AND(F1263:H1263),C1263*E1263*F1263*G1263*H1263,IF(AND(F1263,G1263),C1263*E1263*F1263*G1263,IF(AND(F1263,H1263),C1263*E1263*F1263*H1263,IF(AND(G1263,H1263),C1263*E1263*G1263*H1263,IF(F1263,C1263*E1263*F1263,IF(G1263,C1263*E1263*G1263,IF(H1263,C1263*E1263*H1263,C1263*E1263))))))),2)</f>
        <v>8.24</v>
      </c>
      <c r="J1263" s="532" t="s">
        <v>102</v>
      </c>
      <c r="K1263" s="111"/>
      <c r="L1263" s="81"/>
      <c r="M1263" s="111"/>
    </row>
    <row r="1264" spans="1:13" s="525" customFormat="1" ht="16.5" hidden="1" customHeight="1">
      <c r="A1264" s="81"/>
      <c r="B1264" s="111" t="s">
        <v>1251</v>
      </c>
      <c r="C1264" s="515">
        <v>1</v>
      </c>
      <c r="D1264" s="553" t="s">
        <v>265</v>
      </c>
      <c r="E1264" s="534">
        <v>1</v>
      </c>
      <c r="F1264" s="113">
        <v>22.7</v>
      </c>
      <c r="G1264" s="113">
        <v>0</v>
      </c>
      <c r="H1264" s="113">
        <v>0.8</v>
      </c>
      <c r="I1264" s="523">
        <f>ROUND(IF(AND(F1264:H1264),C1264*E1264*F1264*G1264*H1264,IF(AND(F1264,G1264),C1264*E1264*F1264*G1264,IF(AND(F1264,H1264),C1264*E1264*F1264*H1264,IF(AND(G1264,H1264),C1264*E1264*G1264*H1264,IF(F1264,C1264*E1264*F1264,IF(G1264,C1264*E1264*G1264,IF(H1264,C1264*E1264*H1264,C1264*E1264))))))),2)</f>
        <v>18.16</v>
      </c>
      <c r="J1264" s="532" t="s">
        <v>102</v>
      </c>
      <c r="K1264" s="111"/>
      <c r="L1264" s="81"/>
      <c r="M1264" s="111"/>
    </row>
    <row r="1265" spans="1:13" s="525" customFormat="1" ht="16.5" hidden="1" customHeight="1">
      <c r="A1265" s="81"/>
      <c r="B1265" s="526"/>
      <c r="C1265" s="527"/>
      <c r="D1265" s="528"/>
      <c r="E1265" s="577"/>
      <c r="F1265" s="530"/>
      <c r="G1265" s="530"/>
      <c r="H1265" s="530"/>
      <c r="I1265" s="531"/>
      <c r="J1265" s="532"/>
      <c r="K1265" s="111"/>
      <c r="L1265" s="517"/>
      <c r="M1265" s="111"/>
    </row>
    <row r="1266" spans="1:13" hidden="1">
      <c r="A1266" s="81"/>
      <c r="B1266" s="111"/>
      <c r="C1266" s="112"/>
      <c r="D1266" s="533"/>
      <c r="E1266" s="534"/>
      <c r="F1266" s="113"/>
      <c r="G1266" s="539"/>
      <c r="H1266" s="81"/>
      <c r="I1266" s="531"/>
      <c r="J1266" s="532" t="s">
        <v>102</v>
      </c>
      <c r="K1266" s="12">
        <f>'DATA 2024-25'!G875</f>
        <v>211.61</v>
      </c>
      <c r="L1266" s="517" t="s">
        <v>267</v>
      </c>
      <c r="M1266" s="11">
        <f>ROUND(I1266*K1266,0)</f>
        <v>0</v>
      </c>
    </row>
    <row r="1267" spans="1:13" ht="94.5" hidden="1" customHeight="1">
      <c r="A1267" s="81">
        <v>8</v>
      </c>
      <c r="B1267" s="910" t="s">
        <v>939</v>
      </c>
      <c r="C1267" s="910"/>
      <c r="D1267" s="910"/>
      <c r="E1267" s="910"/>
      <c r="F1267" s="910"/>
      <c r="G1267" s="910"/>
      <c r="H1267" s="910"/>
      <c r="I1267" s="515"/>
      <c r="J1267" s="516"/>
      <c r="K1267" s="81"/>
      <c r="L1267" s="517"/>
      <c r="M1267" s="110"/>
    </row>
    <row r="1268" spans="1:13" s="525" customFormat="1" ht="16.5" hidden="1" customHeight="1">
      <c r="A1268" s="81"/>
      <c r="B1268" s="111" t="s">
        <v>1390</v>
      </c>
      <c r="C1268" s="547"/>
      <c r="D1268" s="548"/>
      <c r="E1268" s="549"/>
      <c r="F1268" s="550"/>
      <c r="G1268" s="550"/>
      <c r="H1268" s="551"/>
      <c r="I1268" s="552"/>
      <c r="J1268" s="532"/>
      <c r="K1268" s="111"/>
      <c r="L1268" s="81"/>
      <c r="M1268" s="111"/>
    </row>
    <row r="1269" spans="1:13" s="525" customFormat="1" ht="16.5" hidden="1" customHeight="1">
      <c r="A1269" s="81"/>
      <c r="B1269" s="111" t="s">
        <v>1361</v>
      </c>
      <c r="C1269" s="515">
        <v>1</v>
      </c>
      <c r="D1269" s="553" t="s">
        <v>265</v>
      </c>
      <c r="E1269" s="534">
        <v>1</v>
      </c>
      <c r="F1269" s="113">
        <v>3.3</v>
      </c>
      <c r="G1269" s="113">
        <v>0</v>
      </c>
      <c r="H1269" s="113">
        <v>3.15</v>
      </c>
      <c r="I1269" s="523">
        <f t="shared" ref="I1269:I1275" si="103">ROUND(IF(AND(F1269:H1269),C1269*E1269*F1269*G1269*H1269,IF(AND(F1269,G1269),C1269*E1269*F1269*G1269,IF(AND(F1269,H1269),C1269*E1269*F1269*H1269,IF(AND(G1269,H1269),C1269*E1269*G1269*H1269,IF(F1269,C1269*E1269*F1269,IF(G1269,C1269*E1269*G1269,IF(H1269,C1269*E1269*H1269,C1269*E1269))))))),2)</f>
        <v>10.4</v>
      </c>
      <c r="J1269" s="532" t="s">
        <v>102</v>
      </c>
      <c r="K1269" s="111"/>
      <c r="L1269" s="81"/>
      <c r="M1269" s="111"/>
    </row>
    <row r="1270" spans="1:13" s="525" customFormat="1" ht="16.5" hidden="1" customHeight="1">
      <c r="A1270" s="81"/>
      <c r="B1270" s="111"/>
      <c r="C1270" s="515">
        <v>1</v>
      </c>
      <c r="D1270" s="553" t="s">
        <v>265</v>
      </c>
      <c r="E1270" s="534">
        <v>1</v>
      </c>
      <c r="F1270" s="113">
        <v>3.3</v>
      </c>
      <c r="G1270" s="113">
        <v>0</v>
      </c>
      <c r="H1270" s="113">
        <v>3.15</v>
      </c>
      <c r="I1270" s="523">
        <f t="shared" si="103"/>
        <v>10.4</v>
      </c>
      <c r="J1270" s="532" t="s">
        <v>102</v>
      </c>
      <c r="K1270" s="111"/>
      <c r="L1270" s="81"/>
      <c r="M1270" s="111"/>
    </row>
    <row r="1271" spans="1:13" s="525" customFormat="1" ht="16.5" hidden="1" customHeight="1">
      <c r="A1271" s="81"/>
      <c r="B1271" s="111"/>
      <c r="C1271" s="515">
        <v>1</v>
      </c>
      <c r="D1271" s="553" t="s">
        <v>265</v>
      </c>
      <c r="E1271" s="534">
        <v>1</v>
      </c>
      <c r="F1271" s="113">
        <v>3.2</v>
      </c>
      <c r="G1271" s="113">
        <v>0</v>
      </c>
      <c r="H1271" s="113">
        <v>3.15</v>
      </c>
      <c r="I1271" s="523">
        <f t="shared" si="103"/>
        <v>10.08</v>
      </c>
      <c r="J1271" s="532" t="s">
        <v>102</v>
      </c>
      <c r="K1271" s="111"/>
      <c r="L1271" s="81"/>
      <c r="M1271" s="111"/>
    </row>
    <row r="1272" spans="1:13" s="525" customFormat="1" ht="16.5" hidden="1" customHeight="1">
      <c r="A1272" s="81"/>
      <c r="B1272" s="111"/>
      <c r="C1272" s="515">
        <v>1</v>
      </c>
      <c r="D1272" s="553" t="s">
        <v>265</v>
      </c>
      <c r="E1272" s="534">
        <v>1</v>
      </c>
      <c r="F1272" s="113">
        <v>3.2</v>
      </c>
      <c r="G1272" s="113">
        <v>0</v>
      </c>
      <c r="H1272" s="113">
        <v>3.15</v>
      </c>
      <c r="I1272" s="523">
        <f t="shared" si="103"/>
        <v>10.08</v>
      </c>
      <c r="J1272" s="532" t="s">
        <v>102</v>
      </c>
      <c r="K1272" s="111"/>
      <c r="L1272" s="81"/>
      <c r="M1272" s="111"/>
    </row>
    <row r="1273" spans="1:13" s="525" customFormat="1" ht="16.5" hidden="1" customHeight="1">
      <c r="A1273" s="81"/>
      <c r="B1273" s="111" t="s">
        <v>1362</v>
      </c>
      <c r="C1273" s="515">
        <v>1</v>
      </c>
      <c r="D1273" s="553" t="s">
        <v>265</v>
      </c>
      <c r="E1273" s="534">
        <v>1</v>
      </c>
      <c r="F1273" s="113">
        <v>3.3</v>
      </c>
      <c r="G1273" s="113">
        <v>0</v>
      </c>
      <c r="H1273" s="113">
        <v>2.7</v>
      </c>
      <c r="I1273" s="523">
        <f t="shared" si="103"/>
        <v>8.91</v>
      </c>
      <c r="J1273" s="532" t="s">
        <v>102</v>
      </c>
      <c r="K1273" s="111"/>
      <c r="L1273" s="81"/>
      <c r="M1273" s="111"/>
    </row>
    <row r="1274" spans="1:13" s="525" customFormat="1" ht="16.5" hidden="1" customHeight="1">
      <c r="A1274" s="81"/>
      <c r="B1274" s="111"/>
      <c r="C1274" s="515">
        <v>1</v>
      </c>
      <c r="D1274" s="553" t="s">
        <v>265</v>
      </c>
      <c r="E1274" s="534">
        <v>1</v>
      </c>
      <c r="F1274" s="113">
        <v>3.3</v>
      </c>
      <c r="G1274" s="113">
        <v>0</v>
      </c>
      <c r="H1274" s="113">
        <v>2.7</v>
      </c>
      <c r="I1274" s="523">
        <f t="shared" si="103"/>
        <v>8.91</v>
      </c>
      <c r="J1274" s="532" t="s">
        <v>102</v>
      </c>
      <c r="K1274" s="111"/>
      <c r="L1274" s="81"/>
      <c r="M1274" s="111"/>
    </row>
    <row r="1275" spans="1:13" s="525" customFormat="1" ht="16.5" hidden="1" customHeight="1">
      <c r="A1275" s="81"/>
      <c r="B1275" s="111"/>
      <c r="C1275" s="515">
        <v>1</v>
      </c>
      <c r="D1275" s="553" t="s">
        <v>265</v>
      </c>
      <c r="E1275" s="534">
        <v>1</v>
      </c>
      <c r="F1275" s="113">
        <v>3.2</v>
      </c>
      <c r="G1275" s="113">
        <v>0</v>
      </c>
      <c r="H1275" s="113">
        <v>2.7</v>
      </c>
      <c r="I1275" s="523">
        <f t="shared" si="103"/>
        <v>8.64</v>
      </c>
      <c r="J1275" s="532" t="s">
        <v>102</v>
      </c>
      <c r="K1275" s="111"/>
      <c r="L1275" s="81"/>
      <c r="M1275" s="111"/>
    </row>
    <row r="1276" spans="1:13" s="525" customFormat="1" ht="16.5" hidden="1" customHeight="1">
      <c r="A1276" s="81"/>
      <c r="B1276" s="111" t="s">
        <v>575</v>
      </c>
      <c r="C1276" s="515">
        <v>1</v>
      </c>
      <c r="D1276" s="553" t="s">
        <v>265</v>
      </c>
      <c r="E1276" s="534">
        <v>1</v>
      </c>
      <c r="F1276" s="113">
        <v>1.2</v>
      </c>
      <c r="G1276" s="113">
        <v>0</v>
      </c>
      <c r="H1276" s="113">
        <v>2.1</v>
      </c>
      <c r="I1276" s="523">
        <f>-ROUND(IF(AND(F1276:H1276),C1276*E1276*F1276*G1276*H1276,IF(AND(F1276,G1276),C1276*E1276*F1276*G1276,IF(AND(F1276,H1276),C1276*E1276*F1276*H1276,IF(AND(G1276,H1276),C1276*E1276*G1276*H1276,IF(F1276,C1276*E1276*F1276,IF(G1276,C1276*E1276*G1276,IF(H1276,C1276*E1276*H1276,C1276*E1276))))))),2)</f>
        <v>-2.52</v>
      </c>
      <c r="J1276" s="532" t="s">
        <v>102</v>
      </c>
      <c r="K1276" s="111"/>
      <c r="L1276" s="81"/>
      <c r="M1276" s="111"/>
    </row>
    <row r="1277" spans="1:13" s="525" customFormat="1" ht="16.5" hidden="1" customHeight="1">
      <c r="A1277" s="81"/>
      <c r="B1277" s="111" t="s">
        <v>1363</v>
      </c>
      <c r="C1277" s="515">
        <v>1</v>
      </c>
      <c r="D1277" s="553" t="s">
        <v>265</v>
      </c>
      <c r="E1277" s="534">
        <v>1</v>
      </c>
      <c r="F1277" s="113">
        <v>42</v>
      </c>
      <c r="G1277" s="113">
        <v>0</v>
      </c>
      <c r="H1277" s="113">
        <v>0.8</v>
      </c>
      <c r="I1277" s="523">
        <f>ROUND(IF(AND(F1277:H1277),C1277*E1277*F1277*G1277*H1277,IF(AND(F1277,G1277),C1277*E1277*F1277*G1277,IF(AND(F1277,H1277),C1277*E1277*F1277*H1277,IF(AND(G1277,H1277),C1277*E1277*G1277*H1277,IF(F1277,C1277*E1277*F1277,IF(G1277,C1277*E1277*G1277,IF(H1277,C1277*E1277*H1277,C1277*E1277))))))),2)</f>
        <v>33.6</v>
      </c>
      <c r="J1277" s="532" t="s">
        <v>102</v>
      </c>
      <c r="K1277" s="111"/>
      <c r="L1277" s="81"/>
      <c r="M1277" s="111"/>
    </row>
    <row r="1278" spans="1:13" s="525" customFormat="1" ht="16.5" hidden="1" customHeight="1">
      <c r="A1278" s="81"/>
      <c r="B1278" s="526"/>
      <c r="C1278" s="527"/>
      <c r="D1278" s="528"/>
      <c r="E1278" s="529"/>
      <c r="F1278" s="530"/>
      <c r="G1278" s="530"/>
      <c r="H1278" s="530"/>
      <c r="I1278" s="531"/>
      <c r="J1278" s="532"/>
      <c r="K1278" s="111"/>
      <c r="L1278" s="517"/>
      <c r="M1278" s="111"/>
    </row>
    <row r="1279" spans="1:13" hidden="1">
      <c r="A1279" s="81"/>
      <c r="B1279" s="111"/>
      <c r="C1279" s="112"/>
      <c r="D1279" s="533"/>
      <c r="E1279" s="534"/>
      <c r="F1279" s="113"/>
      <c r="G1279" s="539"/>
      <c r="H1279" s="81"/>
      <c r="I1279" s="531"/>
      <c r="J1279" s="532" t="s">
        <v>102</v>
      </c>
      <c r="K1279" s="12">
        <f>'DATA 2024-25'!G911</f>
        <v>216.27</v>
      </c>
      <c r="L1279" s="517" t="s">
        <v>267</v>
      </c>
      <c r="M1279" s="11">
        <f>ROUND(I1279*K1279,0)</f>
        <v>0</v>
      </c>
    </row>
    <row r="1280" spans="1:13" ht="94.5" hidden="1" customHeight="1">
      <c r="A1280" s="81">
        <v>9</v>
      </c>
      <c r="B1280" s="910" t="s">
        <v>940</v>
      </c>
      <c r="C1280" s="910"/>
      <c r="D1280" s="910"/>
      <c r="E1280" s="910"/>
      <c r="F1280" s="910"/>
      <c r="G1280" s="910"/>
      <c r="H1280" s="910"/>
      <c r="I1280" s="515"/>
      <c r="J1280" s="516"/>
      <c r="K1280" s="81"/>
      <c r="L1280" s="517"/>
      <c r="M1280" s="110"/>
    </row>
    <row r="1281" spans="1:13" s="525" customFormat="1" ht="16.5" hidden="1" customHeight="1">
      <c r="A1281" s="81"/>
      <c r="B1281" s="111" t="s">
        <v>1391</v>
      </c>
      <c r="C1281" s="515"/>
      <c r="D1281" s="553"/>
      <c r="E1281" s="534"/>
      <c r="F1281" s="113"/>
      <c r="G1281" s="113"/>
      <c r="H1281" s="113"/>
      <c r="I1281" s="523"/>
      <c r="J1281" s="532"/>
      <c r="K1281" s="111"/>
      <c r="L1281" s="81"/>
      <c r="M1281" s="111"/>
    </row>
    <row r="1282" spans="1:13" s="525" customFormat="1" ht="16.5" hidden="1" customHeight="1">
      <c r="A1282" s="81"/>
      <c r="B1282" s="111" t="s">
        <v>1251</v>
      </c>
      <c r="C1282" s="515">
        <v>1</v>
      </c>
      <c r="D1282" s="553" t="s">
        <v>265</v>
      </c>
      <c r="E1282" s="534">
        <v>1</v>
      </c>
      <c r="F1282" s="113">
        <v>22.7</v>
      </c>
      <c r="G1282" s="113">
        <v>0</v>
      </c>
      <c r="H1282" s="113">
        <v>1.3</v>
      </c>
      <c r="I1282" s="523">
        <f t="shared" ref="I1282:I1288" si="104">ROUND(IF(AND(F1282:H1282),C1282*E1282*F1282*G1282*H1282,IF(AND(F1282,G1282),C1282*E1282*F1282*G1282,IF(AND(F1282,H1282),C1282*E1282*F1282*H1282,IF(AND(G1282,H1282),C1282*E1282*G1282*H1282,IF(F1282,C1282*E1282*F1282,IF(G1282,C1282*E1282*G1282,IF(H1282,C1282*E1282*H1282,C1282*E1282))))))),2)</f>
        <v>29.51</v>
      </c>
      <c r="J1282" s="532" t="s">
        <v>102</v>
      </c>
      <c r="K1282" s="111"/>
      <c r="L1282" s="81"/>
      <c r="M1282" s="111"/>
    </row>
    <row r="1283" spans="1:13" s="525" customFormat="1" ht="16.5" hidden="1" customHeight="1">
      <c r="A1283" s="81"/>
      <c r="B1283" s="111"/>
      <c r="C1283" s="515">
        <v>1</v>
      </c>
      <c r="D1283" s="553" t="s">
        <v>265</v>
      </c>
      <c r="E1283" s="534">
        <v>1</v>
      </c>
      <c r="F1283" s="113">
        <v>1.1000000000000001</v>
      </c>
      <c r="G1283" s="113">
        <v>0</v>
      </c>
      <c r="H1283" s="113">
        <v>7.95</v>
      </c>
      <c r="I1283" s="523">
        <f t="shared" si="104"/>
        <v>8.75</v>
      </c>
      <c r="J1283" s="532" t="s">
        <v>102</v>
      </c>
      <c r="K1283" s="111"/>
      <c r="L1283" s="81"/>
      <c r="M1283" s="111"/>
    </row>
    <row r="1284" spans="1:13" s="525" customFormat="1" ht="16.5" hidden="1" customHeight="1">
      <c r="A1284" s="81"/>
      <c r="B1284" s="111"/>
      <c r="C1284" s="515">
        <v>1</v>
      </c>
      <c r="D1284" s="553" t="s">
        <v>265</v>
      </c>
      <c r="E1284" s="534">
        <v>1</v>
      </c>
      <c r="F1284" s="113">
        <v>14.8</v>
      </c>
      <c r="G1284" s="113">
        <v>0</v>
      </c>
      <c r="H1284" s="113">
        <v>1.3</v>
      </c>
      <c r="I1284" s="523">
        <f t="shared" si="104"/>
        <v>19.239999999999998</v>
      </c>
      <c r="J1284" s="532" t="s">
        <v>102</v>
      </c>
      <c r="K1284" s="111"/>
      <c r="L1284" s="81"/>
      <c r="M1284" s="111"/>
    </row>
    <row r="1285" spans="1:13" s="525" customFormat="1" ht="16.5" hidden="1" customHeight="1">
      <c r="A1285" s="81"/>
      <c r="B1285" s="111"/>
      <c r="C1285" s="515">
        <v>1</v>
      </c>
      <c r="D1285" s="553" t="s">
        <v>265</v>
      </c>
      <c r="E1285" s="534">
        <v>1</v>
      </c>
      <c r="F1285" s="113">
        <v>10.3</v>
      </c>
      <c r="G1285" s="113">
        <v>0</v>
      </c>
      <c r="H1285" s="113">
        <v>1.3</v>
      </c>
      <c r="I1285" s="523">
        <f t="shared" si="104"/>
        <v>13.39</v>
      </c>
      <c r="J1285" s="532" t="s">
        <v>102</v>
      </c>
      <c r="K1285" s="111"/>
      <c r="L1285" s="81"/>
      <c r="M1285" s="111"/>
    </row>
    <row r="1286" spans="1:13" s="525" customFormat="1" ht="16.5" hidden="1" customHeight="1">
      <c r="A1286" s="81"/>
      <c r="B1286" s="111"/>
      <c r="C1286" s="515">
        <v>1</v>
      </c>
      <c r="D1286" s="553" t="s">
        <v>265</v>
      </c>
      <c r="E1286" s="534">
        <v>1</v>
      </c>
      <c r="F1286" s="113">
        <v>3.25</v>
      </c>
      <c r="G1286" s="113">
        <v>0</v>
      </c>
      <c r="H1286" s="113">
        <v>7.65</v>
      </c>
      <c r="I1286" s="523">
        <f t="shared" si="104"/>
        <v>24.86</v>
      </c>
      <c r="J1286" s="532" t="s">
        <v>102</v>
      </c>
      <c r="K1286" s="111"/>
      <c r="L1286" s="81"/>
      <c r="M1286" s="111"/>
    </row>
    <row r="1287" spans="1:13" s="525" customFormat="1" ht="16.5" hidden="1" customHeight="1">
      <c r="A1287" s="81"/>
      <c r="B1287" s="111" t="s">
        <v>1366</v>
      </c>
      <c r="C1287" s="515">
        <v>1</v>
      </c>
      <c r="D1287" s="553" t="s">
        <v>265</v>
      </c>
      <c r="E1287" s="534">
        <v>1</v>
      </c>
      <c r="F1287" s="113">
        <v>1</v>
      </c>
      <c r="G1287" s="113">
        <v>0</v>
      </c>
      <c r="H1287" s="113">
        <v>9.5</v>
      </c>
      <c r="I1287" s="523">
        <f t="shared" si="104"/>
        <v>9.5</v>
      </c>
      <c r="J1287" s="532" t="s">
        <v>102</v>
      </c>
      <c r="K1287" s="111"/>
      <c r="L1287" s="81"/>
      <c r="M1287" s="111"/>
    </row>
    <row r="1288" spans="1:13" s="525" customFormat="1" ht="16.5" hidden="1" customHeight="1">
      <c r="A1288" s="81"/>
      <c r="B1288" s="111"/>
      <c r="C1288" s="515">
        <v>1</v>
      </c>
      <c r="D1288" s="553" t="s">
        <v>265</v>
      </c>
      <c r="E1288" s="534">
        <v>1</v>
      </c>
      <c r="F1288" s="113">
        <v>3.3</v>
      </c>
      <c r="G1288" s="113">
        <v>0</v>
      </c>
      <c r="H1288" s="113">
        <v>9.5</v>
      </c>
      <c r="I1288" s="523">
        <f t="shared" si="104"/>
        <v>31.35</v>
      </c>
      <c r="J1288" s="532" t="s">
        <v>102</v>
      </c>
      <c r="K1288" s="111"/>
      <c r="L1288" s="81"/>
      <c r="M1288" s="111"/>
    </row>
    <row r="1289" spans="1:13" s="525" customFormat="1" ht="16.5" hidden="1" customHeight="1">
      <c r="A1289" s="81"/>
      <c r="B1289" s="526"/>
      <c r="C1289" s="527"/>
      <c r="D1289" s="528"/>
      <c r="E1289" s="529"/>
      <c r="F1289" s="530"/>
      <c r="G1289" s="530"/>
      <c r="H1289" s="530"/>
      <c r="I1289" s="531"/>
      <c r="J1289" s="532"/>
      <c r="K1289" s="111"/>
      <c r="L1289" s="517"/>
      <c r="M1289" s="111"/>
    </row>
    <row r="1290" spans="1:13" hidden="1">
      <c r="A1290" s="81"/>
      <c r="B1290" s="111"/>
      <c r="C1290" s="112"/>
      <c r="D1290" s="533"/>
      <c r="E1290" s="534"/>
      <c r="F1290" s="113"/>
      <c r="G1290" s="539"/>
      <c r="H1290" s="81"/>
      <c r="I1290" s="531"/>
      <c r="J1290" s="532" t="s">
        <v>102</v>
      </c>
      <c r="K1290" s="12">
        <f>'DATA 2024-25'!G926</f>
        <v>297.76</v>
      </c>
      <c r="L1290" s="517" t="s">
        <v>267</v>
      </c>
      <c r="M1290" s="11">
        <f>ROUND(I1290*K1290,0)</f>
        <v>0</v>
      </c>
    </row>
    <row r="1291" spans="1:13" ht="69.75" hidden="1" customHeight="1">
      <c r="A1291" s="81">
        <v>10</v>
      </c>
      <c r="B1291" s="910" t="s">
        <v>122</v>
      </c>
      <c r="C1291" s="910"/>
      <c r="D1291" s="910"/>
      <c r="E1291" s="910"/>
      <c r="F1291" s="910"/>
      <c r="G1291" s="910"/>
      <c r="H1291" s="910"/>
      <c r="I1291" s="515"/>
      <c r="J1291" s="516"/>
      <c r="K1291" s="81"/>
      <c r="L1291" s="517"/>
      <c r="M1291" s="110"/>
    </row>
    <row r="1292" spans="1:13" s="525" customFormat="1" ht="16.5" hidden="1" customHeight="1">
      <c r="A1292" s="81"/>
      <c r="B1292" s="111" t="s">
        <v>1377</v>
      </c>
      <c r="C1292" s="547" t="s">
        <v>1221</v>
      </c>
      <c r="D1292" s="548"/>
      <c r="E1292" s="549"/>
      <c r="F1292" s="550"/>
      <c r="G1292" s="550"/>
      <c r="H1292" s="551"/>
      <c r="I1292" s="552">
        <v>189.07</v>
      </c>
      <c r="J1292" s="532" t="s">
        <v>139</v>
      </c>
      <c r="K1292" s="111"/>
      <c r="L1292" s="81"/>
      <c r="M1292" s="111"/>
    </row>
    <row r="1293" spans="1:13" s="525" customFormat="1" ht="16.5" hidden="1" customHeight="1">
      <c r="A1293" s="81"/>
      <c r="B1293" s="111" t="s">
        <v>1386</v>
      </c>
      <c r="C1293" s="547" t="s">
        <v>1348</v>
      </c>
      <c r="D1293" s="548"/>
      <c r="E1293" s="549"/>
      <c r="F1293" s="550"/>
      <c r="G1293" s="550"/>
      <c r="H1293" s="551"/>
      <c r="I1293" s="552">
        <v>317.49</v>
      </c>
      <c r="J1293" s="532" t="s">
        <v>139</v>
      </c>
      <c r="K1293" s="111"/>
      <c r="L1293" s="81"/>
      <c r="M1293" s="111"/>
    </row>
    <row r="1294" spans="1:13" s="525" customFormat="1" ht="16.5" hidden="1" customHeight="1">
      <c r="A1294" s="81"/>
      <c r="B1294" s="111"/>
      <c r="C1294" s="547"/>
      <c r="D1294" s="548"/>
      <c r="E1294" s="549"/>
      <c r="F1294" s="550"/>
      <c r="G1294" s="550"/>
      <c r="H1294" s="551"/>
      <c r="I1294" s="552">
        <f>SUM(I1292:I1293)</f>
        <v>506.56</v>
      </c>
      <c r="J1294" s="532" t="s">
        <v>139</v>
      </c>
      <c r="K1294" s="111"/>
      <c r="L1294" s="517"/>
      <c r="M1294" s="111"/>
    </row>
    <row r="1295" spans="1:13" hidden="1">
      <c r="A1295" s="81"/>
      <c r="B1295" s="111"/>
      <c r="C1295" s="112"/>
      <c r="D1295" s="533"/>
      <c r="E1295" s="534"/>
      <c r="F1295" s="113"/>
      <c r="G1295" s="539"/>
      <c r="H1295" s="81" t="s">
        <v>850</v>
      </c>
      <c r="I1295" s="531"/>
      <c r="J1295" s="532" t="s">
        <v>29</v>
      </c>
      <c r="K1295" s="12">
        <f>'DATA 2024-25'!G335</f>
        <v>89328.66</v>
      </c>
      <c r="L1295" s="517" t="s">
        <v>275</v>
      </c>
      <c r="M1295" s="11">
        <f>ROUND(I1295*K1295,0)</f>
        <v>0</v>
      </c>
    </row>
    <row r="1296" spans="1:13" hidden="1">
      <c r="A1296" s="81"/>
      <c r="B1296" s="125" t="s">
        <v>1830</v>
      </c>
      <c r="C1296" s="111"/>
      <c r="D1296" s="111"/>
      <c r="E1296" s="586"/>
      <c r="F1296" s="81"/>
      <c r="G1296" s="111"/>
      <c r="H1296" s="81"/>
      <c r="I1296" s="531"/>
      <c r="J1296" s="587"/>
      <c r="K1296" s="12"/>
      <c r="L1296" s="517"/>
      <c r="M1296" s="11"/>
    </row>
    <row r="1297" spans="1:13" ht="56.25" hidden="1" customHeight="1">
      <c r="A1297" s="81">
        <v>9</v>
      </c>
      <c r="B1297" s="910" t="s">
        <v>2225</v>
      </c>
      <c r="C1297" s="910"/>
      <c r="D1297" s="910"/>
      <c r="E1297" s="910"/>
      <c r="F1297" s="910"/>
      <c r="G1297" s="910"/>
      <c r="H1297" s="910"/>
      <c r="I1297" s="515"/>
      <c r="J1297" s="516"/>
      <c r="K1297" s="81"/>
      <c r="L1297" s="81"/>
      <c r="M1297" s="110"/>
    </row>
    <row r="1298" spans="1:13" s="525" customFormat="1" ht="15" hidden="1">
      <c r="A1298" s="81"/>
      <c r="B1298" s="526" t="s">
        <v>2198</v>
      </c>
      <c r="C1298" s="527"/>
      <c r="D1298" s="528" t="s">
        <v>265</v>
      </c>
      <c r="E1298" s="529">
        <v>1</v>
      </c>
      <c r="F1298" s="530">
        <v>0</v>
      </c>
      <c r="G1298" s="530">
        <v>0</v>
      </c>
      <c r="H1298" s="530">
        <v>0</v>
      </c>
      <c r="I1298" s="531">
        <f>ROUND(IF(AND(F1298:H1298),C1298*E1298*F1298*G1298*H1298,IF(AND(F1298,G1298),C1298*E1298*F1298*G1298,IF(AND(F1298,H1298),C1298*E1298*F1298*H1298,IF(AND(G1298,H1298),C1298*E1298*G1298*H1298,IF(F1298,C1298*E1298*F1298,IF(G1298,C1298*E1298*G1298,IF(H1298,C1298*E1298*H1298,C1298*E1298))))))),2)</f>
        <v>0</v>
      </c>
      <c r="J1298" s="532" t="s">
        <v>114</v>
      </c>
      <c r="K1298" s="111"/>
      <c r="L1298" s="81"/>
      <c r="M1298" s="111"/>
    </row>
    <row r="1299" spans="1:13" s="525" customFormat="1" ht="15" hidden="1">
      <c r="A1299" s="81"/>
      <c r="B1299" s="526"/>
      <c r="C1299" s="527"/>
      <c r="D1299" s="528"/>
      <c r="E1299" s="529"/>
      <c r="F1299" s="530"/>
      <c r="G1299" s="530"/>
      <c r="H1299" s="530"/>
      <c r="I1299" s="531"/>
      <c r="J1299" s="532"/>
      <c r="K1299" s="111"/>
      <c r="L1299" s="81"/>
      <c r="M1299" s="111"/>
    </row>
    <row r="1300" spans="1:13" hidden="1">
      <c r="A1300" s="81"/>
      <c r="B1300" s="111"/>
      <c r="C1300" s="112"/>
      <c r="D1300" s="533"/>
      <c r="E1300" s="534"/>
      <c r="F1300" s="113"/>
      <c r="G1300" s="539"/>
      <c r="H1300" s="81"/>
      <c r="I1300" s="531">
        <f>SUM(I1298:I1299)</f>
        <v>0</v>
      </c>
      <c r="J1300" s="532" t="s">
        <v>114</v>
      </c>
      <c r="K1300" s="12">
        <f>'doors 2024-25'!H15</f>
        <v>4429.3999999999996</v>
      </c>
      <c r="L1300" s="12" t="s">
        <v>268</v>
      </c>
      <c r="M1300" s="11">
        <f>ROUND(I1300*K1300,0)</f>
        <v>0</v>
      </c>
    </row>
    <row r="1301" spans="1:13" ht="56.25" hidden="1" customHeight="1">
      <c r="A1301" s="81">
        <v>9</v>
      </c>
      <c r="B1301" s="910" t="s">
        <v>2219</v>
      </c>
      <c r="C1301" s="910"/>
      <c r="D1301" s="910"/>
      <c r="E1301" s="910"/>
      <c r="F1301" s="910"/>
      <c r="G1301" s="910"/>
      <c r="H1301" s="910"/>
      <c r="I1301" s="515"/>
      <c r="J1301" s="516"/>
      <c r="K1301" s="81"/>
      <c r="L1301" s="81"/>
      <c r="M1301" s="110"/>
    </row>
    <row r="1302" spans="1:13" s="525" customFormat="1" ht="15" hidden="1">
      <c r="A1302" s="81"/>
      <c r="B1302" s="526" t="s">
        <v>2199</v>
      </c>
      <c r="C1302" s="527">
        <v>1</v>
      </c>
      <c r="D1302" s="528" t="s">
        <v>265</v>
      </c>
      <c r="E1302" s="529">
        <v>1</v>
      </c>
      <c r="F1302" s="530">
        <v>0</v>
      </c>
      <c r="G1302" s="530">
        <v>0</v>
      </c>
      <c r="H1302" s="530">
        <v>0</v>
      </c>
      <c r="I1302" s="531">
        <f>ROUND(IF(AND(F1302:H1302),C1302*E1302*F1302*G1302*H1302,IF(AND(F1302,G1302),C1302*E1302*F1302*G1302,IF(AND(F1302,H1302),C1302*E1302*F1302*H1302,IF(AND(G1302,H1302),C1302*E1302*G1302*H1302,IF(F1302,C1302*E1302*F1302,IF(G1302,C1302*E1302*G1302,IF(H1302,C1302*E1302*H1302,C1302*E1302))))))),2)</f>
        <v>1</v>
      </c>
      <c r="J1302" s="532" t="s">
        <v>114</v>
      </c>
      <c r="K1302" s="111"/>
      <c r="L1302" s="81"/>
      <c r="M1302" s="111"/>
    </row>
    <row r="1303" spans="1:13" s="525" customFormat="1" ht="15" hidden="1">
      <c r="A1303" s="81"/>
      <c r="B1303" s="526"/>
      <c r="C1303" s="527"/>
      <c r="D1303" s="528"/>
      <c r="E1303" s="529"/>
      <c r="F1303" s="530"/>
      <c r="G1303" s="530"/>
      <c r="H1303" s="530"/>
      <c r="I1303" s="531"/>
      <c r="J1303" s="532"/>
      <c r="K1303" s="111"/>
      <c r="L1303" s="81"/>
      <c r="M1303" s="111"/>
    </row>
    <row r="1304" spans="1:13" hidden="1">
      <c r="A1304" s="81"/>
      <c r="B1304" s="111"/>
      <c r="C1304" s="112"/>
      <c r="D1304" s="533"/>
      <c r="E1304" s="534"/>
      <c r="F1304" s="113"/>
      <c r="G1304" s="539"/>
      <c r="H1304" s="81"/>
      <c r="I1304" s="531"/>
      <c r="J1304" s="532" t="s">
        <v>114</v>
      </c>
      <c r="K1304" s="12">
        <f>'doors 2024-25'!H28</f>
        <v>9898.6299999999992</v>
      </c>
      <c r="L1304" s="12" t="s">
        <v>268</v>
      </c>
      <c r="M1304" s="11">
        <f>ROUND(I1304*K1304,0)</f>
        <v>0</v>
      </c>
    </row>
    <row r="1305" spans="1:13" ht="77.25" hidden="1" customHeight="1">
      <c r="A1305" s="81">
        <v>10</v>
      </c>
      <c r="B1305" s="910" t="s">
        <v>2226</v>
      </c>
      <c r="C1305" s="910"/>
      <c r="D1305" s="910"/>
      <c r="E1305" s="910"/>
      <c r="F1305" s="910"/>
      <c r="G1305" s="910"/>
      <c r="H1305" s="910"/>
      <c r="I1305" s="515"/>
      <c r="J1305" s="516"/>
      <c r="K1305" s="81"/>
      <c r="L1305" s="81"/>
      <c r="M1305" s="110"/>
    </row>
    <row r="1306" spans="1:13" s="525" customFormat="1" ht="15" hidden="1">
      <c r="A1306" s="81"/>
      <c r="B1306" s="526" t="s">
        <v>2227</v>
      </c>
      <c r="C1306" s="527">
        <v>1</v>
      </c>
      <c r="D1306" s="528" t="s">
        <v>265</v>
      </c>
      <c r="E1306" s="529">
        <v>3</v>
      </c>
      <c r="F1306" s="530">
        <v>0</v>
      </c>
      <c r="G1306" s="530">
        <v>0</v>
      </c>
      <c r="H1306" s="530">
        <v>0</v>
      </c>
      <c r="I1306" s="531">
        <f>ROUND(IF(AND(F1306:H1306),C1306*E1306*F1306*G1306*H1306,IF(AND(F1306,G1306),C1306*E1306*F1306*G1306,IF(AND(F1306,H1306),C1306*E1306*F1306*H1306,IF(AND(G1306,H1306),C1306*E1306*G1306*H1306,IF(F1306,C1306*E1306*F1306,IF(G1306,C1306*E1306*G1306,IF(H1306,C1306*E1306*H1306,C1306*E1306))))))),2)</f>
        <v>3</v>
      </c>
      <c r="J1306" s="532" t="s">
        <v>114</v>
      </c>
      <c r="K1306" s="111"/>
      <c r="L1306" s="81"/>
      <c r="M1306" s="111"/>
    </row>
    <row r="1307" spans="1:13" s="525" customFormat="1" ht="15" hidden="1">
      <c r="A1307" s="81"/>
      <c r="B1307" s="526"/>
      <c r="C1307" s="527"/>
      <c r="D1307" s="528"/>
      <c r="E1307" s="529"/>
      <c r="F1307" s="530"/>
      <c r="G1307" s="530"/>
      <c r="H1307" s="530"/>
      <c r="I1307" s="531"/>
      <c r="J1307" s="532"/>
      <c r="K1307" s="111"/>
      <c r="L1307" s="81"/>
      <c r="M1307" s="111"/>
    </row>
    <row r="1308" spans="1:13" hidden="1">
      <c r="A1308" s="81"/>
      <c r="B1308" s="111"/>
      <c r="C1308" s="112"/>
      <c r="D1308" s="533"/>
      <c r="E1308" s="534"/>
      <c r="F1308" s="113"/>
      <c r="G1308" s="539"/>
      <c r="H1308" s="81"/>
      <c r="I1308" s="531"/>
      <c r="J1308" s="532" t="s">
        <v>114</v>
      </c>
      <c r="K1308" s="12">
        <f>'doors 2024-25'!H38</f>
        <v>3451.4399999999996</v>
      </c>
      <c r="L1308" s="12" t="s">
        <v>268</v>
      </c>
      <c r="M1308" s="11">
        <f>ROUND(I1308*K1308,0)</f>
        <v>0</v>
      </c>
    </row>
    <row r="1309" spans="1:13" ht="77.25" hidden="1" customHeight="1">
      <c r="A1309" s="81">
        <v>11</v>
      </c>
      <c r="B1309" s="910" t="s">
        <v>2228</v>
      </c>
      <c r="C1309" s="910"/>
      <c r="D1309" s="910"/>
      <c r="E1309" s="910"/>
      <c r="F1309" s="910"/>
      <c r="G1309" s="910"/>
      <c r="H1309" s="910"/>
      <c r="I1309" s="515"/>
      <c r="J1309" s="516"/>
      <c r="K1309" s="81"/>
      <c r="L1309" s="81"/>
      <c r="M1309" s="110"/>
    </row>
    <row r="1310" spans="1:13" s="525" customFormat="1" ht="15" hidden="1">
      <c r="A1310" s="81"/>
      <c r="B1310" s="526" t="s">
        <v>2199</v>
      </c>
      <c r="C1310" s="527">
        <v>1</v>
      </c>
      <c r="D1310" s="528" t="s">
        <v>265</v>
      </c>
      <c r="E1310" s="529">
        <v>3</v>
      </c>
      <c r="F1310" s="530">
        <v>0</v>
      </c>
      <c r="G1310" s="530">
        <v>0</v>
      </c>
      <c r="H1310" s="530">
        <v>0</v>
      </c>
      <c r="I1310" s="531">
        <f>ROUND(IF(AND(F1310:H1310),C1310*E1310*F1310*G1310*H1310,IF(AND(F1310,G1310),C1310*E1310*F1310*G1310,IF(AND(F1310,H1310),C1310*E1310*F1310*H1310,IF(AND(G1310,H1310),C1310*E1310*G1310*H1310,IF(F1310,C1310*E1310*F1310,IF(G1310,C1310*E1310*G1310,IF(H1310,C1310*E1310*H1310,C1310*E1310))))))),2)</f>
        <v>3</v>
      </c>
      <c r="J1310" s="532" t="s">
        <v>114</v>
      </c>
      <c r="K1310" s="111"/>
      <c r="L1310" s="81"/>
      <c r="M1310" s="111"/>
    </row>
    <row r="1311" spans="1:13" s="525" customFormat="1" ht="15" hidden="1">
      <c r="A1311" s="81"/>
      <c r="B1311" s="526"/>
      <c r="C1311" s="527"/>
      <c r="D1311" s="528"/>
      <c r="E1311" s="529"/>
      <c r="F1311" s="530"/>
      <c r="G1311" s="530"/>
      <c r="H1311" s="530"/>
      <c r="I1311" s="531"/>
      <c r="J1311" s="532"/>
      <c r="K1311" s="111"/>
      <c r="L1311" s="81"/>
      <c r="M1311" s="111"/>
    </row>
    <row r="1312" spans="1:13" hidden="1">
      <c r="A1312" s="81"/>
      <c r="B1312" s="111"/>
      <c r="C1312" s="112"/>
      <c r="D1312" s="533"/>
      <c r="E1312" s="534"/>
      <c r="F1312" s="113"/>
      <c r="G1312" s="539"/>
      <c r="H1312" s="81"/>
      <c r="I1312" s="531"/>
      <c r="J1312" s="532" t="s">
        <v>114</v>
      </c>
      <c r="K1312" s="12">
        <f>'doors 2024-25'!H51</f>
        <v>8608.6999999999989</v>
      </c>
      <c r="L1312" s="12" t="s">
        <v>268</v>
      </c>
      <c r="M1312" s="11">
        <f>ROUND(I1312*K1312,0)</f>
        <v>0</v>
      </c>
    </row>
    <row r="1313" spans="1:16" ht="53.25" hidden="1" customHeight="1">
      <c r="A1313" s="81">
        <v>11</v>
      </c>
      <c r="B1313" s="910" t="s">
        <v>2200</v>
      </c>
      <c r="C1313" s="910"/>
      <c r="D1313" s="910"/>
      <c r="E1313" s="910"/>
      <c r="F1313" s="910"/>
      <c r="G1313" s="910"/>
      <c r="H1313" s="910"/>
      <c r="I1313" s="515"/>
      <c r="J1313" s="516"/>
      <c r="K1313" s="81"/>
      <c r="L1313" s="81"/>
      <c r="M1313" s="110"/>
    </row>
    <row r="1314" spans="1:16" s="525" customFormat="1" ht="15" hidden="1">
      <c r="A1314" s="81"/>
      <c r="B1314" s="526" t="s">
        <v>2198</v>
      </c>
      <c r="C1314" s="527"/>
      <c r="D1314" s="528" t="s">
        <v>265</v>
      </c>
      <c r="E1314" s="529">
        <v>5</v>
      </c>
      <c r="F1314" s="530">
        <v>0</v>
      </c>
      <c r="G1314" s="530">
        <v>0</v>
      </c>
      <c r="H1314" s="530">
        <v>0</v>
      </c>
      <c r="I1314" s="531">
        <f>ROUND(IF(AND(F1314:H1314),C1314*E1314*F1314*G1314*H1314,IF(AND(F1314,G1314),C1314*E1314*F1314*G1314,IF(AND(F1314,H1314),C1314*E1314*F1314*H1314,IF(AND(G1314,H1314),C1314*E1314*G1314*H1314,IF(F1314,C1314*E1314*F1314,IF(G1314,C1314*E1314*G1314,IF(H1314,C1314*E1314*H1314,C1314*E1314))))))),2)</f>
        <v>0</v>
      </c>
      <c r="J1314" s="532" t="s">
        <v>114</v>
      </c>
      <c r="K1314" s="111"/>
      <c r="L1314" s="81"/>
      <c r="M1314" s="111"/>
    </row>
    <row r="1315" spans="1:16" s="525" customFormat="1" ht="15" hidden="1">
      <c r="A1315" s="81"/>
      <c r="B1315" s="526"/>
      <c r="C1315" s="527"/>
      <c r="D1315" s="528"/>
      <c r="E1315" s="529"/>
      <c r="F1315" s="530"/>
      <c r="G1315" s="530"/>
      <c r="H1315" s="530"/>
      <c r="I1315" s="531"/>
      <c r="J1315" s="532"/>
      <c r="K1315" s="111"/>
      <c r="L1315" s="81"/>
      <c r="M1315" s="111"/>
    </row>
    <row r="1316" spans="1:16" hidden="1">
      <c r="A1316" s="81"/>
      <c r="B1316" s="111"/>
      <c r="C1316" s="112"/>
      <c r="D1316" s="533"/>
      <c r="E1316" s="534"/>
      <c r="F1316" s="113"/>
      <c r="G1316" s="539"/>
      <c r="H1316" s="81"/>
      <c r="I1316" s="531">
        <f>SUM(I1314:I1315)</f>
        <v>0</v>
      </c>
      <c r="J1316" s="532" t="s">
        <v>114</v>
      </c>
      <c r="K1316" s="12">
        <f>'doors 2024-25'!H63</f>
        <v>4619.67</v>
      </c>
      <c r="L1316" s="12" t="s">
        <v>268</v>
      </c>
      <c r="M1316" s="11">
        <f>ROUND(I1316*K1316,0)</f>
        <v>0</v>
      </c>
    </row>
    <row r="1317" spans="1:16" ht="57" hidden="1" customHeight="1">
      <c r="A1317" s="81">
        <v>7</v>
      </c>
      <c r="B1317" s="910" t="s">
        <v>2196</v>
      </c>
      <c r="C1317" s="910"/>
      <c r="D1317" s="910"/>
      <c r="E1317" s="910"/>
      <c r="F1317" s="910"/>
      <c r="G1317" s="910"/>
      <c r="H1317" s="910"/>
      <c r="I1317" s="515"/>
      <c r="J1317" s="516"/>
      <c r="K1317" s="81"/>
      <c r="L1317" s="81"/>
      <c r="M1317" s="110"/>
    </row>
    <row r="1318" spans="1:16" s="525" customFormat="1" ht="15" hidden="1">
      <c r="A1318" s="81"/>
      <c r="B1318" s="526" t="s">
        <v>2199</v>
      </c>
      <c r="C1318" s="527">
        <v>1</v>
      </c>
      <c r="D1318" s="528" t="s">
        <v>265</v>
      </c>
      <c r="E1318" s="529">
        <v>3</v>
      </c>
      <c r="F1318" s="530">
        <v>0</v>
      </c>
      <c r="G1318" s="530">
        <v>0</v>
      </c>
      <c r="H1318" s="530">
        <v>0</v>
      </c>
      <c r="I1318" s="585">
        <f>ROUND(IF(AND(F1318:H1318),C1318*E1318*F1318*G1318*H1318,IF(AND(F1318,G1318),C1318*E1318*F1318*G1318,IF(AND(F1318,H1318),C1318*E1318*F1318*H1318,IF(AND(G1318,H1318),C1318*E1318*G1318*H1318,IF(F1318,C1318*E1318*F1318,IF(G1318,C1318*E1318*G1318,IF(H1318,C1318*E1318*H1318,C1318*E1318))))))),2)</f>
        <v>3</v>
      </c>
      <c r="J1318" s="532" t="s">
        <v>114</v>
      </c>
      <c r="K1318" s="111"/>
      <c r="L1318" s="81"/>
      <c r="M1318" s="111"/>
    </row>
    <row r="1319" spans="1:16" s="525" customFormat="1" ht="15" hidden="1">
      <c r="A1319" s="81"/>
      <c r="B1319" s="526"/>
      <c r="C1319" s="527"/>
      <c r="D1319" s="528"/>
      <c r="E1319" s="529"/>
      <c r="F1319" s="530"/>
      <c r="G1319" s="530"/>
      <c r="H1319" s="530"/>
      <c r="I1319" s="585"/>
      <c r="J1319" s="532"/>
      <c r="K1319" s="111"/>
      <c r="L1319" s="81"/>
      <c r="M1319" s="111"/>
    </row>
    <row r="1320" spans="1:16" hidden="1">
      <c r="A1320" s="81"/>
      <c r="B1320" s="111"/>
      <c r="C1320" s="112"/>
      <c r="D1320" s="533"/>
      <c r="E1320" s="534"/>
      <c r="F1320" s="113"/>
      <c r="G1320" s="539"/>
      <c r="H1320" s="81"/>
      <c r="I1320" s="585"/>
      <c r="J1320" s="532" t="s">
        <v>114</v>
      </c>
      <c r="K1320" s="12">
        <f>'doors 2024-25'!H76</f>
        <v>8877.39</v>
      </c>
      <c r="L1320" s="12" t="s">
        <v>268</v>
      </c>
      <c r="M1320" s="11">
        <f>ROUND(I1320*K1320,0)</f>
        <v>0</v>
      </c>
      <c r="P1320" s="19">
        <f>M1718</f>
        <v>40165</v>
      </c>
    </row>
    <row r="1321" spans="1:16" ht="50.25" hidden="1" customHeight="1">
      <c r="A1321" s="81">
        <v>14</v>
      </c>
      <c r="B1321" s="910" t="s">
        <v>2223</v>
      </c>
      <c r="C1321" s="910"/>
      <c r="D1321" s="910"/>
      <c r="E1321" s="910"/>
      <c r="F1321" s="910"/>
      <c r="G1321" s="910"/>
      <c r="H1321" s="910"/>
      <c r="I1321" s="515"/>
      <c r="J1321" s="516"/>
      <c r="K1321" s="81"/>
      <c r="L1321" s="81"/>
      <c r="M1321" s="110"/>
    </row>
    <row r="1322" spans="1:16" s="525" customFormat="1" ht="15" hidden="1">
      <c r="A1322" s="81"/>
      <c r="B1322" s="526" t="s">
        <v>2198</v>
      </c>
      <c r="C1322" s="527"/>
      <c r="D1322" s="528" t="s">
        <v>265</v>
      </c>
      <c r="E1322" s="529">
        <v>3</v>
      </c>
      <c r="F1322" s="530">
        <v>0</v>
      </c>
      <c r="G1322" s="530">
        <v>0</v>
      </c>
      <c r="H1322" s="530">
        <v>0</v>
      </c>
      <c r="I1322" s="531">
        <f>ROUND(IF(AND(F1322:H1322),C1322*E1322*F1322*G1322*H1322,IF(AND(F1322,G1322),C1322*E1322*F1322*G1322,IF(AND(F1322,H1322),C1322*E1322*F1322*H1322,IF(AND(G1322,H1322),C1322*E1322*G1322*H1322,IF(F1322,C1322*E1322*F1322,IF(G1322,C1322*E1322*G1322,IF(H1322,C1322*E1322*H1322,C1322*E1322))))))),2)</f>
        <v>0</v>
      </c>
      <c r="J1322" s="532" t="s">
        <v>114</v>
      </c>
      <c r="K1322" s="111"/>
      <c r="L1322" s="81"/>
      <c r="M1322" s="111"/>
    </row>
    <row r="1323" spans="1:16" s="525" customFormat="1" ht="15" hidden="1">
      <c r="A1323" s="81"/>
      <c r="B1323" s="526"/>
      <c r="C1323" s="527"/>
      <c r="D1323" s="528"/>
      <c r="E1323" s="529"/>
      <c r="F1323" s="530"/>
      <c r="G1323" s="530"/>
      <c r="H1323" s="530"/>
      <c r="I1323" s="531"/>
      <c r="J1323" s="532"/>
      <c r="K1323" s="111"/>
      <c r="L1323" s="81"/>
      <c r="M1323" s="111"/>
    </row>
    <row r="1324" spans="1:16" hidden="1">
      <c r="A1324" s="81"/>
      <c r="B1324" s="111"/>
      <c r="C1324" s="112"/>
      <c r="D1324" s="533"/>
      <c r="E1324" s="534"/>
      <c r="F1324" s="113"/>
      <c r="G1324" s="539"/>
      <c r="H1324" s="81"/>
      <c r="I1324" s="531">
        <f>SUM(I1322:I1323)</f>
        <v>0</v>
      </c>
      <c r="J1324" s="532" t="s">
        <v>114</v>
      </c>
      <c r="K1324" s="12">
        <f>'doors 2024-25'!H86</f>
        <v>3605.21</v>
      </c>
      <c r="L1324" s="12" t="s">
        <v>268</v>
      </c>
      <c r="M1324" s="11">
        <f>ROUND(I1324*K1324,0)</f>
        <v>0</v>
      </c>
    </row>
    <row r="1325" spans="1:16" ht="61.5" hidden="1" customHeight="1">
      <c r="A1325" s="81">
        <v>13</v>
      </c>
      <c r="B1325" s="910" t="s">
        <v>2224</v>
      </c>
      <c r="C1325" s="910"/>
      <c r="D1325" s="910"/>
      <c r="E1325" s="910"/>
      <c r="F1325" s="910"/>
      <c r="G1325" s="910"/>
      <c r="H1325" s="910"/>
      <c r="I1325" s="515"/>
      <c r="J1325" s="516"/>
      <c r="K1325" s="81"/>
      <c r="L1325" s="81"/>
      <c r="M1325" s="110"/>
    </row>
    <row r="1326" spans="1:16" s="525" customFormat="1" ht="15" hidden="1">
      <c r="A1326" s="81"/>
      <c r="B1326" s="526" t="s">
        <v>2199</v>
      </c>
      <c r="C1326" s="527">
        <v>1</v>
      </c>
      <c r="D1326" s="528" t="s">
        <v>265</v>
      </c>
      <c r="E1326" s="529">
        <v>3</v>
      </c>
      <c r="F1326" s="530">
        <v>0</v>
      </c>
      <c r="G1326" s="530">
        <v>0</v>
      </c>
      <c r="H1326" s="530">
        <v>0</v>
      </c>
      <c r="I1326" s="531">
        <f>ROUND(IF(AND(F1326:H1326),C1326*E1326*F1326*G1326*H1326,IF(AND(F1326,G1326),C1326*E1326*F1326*G1326,IF(AND(F1326,H1326),C1326*E1326*F1326*H1326,IF(AND(G1326,H1326),C1326*E1326*G1326*H1326,IF(F1326,C1326*E1326*F1326,IF(G1326,C1326*E1326*G1326,IF(H1326,C1326*E1326*H1326,C1326*E1326))))))),2)</f>
        <v>3</v>
      </c>
      <c r="J1326" s="532" t="s">
        <v>114</v>
      </c>
      <c r="K1326" s="111"/>
      <c r="L1326" s="81"/>
      <c r="M1326" s="111"/>
    </row>
    <row r="1327" spans="1:16" s="525" customFormat="1" ht="15" hidden="1">
      <c r="A1327" s="81"/>
      <c r="B1327" s="526"/>
      <c r="C1327" s="527"/>
      <c r="D1327" s="528"/>
      <c r="E1327" s="529"/>
      <c r="F1327" s="530"/>
      <c r="G1327" s="530"/>
      <c r="H1327" s="530"/>
      <c r="I1327" s="531"/>
      <c r="J1327" s="532"/>
      <c r="K1327" s="111"/>
      <c r="L1327" s="81"/>
      <c r="M1327" s="111"/>
    </row>
    <row r="1328" spans="1:16" hidden="1">
      <c r="A1328" s="81"/>
      <c r="B1328" s="111"/>
      <c r="C1328" s="112"/>
      <c r="D1328" s="533"/>
      <c r="E1328" s="534"/>
      <c r="F1328" s="113"/>
      <c r="G1328" s="539"/>
      <c r="H1328" s="81"/>
      <c r="I1328" s="531"/>
      <c r="J1328" s="532" t="s">
        <v>114</v>
      </c>
      <c r="K1328" s="12">
        <f>'doors 2024-25'!H99</f>
        <v>6373.08</v>
      </c>
      <c r="L1328" s="12" t="s">
        <v>268</v>
      </c>
      <c r="M1328" s="11">
        <f>ROUND(I1328*K1328,0)</f>
        <v>0</v>
      </c>
    </row>
    <row r="1329" spans="1:13" ht="72" hidden="1" customHeight="1">
      <c r="A1329" s="81">
        <v>2</v>
      </c>
      <c r="B1329" s="910" t="s">
        <v>1016</v>
      </c>
      <c r="C1329" s="910"/>
      <c r="D1329" s="910"/>
      <c r="E1329" s="910"/>
      <c r="F1329" s="910"/>
      <c r="G1329" s="910"/>
      <c r="H1329" s="910"/>
      <c r="I1329" s="515"/>
      <c r="J1329" s="516"/>
      <c r="K1329" s="81"/>
      <c r="L1329" s="81"/>
      <c r="M1329" s="110"/>
    </row>
    <row r="1330" spans="1:13" s="525" customFormat="1" ht="15" hidden="1">
      <c r="A1330" s="81"/>
      <c r="B1330" s="111" t="s">
        <v>1329</v>
      </c>
      <c r="C1330" s="547"/>
      <c r="D1330" s="548"/>
      <c r="E1330" s="549"/>
      <c r="F1330" s="550"/>
      <c r="G1330" s="550"/>
      <c r="H1330" s="551"/>
      <c r="I1330" s="552"/>
      <c r="J1330" s="532"/>
      <c r="K1330" s="111"/>
      <c r="L1330" s="81"/>
      <c r="M1330" s="111"/>
    </row>
    <row r="1331" spans="1:13" s="525" customFormat="1" ht="15" hidden="1">
      <c r="A1331" s="81"/>
      <c r="B1331" s="526"/>
      <c r="C1331" s="527">
        <v>1</v>
      </c>
      <c r="D1331" s="528" t="s">
        <v>265</v>
      </c>
      <c r="E1331" s="529">
        <v>2</v>
      </c>
      <c r="F1331" s="530">
        <v>0</v>
      </c>
      <c r="G1331" s="530">
        <v>0</v>
      </c>
      <c r="H1331" s="530">
        <v>0</v>
      </c>
      <c r="I1331" s="531">
        <f>ROUND(IF(AND(F1331:H1331),C1331*E1331*F1331*G1331*H1331,IF(AND(F1331,G1331),C1331*E1331*F1331*G1331,IF(AND(F1331,H1331),C1331*E1331*F1331*H1331,IF(AND(G1331,H1331),C1331*E1331*G1331*H1331,IF(F1331,C1331*E1331*F1331,IF(G1331,C1331*E1331*G1331,IF(H1331,C1331*E1331*H1331,C1331*E1331))))))),2)</f>
        <v>2</v>
      </c>
      <c r="J1331" s="532" t="s">
        <v>114</v>
      </c>
      <c r="K1331" s="111"/>
      <c r="L1331" s="81"/>
      <c r="M1331" s="111"/>
    </row>
    <row r="1332" spans="1:13" hidden="1">
      <c r="A1332" s="81"/>
      <c r="B1332" s="111"/>
      <c r="C1332" s="112"/>
      <c r="D1332" s="533"/>
      <c r="E1332" s="534"/>
      <c r="F1332" s="113"/>
      <c r="G1332" s="539"/>
      <c r="H1332" s="81"/>
      <c r="I1332" s="531"/>
      <c r="J1332" s="532" t="s">
        <v>114</v>
      </c>
      <c r="K1332" s="12">
        <f>'doors 2024-25'!H141</f>
        <v>16617.559999999998</v>
      </c>
      <c r="L1332" s="12" t="s">
        <v>268</v>
      </c>
      <c r="M1332" s="11">
        <f>ROUND(I1332*K1332,0)</f>
        <v>0</v>
      </c>
    </row>
    <row r="1333" spans="1:13" ht="71.25" hidden="1" customHeight="1">
      <c r="A1333" s="81">
        <v>2</v>
      </c>
      <c r="B1333" s="910" t="s">
        <v>1335</v>
      </c>
      <c r="C1333" s="910"/>
      <c r="D1333" s="910"/>
      <c r="E1333" s="910"/>
      <c r="F1333" s="910"/>
      <c r="G1333" s="910"/>
      <c r="H1333" s="910"/>
      <c r="I1333" s="515"/>
      <c r="J1333" s="516"/>
      <c r="K1333" s="81"/>
      <c r="L1333" s="81"/>
      <c r="M1333" s="110"/>
    </row>
    <row r="1334" spans="1:13" s="525" customFormat="1" ht="15" hidden="1">
      <c r="A1334" s="81"/>
      <c r="B1334" s="111" t="s">
        <v>1334</v>
      </c>
      <c r="C1334" s="547"/>
      <c r="D1334" s="548"/>
      <c r="E1334" s="549"/>
      <c r="F1334" s="550"/>
      <c r="G1334" s="550"/>
      <c r="H1334" s="551"/>
      <c r="I1334" s="552"/>
      <c r="J1334" s="532"/>
      <c r="K1334" s="111"/>
      <c r="L1334" s="81"/>
      <c r="M1334" s="111"/>
    </row>
    <row r="1335" spans="1:13" s="525" customFormat="1" ht="15" hidden="1">
      <c r="A1335" s="81"/>
      <c r="B1335" s="526" t="s">
        <v>569</v>
      </c>
      <c r="C1335" s="527">
        <v>1</v>
      </c>
      <c r="D1335" s="528" t="s">
        <v>265</v>
      </c>
      <c r="E1335" s="529">
        <v>1</v>
      </c>
      <c r="F1335" s="530">
        <v>0</v>
      </c>
      <c r="G1335" s="530">
        <v>0</v>
      </c>
      <c r="H1335" s="530">
        <v>0</v>
      </c>
      <c r="I1335" s="531">
        <f>ROUND(IF(AND(F1335:H1335),C1335*E1335*F1335*G1335*H1335,IF(AND(F1335,G1335),C1335*E1335*F1335*G1335,IF(AND(F1335,H1335),C1335*E1335*F1335*H1335,IF(AND(G1335,H1335),C1335*E1335*G1335*H1335,IF(F1335,C1335*E1335*F1335,IF(G1335,C1335*E1335*G1335,IF(H1335,C1335*E1335*H1335,C1335*E1335))))))),2)</f>
        <v>1</v>
      </c>
      <c r="J1335" s="532" t="s">
        <v>114</v>
      </c>
      <c r="K1335" s="111"/>
      <c r="L1335" s="81"/>
      <c r="M1335" s="111"/>
    </row>
    <row r="1336" spans="1:13" s="525" customFormat="1" ht="15" hidden="1">
      <c r="A1336" s="81"/>
      <c r="B1336" s="526"/>
      <c r="C1336" s="527"/>
      <c r="D1336" s="528"/>
      <c r="E1336" s="529"/>
      <c r="F1336" s="530"/>
      <c r="G1336" s="530"/>
      <c r="H1336" s="530"/>
      <c r="I1336" s="531"/>
      <c r="J1336" s="532"/>
      <c r="K1336" s="111"/>
      <c r="L1336" s="81"/>
      <c r="M1336" s="111"/>
    </row>
    <row r="1337" spans="1:13" hidden="1">
      <c r="A1337" s="81"/>
      <c r="B1337" s="111"/>
      <c r="C1337" s="112"/>
      <c r="D1337" s="533"/>
      <c r="E1337" s="534"/>
      <c r="F1337" s="113"/>
      <c r="G1337" s="539"/>
      <c r="H1337" s="81"/>
      <c r="I1337" s="531"/>
      <c r="J1337" s="532" t="s">
        <v>114</v>
      </c>
      <c r="K1337" s="12">
        <f>'doors 2024-25'!H160</f>
        <v>17171.32</v>
      </c>
      <c r="L1337" s="12" t="s">
        <v>268</v>
      </c>
      <c r="M1337" s="11">
        <f>ROUND(I1337*K1337,0)</f>
        <v>0</v>
      </c>
    </row>
    <row r="1338" spans="1:13" ht="71.25" hidden="1" customHeight="1">
      <c r="A1338" s="81">
        <v>9</v>
      </c>
      <c r="B1338" s="910" t="s">
        <v>2139</v>
      </c>
      <c r="C1338" s="910"/>
      <c r="D1338" s="910"/>
      <c r="E1338" s="910"/>
      <c r="F1338" s="910"/>
      <c r="G1338" s="910"/>
      <c r="H1338" s="910"/>
      <c r="I1338" s="515"/>
      <c r="J1338" s="516"/>
      <c r="K1338" s="81"/>
      <c r="L1338" s="81"/>
      <c r="M1338" s="110"/>
    </row>
    <row r="1339" spans="1:13" s="525" customFormat="1" ht="16.5" hidden="1" customHeight="1">
      <c r="A1339" s="81"/>
      <c r="B1339" s="526"/>
      <c r="C1339" s="527">
        <v>1</v>
      </c>
      <c r="D1339" s="528" t="s">
        <v>265</v>
      </c>
      <c r="E1339" s="529">
        <v>2</v>
      </c>
      <c r="F1339" s="530">
        <v>0</v>
      </c>
      <c r="G1339" s="530">
        <v>0</v>
      </c>
      <c r="H1339" s="530">
        <v>0</v>
      </c>
      <c r="I1339" s="531">
        <f>ROUND(IF(AND(F1339:H1339),C1339*E1339*F1339*G1339*H1339,IF(AND(F1339,G1339),C1339*E1339*F1339*G1339,IF(AND(F1339,H1339),C1339*E1339*F1339*H1339,IF(AND(G1339,H1339),C1339*E1339*G1339*H1339,IF(F1339,C1339*E1339*F1339,IF(G1339,C1339*E1339*G1339,IF(H1339,C1339*E1339*H1339,C1339*E1339))))))),2)</f>
        <v>2</v>
      </c>
      <c r="J1339" s="532" t="s">
        <v>114</v>
      </c>
      <c r="K1339" s="111"/>
      <c r="L1339" s="81"/>
      <c r="M1339" s="111"/>
    </row>
    <row r="1340" spans="1:13" s="525" customFormat="1" ht="16.5" hidden="1" customHeight="1">
      <c r="A1340" s="81"/>
      <c r="B1340" s="526"/>
      <c r="C1340" s="527"/>
      <c r="D1340" s="528"/>
      <c r="E1340" s="529"/>
      <c r="F1340" s="530"/>
      <c r="G1340" s="530"/>
      <c r="H1340" s="530"/>
      <c r="I1340" s="531"/>
      <c r="J1340" s="532"/>
      <c r="K1340" s="111"/>
      <c r="L1340" s="81"/>
      <c r="M1340" s="111"/>
    </row>
    <row r="1341" spans="1:13" hidden="1">
      <c r="A1341" s="81"/>
      <c r="B1341" s="111"/>
      <c r="C1341" s="112"/>
      <c r="D1341" s="533"/>
      <c r="E1341" s="534"/>
      <c r="F1341" s="113"/>
      <c r="G1341" s="539"/>
      <c r="H1341" s="81"/>
      <c r="I1341" s="531"/>
      <c r="J1341" s="532" t="s">
        <v>114</v>
      </c>
      <c r="K1341" s="12">
        <f>'doors 2024-25'!H179</f>
        <v>11424.71</v>
      </c>
      <c r="L1341" s="12" t="s">
        <v>268</v>
      </c>
      <c r="M1341" s="11">
        <f>ROUND(I1341*K1341,0)</f>
        <v>0</v>
      </c>
    </row>
    <row r="1342" spans="1:13" ht="71.25" hidden="1" customHeight="1">
      <c r="A1342" s="81">
        <v>3</v>
      </c>
      <c r="B1342" s="910" t="s">
        <v>1336</v>
      </c>
      <c r="C1342" s="910"/>
      <c r="D1342" s="910"/>
      <c r="E1342" s="910"/>
      <c r="F1342" s="910"/>
      <c r="G1342" s="910"/>
      <c r="H1342" s="910"/>
      <c r="I1342" s="515"/>
      <c r="J1342" s="516"/>
      <c r="K1342" s="81"/>
      <c r="L1342" s="81"/>
      <c r="M1342" s="110"/>
    </row>
    <row r="1343" spans="1:13" s="525" customFormat="1" ht="15" hidden="1">
      <c r="A1343" s="81"/>
      <c r="B1343" s="111" t="s">
        <v>1337</v>
      </c>
      <c r="C1343" s="547"/>
      <c r="D1343" s="548"/>
      <c r="E1343" s="549"/>
      <c r="F1343" s="550"/>
      <c r="G1343" s="550"/>
      <c r="H1343" s="551"/>
      <c r="I1343" s="552"/>
      <c r="J1343" s="532"/>
      <c r="K1343" s="111"/>
      <c r="L1343" s="81"/>
      <c r="M1343" s="111"/>
    </row>
    <row r="1344" spans="1:13" s="525" customFormat="1" ht="15" hidden="1">
      <c r="A1344" s="81"/>
      <c r="B1344" s="526" t="s">
        <v>569</v>
      </c>
      <c r="C1344" s="527">
        <v>1</v>
      </c>
      <c r="D1344" s="528" t="s">
        <v>265</v>
      </c>
      <c r="E1344" s="529">
        <v>1</v>
      </c>
      <c r="F1344" s="530">
        <v>0</v>
      </c>
      <c r="G1344" s="530">
        <v>0</v>
      </c>
      <c r="H1344" s="530">
        <v>0</v>
      </c>
      <c r="I1344" s="531">
        <f>ROUND(IF(AND(F1344:H1344),C1344*E1344*F1344*G1344*H1344,IF(AND(F1344,G1344),C1344*E1344*F1344*G1344,IF(AND(F1344,H1344),C1344*E1344*F1344*H1344,IF(AND(G1344,H1344),C1344*E1344*G1344*H1344,IF(F1344,C1344*E1344*F1344,IF(G1344,C1344*E1344*G1344,IF(H1344,C1344*E1344*H1344,C1344*E1344))))))),2)</f>
        <v>1</v>
      </c>
      <c r="J1344" s="532" t="s">
        <v>114</v>
      </c>
      <c r="K1344" s="111"/>
      <c r="L1344" s="81"/>
      <c r="M1344" s="111"/>
    </row>
    <row r="1345" spans="1:18" s="525" customFormat="1" ht="15" hidden="1">
      <c r="A1345" s="81"/>
      <c r="B1345" s="526"/>
      <c r="C1345" s="527"/>
      <c r="D1345" s="528"/>
      <c r="E1345" s="529"/>
      <c r="F1345" s="530"/>
      <c r="G1345" s="530"/>
      <c r="H1345" s="530"/>
      <c r="I1345" s="531"/>
      <c r="J1345" s="532"/>
      <c r="K1345" s="111"/>
      <c r="L1345" s="81"/>
      <c r="M1345" s="111"/>
    </row>
    <row r="1346" spans="1:18" hidden="1">
      <c r="A1346" s="81"/>
      <c r="B1346" s="111"/>
      <c r="C1346" s="112"/>
      <c r="D1346" s="533"/>
      <c r="E1346" s="534"/>
      <c r="F1346" s="113"/>
      <c r="G1346" s="539"/>
      <c r="H1346" s="81"/>
      <c r="I1346" s="531"/>
      <c r="J1346" s="532" t="s">
        <v>114</v>
      </c>
      <c r="K1346" s="12">
        <f>'doors 2024-25'!H198</f>
        <v>16269.72</v>
      </c>
      <c r="L1346" s="12" t="s">
        <v>268</v>
      </c>
      <c r="M1346" s="11">
        <f>ROUND(I1346*K1346,0)</f>
        <v>0</v>
      </c>
    </row>
    <row r="1347" spans="1:18" ht="78" hidden="1" customHeight="1">
      <c r="A1347" s="81">
        <v>16</v>
      </c>
      <c r="B1347" s="910" t="s">
        <v>2253</v>
      </c>
      <c r="C1347" s="910"/>
      <c r="D1347" s="910"/>
      <c r="E1347" s="910"/>
      <c r="F1347" s="910"/>
      <c r="G1347" s="910"/>
      <c r="H1347" s="910"/>
      <c r="I1347" s="515"/>
      <c r="J1347" s="516"/>
      <c r="K1347" s="81"/>
      <c r="L1347" s="81"/>
      <c r="M1347" s="110"/>
    </row>
    <row r="1348" spans="1:18" s="525" customFormat="1" ht="15" hidden="1">
      <c r="A1348" s="81"/>
      <c r="B1348" s="526"/>
      <c r="C1348" s="527">
        <v>1</v>
      </c>
      <c r="D1348" s="528" t="s">
        <v>265</v>
      </c>
      <c r="E1348" s="529">
        <v>1</v>
      </c>
      <c r="F1348" s="530">
        <v>0</v>
      </c>
      <c r="G1348" s="530">
        <v>0</v>
      </c>
      <c r="H1348" s="530">
        <v>0</v>
      </c>
      <c r="I1348" s="585">
        <f>ROUND(IF(AND(F1348:H1348),C1348*E1348*F1348*G1348*H1348,IF(AND(F1348,G1348),C1348*E1348*F1348*G1348,IF(AND(F1348,H1348),C1348*E1348*F1348*H1348,IF(AND(G1348,H1348),C1348*E1348*G1348*H1348,IF(F1348,C1348*E1348*F1348,IF(G1348,C1348*E1348*G1348,IF(H1348,C1348*E1348*H1348,C1348*E1348))))))),2)</f>
        <v>1</v>
      </c>
      <c r="J1348" s="532" t="s">
        <v>114</v>
      </c>
      <c r="K1348" s="111"/>
      <c r="L1348" s="81"/>
      <c r="M1348" s="111"/>
    </row>
    <row r="1349" spans="1:18" hidden="1">
      <c r="A1349" s="81"/>
      <c r="B1349" s="111"/>
      <c r="C1349" s="112"/>
      <c r="D1349" s="533"/>
      <c r="E1349" s="534"/>
      <c r="F1349" s="113"/>
      <c r="G1349" s="539"/>
      <c r="H1349" s="81"/>
      <c r="I1349" s="585"/>
      <c r="J1349" s="532" t="s">
        <v>114</v>
      </c>
      <c r="K1349" s="12">
        <f>'doors 2024-25'!H217</f>
        <v>19258.21</v>
      </c>
      <c r="L1349" s="12" t="s">
        <v>268</v>
      </c>
      <c r="M1349" s="11">
        <f>ROUND(I1349*K1349,0)</f>
        <v>0</v>
      </c>
    </row>
    <row r="1350" spans="1:18" ht="71.25" hidden="1" customHeight="1">
      <c r="A1350" s="81">
        <v>46</v>
      </c>
      <c r="B1350" s="910" t="s">
        <v>681</v>
      </c>
      <c r="C1350" s="910"/>
      <c r="D1350" s="910"/>
      <c r="E1350" s="910"/>
      <c r="F1350" s="910"/>
      <c r="G1350" s="910"/>
      <c r="H1350" s="910"/>
      <c r="I1350" s="515"/>
      <c r="J1350" s="516"/>
      <c r="K1350" s="81"/>
      <c r="L1350" s="81"/>
      <c r="M1350" s="110"/>
    </row>
    <row r="1351" spans="1:18" s="525" customFormat="1" ht="15" hidden="1">
      <c r="A1351" s="81"/>
      <c r="B1351" s="558" t="s">
        <v>1304</v>
      </c>
      <c r="C1351" s="547"/>
      <c r="D1351" s="548"/>
      <c r="E1351" s="549"/>
      <c r="F1351" s="550"/>
      <c r="G1351" s="550"/>
      <c r="H1351" s="551"/>
      <c r="I1351" s="552"/>
      <c r="J1351" s="532"/>
      <c r="K1351" s="111"/>
      <c r="L1351" s="81"/>
      <c r="M1351" s="111"/>
    </row>
    <row r="1352" spans="1:18" s="525" customFormat="1" ht="15" hidden="1">
      <c r="A1352" s="81"/>
      <c r="B1352" s="526" t="s">
        <v>569</v>
      </c>
      <c r="C1352" s="527">
        <v>1</v>
      </c>
      <c r="D1352" s="528" t="s">
        <v>265</v>
      </c>
      <c r="E1352" s="529">
        <v>2</v>
      </c>
      <c r="F1352" s="530">
        <v>0</v>
      </c>
      <c r="G1352" s="530">
        <v>0</v>
      </c>
      <c r="H1352" s="530">
        <v>0</v>
      </c>
      <c r="I1352" s="531">
        <f>ROUND(IF(AND(F1352:H1352),C1352*E1352*F1352*G1352*H1352,IF(AND(F1352,G1352),C1352*E1352*F1352*G1352,IF(AND(F1352,H1352),C1352*E1352*F1352*H1352,IF(AND(G1352,H1352),C1352*E1352*G1352*H1352,IF(F1352,C1352*E1352*F1352,IF(G1352,C1352*E1352*G1352,IF(H1352,C1352*E1352*H1352,C1352*E1352))))))),2)</f>
        <v>2</v>
      </c>
      <c r="J1352" s="532" t="s">
        <v>114</v>
      </c>
      <c r="K1352" s="111"/>
      <c r="L1352" s="81"/>
      <c r="M1352" s="111"/>
    </row>
    <row r="1353" spans="1:18" s="525" customFormat="1" ht="15" hidden="1">
      <c r="A1353" s="81"/>
      <c r="B1353" s="558" t="s">
        <v>1305</v>
      </c>
      <c r="C1353" s="547"/>
      <c r="D1353" s="548"/>
      <c r="E1353" s="549"/>
      <c r="F1353" s="550"/>
      <c r="G1353" s="550"/>
      <c r="H1353" s="551"/>
      <c r="I1353" s="552"/>
      <c r="J1353" s="532"/>
      <c r="K1353" s="111"/>
      <c r="L1353" s="81"/>
      <c r="M1353" s="111"/>
    </row>
    <row r="1354" spans="1:18" s="525" customFormat="1" ht="15" hidden="1">
      <c r="A1354" s="81"/>
      <c r="B1354" s="526" t="s">
        <v>570</v>
      </c>
      <c r="C1354" s="527">
        <v>1</v>
      </c>
      <c r="D1354" s="528" t="s">
        <v>265</v>
      </c>
      <c r="E1354" s="529">
        <v>3</v>
      </c>
      <c r="F1354" s="530">
        <v>0</v>
      </c>
      <c r="G1354" s="530">
        <v>0</v>
      </c>
      <c r="H1354" s="530">
        <v>0</v>
      </c>
      <c r="I1354" s="531">
        <f>ROUND(IF(AND(F1354:H1354),C1354*E1354*F1354*G1354*H1354,IF(AND(F1354,G1354),C1354*E1354*F1354*G1354,IF(AND(F1354,H1354),C1354*E1354*F1354*H1354,IF(AND(G1354,H1354),C1354*E1354*G1354*H1354,IF(F1354,C1354*E1354*F1354,IF(G1354,C1354*E1354*G1354,IF(H1354,C1354*E1354*H1354,C1354*E1354))))))),2)</f>
        <v>3</v>
      </c>
      <c r="J1354" s="532" t="s">
        <v>114</v>
      </c>
      <c r="K1354" s="111"/>
      <c r="L1354" s="81"/>
      <c r="M1354" s="111"/>
    </row>
    <row r="1355" spans="1:18" hidden="1">
      <c r="A1355" s="81"/>
      <c r="B1355" s="111"/>
      <c r="C1355" s="112"/>
      <c r="D1355" s="533"/>
      <c r="E1355" s="534"/>
      <c r="F1355" s="113"/>
      <c r="G1355" s="539"/>
      <c r="H1355" s="81"/>
      <c r="I1355" s="531"/>
      <c r="J1355" s="532" t="s">
        <v>114</v>
      </c>
      <c r="K1355" s="12">
        <f>'doors 2024-25'!H236</f>
        <v>13013.39</v>
      </c>
      <c r="L1355" s="12" t="s">
        <v>268</v>
      </c>
      <c r="M1355" s="11">
        <f>ROUND(I1355*K1355,0)</f>
        <v>0</v>
      </c>
    </row>
    <row r="1356" spans="1:18" ht="149.25" customHeight="1">
      <c r="A1356" s="81">
        <v>18</v>
      </c>
      <c r="B1356" s="910" t="s">
        <v>2174</v>
      </c>
      <c r="C1356" s="910"/>
      <c r="D1356" s="910"/>
      <c r="E1356" s="910"/>
      <c r="F1356" s="910"/>
      <c r="G1356" s="910"/>
      <c r="H1356" s="910"/>
      <c r="I1356" s="515"/>
      <c r="J1356" s="516"/>
      <c r="K1356" s="81"/>
      <c r="L1356" s="81"/>
      <c r="M1356" s="110"/>
    </row>
    <row r="1357" spans="1:18" s="525" customFormat="1" ht="16.5" customHeight="1">
      <c r="A1357" s="81"/>
      <c r="B1357" s="526"/>
      <c r="C1357" s="527">
        <v>1</v>
      </c>
      <c r="D1357" s="528" t="s">
        <v>265</v>
      </c>
      <c r="E1357" s="529">
        <v>1</v>
      </c>
      <c r="F1357" s="530">
        <v>1.2</v>
      </c>
      <c r="G1357" s="530">
        <v>0</v>
      </c>
      <c r="H1357" s="530">
        <v>2.1</v>
      </c>
      <c r="I1357" s="531">
        <f t="shared" ref="I1357" si="105">ROUND(IF(AND(F1357:H1357),C1357*E1357*F1357*G1357*H1357,IF(AND(F1357,G1357),C1357*E1357*F1357*G1357,IF(AND(F1357,H1357),C1357*E1357*F1357*H1357,IF(AND(G1357,H1357),C1357*E1357*G1357*H1357,IF(F1357,C1357*E1357*F1357,IF(G1357,C1357*E1357*G1357,IF(H1357,C1357*E1357*H1357,C1357*E1357))))))),2)</f>
        <v>2.52</v>
      </c>
      <c r="J1357" s="532" t="s">
        <v>102</v>
      </c>
      <c r="K1357" s="111"/>
      <c r="L1357" s="81"/>
      <c r="M1357" s="111"/>
      <c r="O1357" s="601"/>
      <c r="R1357" s="602"/>
    </row>
    <row r="1358" spans="1:18" s="525" customFormat="1" ht="16.5" customHeight="1">
      <c r="A1358" s="81"/>
      <c r="B1358" s="526"/>
      <c r="C1358" s="527">
        <v>1</v>
      </c>
      <c r="D1358" s="528" t="s">
        <v>265</v>
      </c>
      <c r="E1358" s="529">
        <v>2</v>
      </c>
      <c r="F1358" s="530">
        <v>0.9</v>
      </c>
      <c r="G1358" s="530">
        <v>0</v>
      </c>
      <c r="H1358" s="530">
        <v>2.1</v>
      </c>
      <c r="I1358" s="531">
        <f t="shared" ref="I1358" si="106">ROUND(IF(AND(F1358:H1358),C1358*E1358*F1358*G1358*H1358,IF(AND(F1358,G1358),C1358*E1358*F1358*G1358,IF(AND(F1358,H1358),C1358*E1358*F1358*H1358,IF(AND(G1358,H1358),C1358*E1358*G1358*H1358,IF(F1358,C1358*E1358*F1358,IF(G1358,C1358*E1358*G1358,IF(H1358,C1358*E1358*H1358,C1358*E1358))))))),2)</f>
        <v>3.78</v>
      </c>
      <c r="J1358" s="532" t="s">
        <v>102</v>
      </c>
      <c r="K1358" s="111"/>
      <c r="L1358" s="81"/>
      <c r="M1358" s="111"/>
      <c r="O1358" s="601"/>
      <c r="R1358" s="602"/>
    </row>
    <row r="1359" spans="1:18" s="525" customFormat="1" ht="16.5" customHeight="1">
      <c r="A1359" s="81"/>
      <c r="B1359" s="526"/>
      <c r="C1359" s="527"/>
      <c r="D1359" s="528"/>
      <c r="E1359" s="529"/>
      <c r="F1359" s="530"/>
      <c r="G1359" s="530"/>
      <c r="H1359" s="530"/>
      <c r="I1359" s="531"/>
      <c r="J1359" s="532"/>
      <c r="K1359" s="111"/>
      <c r="L1359" s="81"/>
      <c r="M1359" s="111"/>
      <c r="O1359" s="601"/>
      <c r="R1359" s="602"/>
    </row>
    <row r="1360" spans="1:18">
      <c r="A1360" s="81"/>
      <c r="B1360" s="111"/>
      <c r="C1360" s="112"/>
      <c r="D1360" s="533"/>
      <c r="E1360" s="534"/>
      <c r="F1360" s="113"/>
      <c r="G1360" s="539"/>
      <c r="H1360" s="81"/>
      <c r="I1360" s="531">
        <f>SUM(I1357:I1359)</f>
        <v>6.3</v>
      </c>
      <c r="J1360" s="532" t="s">
        <v>102</v>
      </c>
      <c r="K1360" s="12">
        <f>'doors 2024-25'!H262</f>
        <v>8363.11</v>
      </c>
      <c r="L1360" s="12" t="s">
        <v>267</v>
      </c>
      <c r="M1360" s="11">
        <f>ROUND(I1360*K1360,0)</f>
        <v>52688</v>
      </c>
    </row>
    <row r="1361" spans="1:18" ht="72" hidden="1" customHeight="1">
      <c r="A1361" s="81">
        <v>8</v>
      </c>
      <c r="B1361" s="910" t="s">
        <v>2179</v>
      </c>
      <c r="C1361" s="910"/>
      <c r="D1361" s="910"/>
      <c r="E1361" s="910"/>
      <c r="F1361" s="910"/>
      <c r="G1361" s="910"/>
      <c r="H1361" s="910"/>
      <c r="I1361" s="515"/>
      <c r="J1361" s="516"/>
      <c r="K1361" s="81"/>
      <c r="L1361" s="81"/>
      <c r="M1361" s="110"/>
    </row>
    <row r="1362" spans="1:18" s="525" customFormat="1" ht="16.5" hidden="1" customHeight="1">
      <c r="A1362" s="81"/>
      <c r="B1362" s="526"/>
      <c r="C1362" s="527">
        <v>1</v>
      </c>
      <c r="D1362" s="528" t="s">
        <v>265</v>
      </c>
      <c r="E1362" s="529">
        <v>4</v>
      </c>
      <c r="F1362" s="530">
        <v>0.9</v>
      </c>
      <c r="G1362" s="530">
        <v>0</v>
      </c>
      <c r="H1362" s="530">
        <v>2.1</v>
      </c>
      <c r="I1362" s="531">
        <f t="shared" ref="I1362" si="107">ROUND(IF(AND(F1362:H1362),C1362*E1362*F1362*G1362*H1362,IF(AND(F1362,G1362),C1362*E1362*F1362*G1362,IF(AND(F1362,H1362),C1362*E1362*F1362*H1362,IF(AND(G1362,H1362),C1362*E1362*G1362*H1362,IF(F1362,C1362*E1362*F1362,IF(G1362,C1362*E1362*G1362,IF(H1362,C1362*E1362*H1362,C1362*E1362))))))),2)</f>
        <v>7.56</v>
      </c>
      <c r="J1362" s="532" t="s">
        <v>102</v>
      </c>
      <c r="K1362" s="111"/>
      <c r="L1362" s="81"/>
      <c r="M1362" s="111"/>
      <c r="O1362" s="601"/>
      <c r="R1362" s="602"/>
    </row>
    <row r="1363" spans="1:18" s="525" customFormat="1" ht="16.5" hidden="1" customHeight="1">
      <c r="A1363" s="81"/>
      <c r="B1363" s="526" t="s">
        <v>2269</v>
      </c>
      <c r="C1363" s="527">
        <v>1</v>
      </c>
      <c r="D1363" s="528" t="s">
        <v>265</v>
      </c>
      <c r="E1363" s="529">
        <v>3</v>
      </c>
      <c r="F1363" s="530">
        <v>0.9</v>
      </c>
      <c r="G1363" s="530">
        <v>0</v>
      </c>
      <c r="H1363" s="530">
        <v>2.1</v>
      </c>
      <c r="I1363" s="531">
        <f t="shared" ref="I1363" si="108">ROUND(IF(AND(F1363:H1363),C1363*E1363*F1363*G1363*H1363,IF(AND(F1363,G1363),C1363*E1363*F1363*G1363,IF(AND(F1363,H1363),C1363*E1363*F1363*H1363,IF(AND(G1363,H1363),C1363*E1363*G1363*H1363,IF(F1363,C1363*E1363*F1363,IF(G1363,C1363*E1363*G1363,IF(H1363,C1363*E1363*H1363,C1363*E1363))))))),2)</f>
        <v>5.67</v>
      </c>
      <c r="J1363" s="532" t="s">
        <v>102</v>
      </c>
      <c r="K1363" s="111"/>
      <c r="L1363" s="81"/>
      <c r="M1363" s="111"/>
      <c r="O1363" s="601"/>
      <c r="R1363" s="602"/>
    </row>
    <row r="1364" spans="1:18" s="525" customFormat="1" ht="16.5" hidden="1" customHeight="1">
      <c r="A1364" s="81"/>
      <c r="B1364" s="526"/>
      <c r="C1364" s="527"/>
      <c r="D1364" s="528"/>
      <c r="E1364" s="529"/>
      <c r="F1364" s="530"/>
      <c r="G1364" s="530"/>
      <c r="H1364" s="530"/>
      <c r="I1364" s="531"/>
      <c r="J1364" s="532"/>
      <c r="K1364" s="111"/>
      <c r="L1364" s="81"/>
      <c r="M1364" s="111"/>
      <c r="O1364" s="601"/>
      <c r="R1364" s="602"/>
    </row>
    <row r="1365" spans="1:18" hidden="1">
      <c r="A1365" s="81"/>
      <c r="B1365" s="111"/>
      <c r="C1365" s="112"/>
      <c r="D1365" s="533"/>
      <c r="E1365" s="534"/>
      <c r="F1365" s="113"/>
      <c r="G1365" s="539"/>
      <c r="H1365" s="81"/>
      <c r="I1365" s="531"/>
      <c r="J1365" s="532" t="s">
        <v>102</v>
      </c>
      <c r="K1365" s="12">
        <f>'doors 2024-25'!H274</f>
        <v>4452.1400000000003</v>
      </c>
      <c r="L1365" s="12" t="s">
        <v>267</v>
      </c>
      <c r="M1365" s="11">
        <f>ROUND(I1365*K1365,0)</f>
        <v>0</v>
      </c>
    </row>
    <row r="1366" spans="1:18" ht="57.75" hidden="1" customHeight="1">
      <c r="A1366" s="81">
        <v>2</v>
      </c>
      <c r="B1366" s="910" t="s">
        <v>2099</v>
      </c>
      <c r="C1366" s="910"/>
      <c r="D1366" s="910"/>
      <c r="E1366" s="910"/>
      <c r="F1366" s="910"/>
      <c r="G1366" s="910"/>
      <c r="H1366" s="910"/>
      <c r="I1366" s="515"/>
      <c r="J1366" s="516"/>
      <c r="K1366" s="81"/>
      <c r="L1366" s="81"/>
      <c r="M1366" s="110"/>
    </row>
    <row r="1367" spans="1:18" s="525" customFormat="1" ht="16.5" hidden="1" customHeight="1">
      <c r="A1367" s="81"/>
      <c r="B1367" s="526" t="s">
        <v>2097</v>
      </c>
      <c r="C1367" s="527">
        <v>1</v>
      </c>
      <c r="D1367" s="528" t="s">
        <v>265</v>
      </c>
      <c r="E1367" s="529">
        <v>7</v>
      </c>
      <c r="F1367" s="530">
        <v>0</v>
      </c>
      <c r="G1367" s="530">
        <v>0</v>
      </c>
      <c r="H1367" s="530">
        <v>0</v>
      </c>
      <c r="I1367" s="585">
        <f>ROUND(IF(AND(F1367:H1367),C1367*E1367*F1367*G1367*H1367,IF(AND(F1367,G1367),C1367*E1367*F1367*G1367,IF(AND(F1367,H1367),C1367*E1367*F1367*H1367,IF(AND(G1367,H1367),C1367*E1367*G1367*H1367,IF(F1367,C1367*E1367*F1367,IF(G1367,C1367*E1367*G1367,IF(H1367,C1367*E1367*H1367,C1367*E1367))))))),2)</f>
        <v>7</v>
      </c>
      <c r="J1367" s="532" t="s">
        <v>114</v>
      </c>
      <c r="K1367" s="111"/>
      <c r="L1367" s="81"/>
      <c r="M1367" s="111"/>
      <c r="O1367" s="529"/>
      <c r="R1367" s="602"/>
    </row>
    <row r="1368" spans="1:18" s="525" customFormat="1" ht="16.5" hidden="1" customHeight="1">
      <c r="A1368" s="81"/>
      <c r="B1368" s="526"/>
      <c r="C1368" s="527"/>
      <c r="D1368" s="528"/>
      <c r="E1368" s="529"/>
      <c r="F1368" s="530"/>
      <c r="G1368" s="530"/>
      <c r="H1368" s="530"/>
      <c r="I1368" s="585"/>
      <c r="J1368" s="532"/>
      <c r="K1368" s="111"/>
      <c r="L1368" s="81"/>
      <c r="M1368" s="111"/>
      <c r="O1368" s="601"/>
      <c r="R1368" s="602"/>
    </row>
    <row r="1369" spans="1:18" hidden="1">
      <c r="A1369" s="81"/>
      <c r="B1369" s="111"/>
      <c r="C1369" s="112"/>
      <c r="D1369" s="533"/>
      <c r="E1369" s="534"/>
      <c r="F1369" s="113"/>
      <c r="G1369" s="539"/>
      <c r="H1369" s="81"/>
      <c r="I1369" s="585"/>
      <c r="J1369" s="532" t="s">
        <v>114</v>
      </c>
      <c r="K1369" s="12">
        <f>'DATA 2024-25'!G1026</f>
        <v>4193.1000000000004</v>
      </c>
      <c r="L1369" s="12" t="s">
        <v>268</v>
      </c>
      <c r="M1369" s="11">
        <f>ROUND(I1369*K1369,0)</f>
        <v>0</v>
      </c>
    </row>
    <row r="1370" spans="1:18" ht="57.75" hidden="1" customHeight="1">
      <c r="A1370" s="81">
        <v>9</v>
      </c>
      <c r="B1370" s="910" t="s">
        <v>2315</v>
      </c>
      <c r="C1370" s="910"/>
      <c r="D1370" s="910"/>
      <c r="E1370" s="910"/>
      <c r="F1370" s="910"/>
      <c r="G1370" s="910"/>
      <c r="H1370" s="910"/>
      <c r="I1370" s="515"/>
      <c r="J1370" s="516"/>
      <c r="K1370" s="81"/>
      <c r="L1370" s="81"/>
      <c r="M1370" s="110"/>
    </row>
    <row r="1371" spans="1:18" s="525" customFormat="1" ht="16.5" hidden="1" customHeight="1">
      <c r="A1371" s="81"/>
      <c r="B1371" s="526"/>
      <c r="C1371" s="527">
        <v>1</v>
      </c>
      <c r="D1371" s="528" t="s">
        <v>265</v>
      </c>
      <c r="E1371" s="529">
        <v>4</v>
      </c>
      <c r="F1371" s="530">
        <v>0</v>
      </c>
      <c r="G1371" s="530">
        <v>0</v>
      </c>
      <c r="H1371" s="530">
        <v>0</v>
      </c>
      <c r="I1371" s="585">
        <f>ROUND(IF(AND(F1371:H1371),C1371*E1371*F1371*G1371*H1371,IF(AND(F1371,G1371),C1371*E1371*F1371*G1371,IF(AND(F1371,H1371),C1371*E1371*F1371*H1371,IF(AND(G1371,H1371),C1371*E1371*G1371*H1371,IF(F1371,C1371*E1371*F1371,IF(G1371,C1371*E1371*G1371,IF(H1371,C1371*E1371*H1371,C1371*E1371))))))),2)</f>
        <v>4</v>
      </c>
      <c r="J1371" s="532" t="s">
        <v>114</v>
      </c>
      <c r="K1371" s="111"/>
      <c r="L1371" s="81"/>
      <c r="M1371" s="111"/>
      <c r="O1371" s="529"/>
      <c r="R1371" s="602"/>
    </row>
    <row r="1372" spans="1:18" s="525" customFormat="1" ht="16.5" hidden="1" customHeight="1">
      <c r="A1372" s="81"/>
      <c r="B1372" s="526"/>
      <c r="C1372" s="527"/>
      <c r="D1372" s="528"/>
      <c r="E1372" s="529"/>
      <c r="F1372" s="530"/>
      <c r="G1372" s="530"/>
      <c r="H1372" s="530"/>
      <c r="I1372" s="585"/>
      <c r="J1372" s="532"/>
      <c r="K1372" s="111"/>
      <c r="L1372" s="81"/>
      <c r="M1372" s="111"/>
      <c r="O1372" s="601"/>
      <c r="R1372" s="602"/>
    </row>
    <row r="1373" spans="1:18" hidden="1">
      <c r="A1373" s="81"/>
      <c r="B1373" s="111"/>
      <c r="C1373" s="112"/>
      <c r="D1373" s="533"/>
      <c r="E1373" s="534"/>
      <c r="F1373" s="113"/>
      <c r="G1373" s="539"/>
      <c r="H1373" s="81"/>
      <c r="I1373" s="585"/>
      <c r="J1373" s="532" t="s">
        <v>114</v>
      </c>
      <c r="K1373" s="12">
        <f>'doors 2024-25'!H111</f>
        <v>6107.37</v>
      </c>
      <c r="L1373" s="12" t="s">
        <v>268</v>
      </c>
      <c r="M1373" s="11">
        <f>ROUND(I1373*K1373,0)</f>
        <v>0</v>
      </c>
    </row>
    <row r="1374" spans="1:18" ht="57.75" hidden="1" customHeight="1">
      <c r="A1374" s="81">
        <v>10</v>
      </c>
      <c r="B1374" s="910" t="s">
        <v>2317</v>
      </c>
      <c r="C1374" s="910"/>
      <c r="D1374" s="910"/>
      <c r="E1374" s="910"/>
      <c r="F1374" s="910"/>
      <c r="G1374" s="910"/>
      <c r="H1374" s="910"/>
      <c r="I1374" s="515"/>
      <c r="J1374" s="516"/>
      <c r="K1374" s="81"/>
      <c r="L1374" s="81"/>
      <c r="M1374" s="110"/>
    </row>
    <row r="1375" spans="1:18" s="525" customFormat="1" ht="16.5" hidden="1" customHeight="1">
      <c r="A1375" s="81"/>
      <c r="B1375" s="526"/>
      <c r="C1375" s="527">
        <v>1</v>
      </c>
      <c r="D1375" s="528" t="s">
        <v>265</v>
      </c>
      <c r="E1375" s="529">
        <v>1</v>
      </c>
      <c r="F1375" s="530">
        <v>0</v>
      </c>
      <c r="G1375" s="530">
        <v>0</v>
      </c>
      <c r="H1375" s="530">
        <v>0</v>
      </c>
      <c r="I1375" s="585">
        <f>ROUND(IF(AND(F1375:H1375),C1375*E1375*F1375*G1375*H1375,IF(AND(F1375,G1375),C1375*E1375*F1375*G1375,IF(AND(F1375,H1375),C1375*E1375*F1375*H1375,IF(AND(G1375,H1375),C1375*E1375*G1375*H1375,IF(F1375,C1375*E1375*F1375,IF(G1375,C1375*E1375*G1375,IF(H1375,C1375*E1375*H1375,C1375*E1375))))))),2)</f>
        <v>1</v>
      </c>
      <c r="J1375" s="532" t="s">
        <v>114</v>
      </c>
      <c r="K1375" s="111"/>
      <c r="L1375" s="81"/>
      <c r="M1375" s="111"/>
      <c r="O1375" s="529"/>
      <c r="R1375" s="602"/>
    </row>
    <row r="1376" spans="1:18" s="525" customFormat="1" ht="16.5" hidden="1" customHeight="1">
      <c r="A1376" s="81"/>
      <c r="B1376" s="526"/>
      <c r="C1376" s="527"/>
      <c r="D1376" s="528"/>
      <c r="E1376" s="529"/>
      <c r="F1376" s="530"/>
      <c r="G1376" s="530"/>
      <c r="H1376" s="530"/>
      <c r="I1376" s="585"/>
      <c r="J1376" s="532"/>
      <c r="K1376" s="111"/>
      <c r="L1376" s="81"/>
      <c r="M1376" s="111"/>
      <c r="O1376" s="601"/>
      <c r="R1376" s="602"/>
    </row>
    <row r="1377" spans="1:15" hidden="1">
      <c r="A1377" s="81"/>
      <c r="B1377" s="111"/>
      <c r="C1377" s="112"/>
      <c r="D1377" s="533"/>
      <c r="E1377" s="534"/>
      <c r="F1377" s="113"/>
      <c r="G1377" s="539"/>
      <c r="H1377" s="81"/>
      <c r="I1377" s="585"/>
      <c r="J1377" s="532" t="s">
        <v>114</v>
      </c>
      <c r="K1377" s="12">
        <f>'doors 2024-25'!H123</f>
        <v>8032.4400000000005</v>
      </c>
      <c r="L1377" s="12" t="s">
        <v>268</v>
      </c>
      <c r="M1377" s="11">
        <f>ROUND(I1377*K1377,0)</f>
        <v>0</v>
      </c>
    </row>
    <row r="1378" spans="1:15" ht="192.75" customHeight="1">
      <c r="A1378" s="81">
        <v>19</v>
      </c>
      <c r="B1378" s="917" t="s">
        <v>746</v>
      </c>
      <c r="C1378" s="917"/>
      <c r="D1378" s="917"/>
      <c r="E1378" s="917"/>
      <c r="F1378" s="917"/>
      <c r="G1378" s="917"/>
      <c r="H1378" s="917"/>
      <c r="I1378" s="515"/>
      <c r="J1378" s="516"/>
      <c r="K1378" s="81"/>
      <c r="L1378" s="81"/>
      <c r="M1378" s="110"/>
    </row>
    <row r="1379" spans="1:15" s="525" customFormat="1" ht="16.5" customHeight="1">
      <c r="A1379" s="81"/>
      <c r="B1379" s="526" t="s">
        <v>2291</v>
      </c>
      <c r="C1379" s="527">
        <v>1</v>
      </c>
      <c r="D1379" s="528" t="s">
        <v>265</v>
      </c>
      <c r="E1379" s="529">
        <v>5</v>
      </c>
      <c r="F1379" s="530">
        <v>1.5</v>
      </c>
      <c r="G1379" s="530">
        <v>0</v>
      </c>
      <c r="H1379" s="530">
        <v>1.35</v>
      </c>
      <c r="I1379" s="531">
        <f>ROUND(IF(AND(F1379:H1379),C1379*E1379*F1379*G1379*H1379,IF(AND(F1379,G1379),C1379*E1379*F1379*G1379,IF(AND(F1379,H1379),C1379*E1379*F1379*H1379,IF(AND(G1379,H1379),C1379*E1379*G1379*H1379,IF(F1379,C1379*E1379*F1379,IF(G1379,C1379*E1379*G1379,IF(H1379,C1379*E1379*H1379,C1379*E1379))))))),2)</f>
        <v>10.130000000000001</v>
      </c>
      <c r="J1379" s="532" t="s">
        <v>102</v>
      </c>
      <c r="K1379" s="111"/>
      <c r="L1379" s="81"/>
      <c r="M1379" s="111"/>
      <c r="O1379" s="529">
        <v>5</v>
      </c>
    </row>
    <row r="1380" spans="1:15" s="525" customFormat="1" ht="16.5" customHeight="1">
      <c r="A1380" s="81"/>
      <c r="B1380" s="526"/>
      <c r="C1380" s="527">
        <v>1</v>
      </c>
      <c r="D1380" s="528" t="s">
        <v>265</v>
      </c>
      <c r="E1380" s="529">
        <v>3</v>
      </c>
      <c r="F1380" s="530">
        <v>0.9</v>
      </c>
      <c r="G1380" s="530">
        <v>0</v>
      </c>
      <c r="H1380" s="530">
        <v>1.35</v>
      </c>
      <c r="I1380" s="531">
        <f>ROUND(IF(AND(F1380:H1380),C1380*E1380*F1380*G1380*H1380,IF(AND(F1380,G1380),C1380*E1380*F1380*G1380,IF(AND(F1380,H1380),C1380*E1380*F1380*H1380,IF(AND(G1380,H1380),C1380*E1380*G1380*H1380,IF(F1380,C1380*E1380*F1380,IF(G1380,C1380*E1380*G1380,IF(H1380,C1380*E1380*H1380,C1380*E1380))))))),2)</f>
        <v>3.65</v>
      </c>
      <c r="J1380" s="532" t="s">
        <v>102</v>
      </c>
      <c r="K1380" s="111"/>
      <c r="L1380" s="81"/>
      <c r="M1380" s="111"/>
      <c r="O1380" s="601"/>
    </row>
    <row r="1381" spans="1:15" s="525" customFormat="1" ht="16.5" customHeight="1">
      <c r="A1381" s="81"/>
      <c r="B1381" s="526"/>
      <c r="C1381" s="527"/>
      <c r="D1381" s="528"/>
      <c r="E1381" s="529"/>
      <c r="F1381" s="530"/>
      <c r="G1381" s="530"/>
      <c r="H1381" s="530"/>
      <c r="I1381" s="531"/>
      <c r="J1381" s="532"/>
      <c r="K1381" s="111"/>
      <c r="L1381" s="81"/>
      <c r="M1381" s="111"/>
    </row>
    <row r="1382" spans="1:15">
      <c r="A1382" s="81"/>
      <c r="B1382" s="111"/>
      <c r="C1382" s="112"/>
      <c r="D1382" s="533"/>
      <c r="E1382" s="534"/>
      <c r="F1382" s="113"/>
      <c r="G1382" s="539"/>
      <c r="H1382" s="81"/>
      <c r="I1382" s="531">
        <f>SUM(I1379:I1381)</f>
        <v>13.780000000000001</v>
      </c>
      <c r="J1382" s="532" t="s">
        <v>102</v>
      </c>
      <c r="K1382" s="12">
        <f>'doors 2024-25'!H280</f>
        <v>14309.01</v>
      </c>
      <c r="L1382" s="12" t="s">
        <v>267</v>
      </c>
      <c r="M1382" s="11">
        <f>ROUND(I1382*K1382,0)</f>
        <v>197178</v>
      </c>
    </row>
    <row r="1383" spans="1:15" hidden="1">
      <c r="A1383" s="81"/>
      <c r="B1383" s="473" t="s">
        <v>1891</v>
      </c>
      <c r="C1383" s="565"/>
      <c r="D1383" s="566"/>
      <c r="E1383" s="567"/>
      <c r="F1383" s="473"/>
      <c r="G1383" s="473"/>
      <c r="H1383" s="473"/>
      <c r="I1383" s="515"/>
      <c r="J1383" s="516"/>
      <c r="K1383" s="81"/>
      <c r="L1383" s="517"/>
      <c r="M1383" s="110"/>
    </row>
    <row r="1384" spans="1:15" s="525" customFormat="1" ht="16.5" hidden="1" customHeight="1">
      <c r="A1384" s="81"/>
      <c r="B1384" s="526" t="s">
        <v>956</v>
      </c>
      <c r="C1384" s="527">
        <v>1</v>
      </c>
      <c r="D1384" s="528" t="s">
        <v>265</v>
      </c>
      <c r="E1384" s="529">
        <v>4</v>
      </c>
      <c r="F1384" s="530">
        <v>1.2</v>
      </c>
      <c r="G1384" s="530">
        <v>0</v>
      </c>
      <c r="H1384" s="530">
        <v>1.2</v>
      </c>
      <c r="I1384" s="531">
        <f>ROUND(IF(AND(F1384:H1384),C1384*E1384*F1384*G1384*H1384,IF(AND(F1384,G1384),C1384*E1384*F1384*G1384,IF(AND(F1384,H1384),C1384*E1384*F1384*H1384,IF(AND(G1384,H1384),C1384*E1384*G1384*H1384,IF(F1384,C1384*E1384*F1384,IF(G1384,C1384*E1384*G1384,IF(H1384,C1384*E1384*H1384,C1384*E1384))))))),2)</f>
        <v>5.76</v>
      </c>
      <c r="J1384" s="532" t="s">
        <v>102</v>
      </c>
      <c r="K1384" s="111"/>
      <c r="L1384" s="81"/>
      <c r="M1384" s="111"/>
    </row>
    <row r="1385" spans="1:15" s="525" customFormat="1" ht="16.5" hidden="1" customHeight="1">
      <c r="A1385" s="81"/>
      <c r="B1385" s="526"/>
      <c r="C1385" s="527"/>
      <c r="D1385" s="528"/>
      <c r="E1385" s="529"/>
      <c r="F1385" s="530"/>
      <c r="G1385" s="530"/>
      <c r="H1385" s="530"/>
      <c r="I1385" s="531"/>
      <c r="J1385" s="532"/>
      <c r="K1385" s="111"/>
      <c r="L1385" s="81"/>
      <c r="M1385" s="111"/>
    </row>
    <row r="1386" spans="1:15" hidden="1">
      <c r="A1386" s="81"/>
      <c r="B1386" s="111"/>
      <c r="C1386" s="112"/>
      <c r="D1386" s="533"/>
      <c r="E1386" s="534"/>
      <c r="F1386" s="113"/>
      <c r="G1386" s="539"/>
      <c r="H1386" s="81"/>
      <c r="I1386" s="531"/>
      <c r="J1386" s="532" t="s">
        <v>102</v>
      </c>
      <c r="K1386" s="12">
        <f>'doors 2024-25'!H277</f>
        <v>6698</v>
      </c>
      <c r="L1386" s="12" t="s">
        <v>267</v>
      </c>
      <c r="M1386" s="11">
        <f>ROUND(I1386*K1386,0)</f>
        <v>0</v>
      </c>
    </row>
    <row r="1387" spans="1:15" s="525" customFormat="1" ht="16.5" hidden="1" customHeight="1">
      <c r="A1387" s="81">
        <v>4</v>
      </c>
      <c r="B1387" s="111" t="s">
        <v>1392</v>
      </c>
      <c r="C1387" s="547" t="s">
        <v>1400</v>
      </c>
      <c r="D1387" s="548"/>
      <c r="E1387" s="549"/>
      <c r="F1387" s="550"/>
      <c r="G1387" s="550"/>
      <c r="H1387" s="551"/>
      <c r="I1387" s="552"/>
      <c r="J1387" s="532"/>
      <c r="K1387" s="111"/>
      <c r="L1387" s="81"/>
      <c r="M1387" s="111"/>
    </row>
    <row r="1388" spans="1:15" s="525" customFormat="1" ht="16.5" hidden="1" customHeight="1">
      <c r="A1388" s="81"/>
      <c r="B1388" s="526"/>
      <c r="C1388" s="527">
        <v>1</v>
      </c>
      <c r="D1388" s="528" t="s">
        <v>265</v>
      </c>
      <c r="E1388" s="529">
        <v>1</v>
      </c>
      <c r="F1388" s="530">
        <v>1.5</v>
      </c>
      <c r="G1388" s="530">
        <v>0</v>
      </c>
      <c r="H1388" s="530">
        <v>1.35</v>
      </c>
      <c r="I1388" s="531">
        <f>ROUND(IF(AND(F1388:H1388),C1388*E1388*F1388*G1388*H1388,IF(AND(F1388,G1388),C1388*E1388*F1388*G1388,IF(AND(F1388,H1388),C1388*E1388*F1388*H1388,IF(AND(G1388,H1388),C1388*E1388*G1388*H1388,IF(F1388,C1388*E1388*F1388,IF(G1388,C1388*E1388*G1388,IF(H1388,C1388*E1388*H1388,C1388*E1388))))))),2)</f>
        <v>2.0299999999999998</v>
      </c>
      <c r="J1388" s="532" t="s">
        <v>102</v>
      </c>
      <c r="K1388" s="111"/>
      <c r="L1388" s="81"/>
      <c r="M1388" s="111"/>
      <c r="O1388" s="529">
        <v>1</v>
      </c>
    </row>
    <row r="1389" spans="1:15" s="525" customFormat="1" ht="16.5" hidden="1" customHeight="1">
      <c r="A1389" s="81"/>
      <c r="B1389" s="526"/>
      <c r="C1389" s="527">
        <v>1</v>
      </c>
      <c r="D1389" s="528" t="s">
        <v>265</v>
      </c>
      <c r="E1389" s="529">
        <v>2</v>
      </c>
      <c r="F1389" s="530">
        <v>0.6</v>
      </c>
      <c r="G1389" s="530">
        <v>0</v>
      </c>
      <c r="H1389" s="530">
        <v>0.45</v>
      </c>
      <c r="I1389" s="531">
        <f>ROUND(IF(AND(F1389:H1389),C1389*E1389*F1389*G1389*H1389,IF(AND(F1389,G1389),C1389*E1389*F1389*G1389,IF(AND(F1389,H1389),C1389*E1389*F1389*H1389,IF(AND(G1389,H1389),C1389*E1389*G1389*H1389,IF(F1389,C1389*E1389*F1389,IF(G1389,C1389*E1389*G1389,IF(H1389,C1389*E1389*H1389,C1389*E1389))))))),2)</f>
        <v>0.54</v>
      </c>
      <c r="J1389" s="532" t="s">
        <v>102</v>
      </c>
      <c r="K1389" s="111"/>
      <c r="L1389" s="81"/>
      <c r="M1389" s="111"/>
      <c r="O1389" s="529">
        <v>2</v>
      </c>
    </row>
    <row r="1390" spans="1:15" hidden="1">
      <c r="A1390" s="81"/>
      <c r="B1390" s="111"/>
      <c r="C1390" s="112"/>
      <c r="D1390" s="533"/>
      <c r="E1390" s="534"/>
      <c r="F1390" s="113"/>
      <c r="G1390" s="539"/>
      <c r="H1390" s="81"/>
      <c r="I1390" s="531"/>
      <c r="J1390" s="532" t="s">
        <v>102</v>
      </c>
      <c r="K1390" s="12">
        <f>'doors 2024-25'!H282</f>
        <v>6456</v>
      </c>
      <c r="L1390" s="12" t="s">
        <v>267</v>
      </c>
      <c r="M1390" s="11">
        <f>ROUND(I1390*K1390,0)</f>
        <v>0</v>
      </c>
    </row>
    <row r="1391" spans="1:15" ht="27" hidden="1" customHeight="1">
      <c r="A1391" s="81">
        <v>13</v>
      </c>
      <c r="B1391" s="910" t="s">
        <v>966</v>
      </c>
      <c r="C1391" s="910"/>
      <c r="D1391" s="910"/>
      <c r="E1391" s="910"/>
      <c r="F1391" s="910"/>
      <c r="G1391" s="910"/>
      <c r="H1391" s="910"/>
      <c r="I1391" s="515"/>
      <c r="J1391" s="516"/>
      <c r="K1391" s="81"/>
      <c r="L1391" s="81"/>
      <c r="M1391" s="110"/>
    </row>
    <row r="1392" spans="1:15" hidden="1">
      <c r="A1392" s="81"/>
      <c r="B1392" s="473" t="s">
        <v>1891</v>
      </c>
      <c r="C1392" s="565"/>
      <c r="D1392" s="566"/>
      <c r="E1392" s="567"/>
      <c r="F1392" s="473"/>
      <c r="G1392" s="473"/>
      <c r="H1392" s="473"/>
      <c r="I1392" s="515"/>
      <c r="J1392" s="516"/>
      <c r="K1392" s="81"/>
      <c r="L1392" s="517"/>
      <c r="M1392" s="110"/>
    </row>
    <row r="1393" spans="1:13" s="525" customFormat="1" ht="16.5" hidden="1" customHeight="1">
      <c r="A1393" s="81"/>
      <c r="B1393" s="526"/>
      <c r="C1393" s="527">
        <v>1</v>
      </c>
      <c r="D1393" s="528" t="s">
        <v>265</v>
      </c>
      <c r="E1393" s="529">
        <v>1</v>
      </c>
      <c r="F1393" s="530">
        <v>0</v>
      </c>
      <c r="G1393" s="530">
        <v>0</v>
      </c>
      <c r="H1393" s="530">
        <v>0</v>
      </c>
      <c r="I1393" s="531">
        <f>ROUND(IF(AND(F1393:H1393),C1393*E1393*F1393*G1393*H1393,IF(AND(F1393,G1393),C1393*E1393*F1393*G1393,IF(AND(F1393,H1393),C1393*E1393*F1393*H1393,IF(AND(G1393,H1393),C1393*E1393*G1393*H1393,IF(F1393,C1393*E1393*F1393,IF(G1393,C1393*E1393*G1393,IF(H1393,C1393*E1393*H1393,C1393*E1393))))))),2)</f>
        <v>1</v>
      </c>
      <c r="J1393" s="532" t="s">
        <v>114</v>
      </c>
      <c r="K1393" s="111"/>
      <c r="L1393" s="81"/>
      <c r="M1393" s="111"/>
    </row>
    <row r="1394" spans="1:13" s="525" customFormat="1" ht="16.5" hidden="1" customHeight="1">
      <c r="A1394" s="81"/>
      <c r="B1394" s="526"/>
      <c r="C1394" s="527"/>
      <c r="D1394" s="528"/>
      <c r="E1394" s="529"/>
      <c r="F1394" s="530"/>
      <c r="G1394" s="530"/>
      <c r="H1394" s="530"/>
      <c r="I1394" s="531"/>
      <c r="J1394" s="532"/>
      <c r="K1394" s="111"/>
      <c r="L1394" s="81"/>
      <c r="M1394" s="111"/>
    </row>
    <row r="1395" spans="1:13" hidden="1">
      <c r="A1395" s="81"/>
      <c r="B1395" s="111"/>
      <c r="C1395" s="112"/>
      <c r="D1395" s="533"/>
      <c r="E1395" s="534"/>
      <c r="F1395" s="113"/>
      <c r="G1395" s="539"/>
      <c r="H1395" s="81"/>
      <c r="I1395" s="531"/>
      <c r="J1395" s="532" t="s">
        <v>114</v>
      </c>
      <c r="K1395" s="12">
        <f>'doors 2024-25'!H242</f>
        <v>591.9</v>
      </c>
      <c r="L1395" s="12" t="s">
        <v>268</v>
      </c>
      <c r="M1395" s="11">
        <f>ROUND(I1395*K1395,0)</f>
        <v>0</v>
      </c>
    </row>
    <row r="1396" spans="1:13" ht="27" hidden="1" customHeight="1">
      <c r="A1396" s="81">
        <v>17</v>
      </c>
      <c r="B1396" s="910" t="s">
        <v>876</v>
      </c>
      <c r="C1396" s="910"/>
      <c r="D1396" s="910"/>
      <c r="E1396" s="910"/>
      <c r="F1396" s="910"/>
      <c r="G1396" s="910"/>
      <c r="H1396" s="910"/>
      <c r="I1396" s="515"/>
      <c r="J1396" s="516"/>
      <c r="K1396" s="81"/>
      <c r="L1396" s="81"/>
      <c r="M1396" s="110"/>
    </row>
    <row r="1397" spans="1:13" s="525" customFormat="1" ht="16.5" hidden="1" customHeight="1">
      <c r="A1397" s="81"/>
      <c r="B1397" s="526"/>
      <c r="C1397" s="527">
        <v>1</v>
      </c>
      <c r="D1397" s="528" t="s">
        <v>265</v>
      </c>
      <c r="E1397" s="529">
        <v>9</v>
      </c>
      <c r="F1397" s="530">
        <v>0.6</v>
      </c>
      <c r="G1397" s="530">
        <v>0</v>
      </c>
      <c r="H1397" s="530">
        <v>0.23</v>
      </c>
      <c r="I1397" s="531">
        <f>ROUND(IF(AND(F1397:H1397),C1397*E1397*F1397*G1397*H1397,IF(AND(F1397,G1397),C1397*E1397*F1397*G1397,IF(AND(F1397,H1397),C1397*E1397*F1397*H1397,IF(AND(G1397,H1397),C1397*E1397*G1397*H1397,IF(F1397,C1397*E1397*F1397,IF(G1397,C1397*E1397*G1397,IF(H1397,C1397*E1397*H1397,C1397*E1397))))))),2)</f>
        <v>1.24</v>
      </c>
      <c r="J1397" s="532" t="s">
        <v>102</v>
      </c>
      <c r="K1397" s="111"/>
      <c r="L1397" s="81"/>
      <c r="M1397" s="111"/>
    </row>
    <row r="1398" spans="1:13" s="525" customFormat="1" ht="16.5" hidden="1" customHeight="1">
      <c r="A1398" s="81"/>
      <c r="B1398" s="526"/>
      <c r="C1398" s="527"/>
      <c r="D1398" s="528"/>
      <c r="E1398" s="529"/>
      <c r="F1398" s="530"/>
      <c r="G1398" s="530"/>
      <c r="H1398" s="530"/>
      <c r="I1398" s="531"/>
      <c r="J1398" s="532"/>
      <c r="K1398" s="111"/>
      <c r="L1398" s="81"/>
      <c r="M1398" s="111"/>
    </row>
    <row r="1399" spans="1:13" hidden="1">
      <c r="A1399" s="81"/>
      <c r="B1399" s="111"/>
      <c r="C1399" s="112"/>
      <c r="D1399" s="533"/>
      <c r="E1399" s="534"/>
      <c r="F1399" s="113"/>
      <c r="G1399" s="539"/>
      <c r="H1399" s="81"/>
      <c r="I1399" s="531"/>
      <c r="J1399" s="532" t="s">
        <v>102</v>
      </c>
      <c r="K1399" s="12">
        <f>'doors 2024-25'!H249</f>
        <v>735.8</v>
      </c>
      <c r="L1399" s="12" t="s">
        <v>267</v>
      </c>
      <c r="M1399" s="11">
        <f>ROUND(I1399*K1399,0)</f>
        <v>0</v>
      </c>
    </row>
    <row r="1400" spans="1:13" ht="46.5" hidden="1" customHeight="1">
      <c r="A1400" s="81">
        <v>9</v>
      </c>
      <c r="B1400" s="910" t="s">
        <v>188</v>
      </c>
      <c r="C1400" s="910"/>
      <c r="D1400" s="910"/>
      <c r="E1400" s="910"/>
      <c r="F1400" s="910"/>
      <c r="G1400" s="910"/>
      <c r="H1400" s="910"/>
      <c r="I1400" s="515"/>
      <c r="J1400" s="516"/>
      <c r="K1400" s="81"/>
      <c r="L1400" s="81"/>
      <c r="M1400" s="110"/>
    </row>
    <row r="1401" spans="1:13" s="525" customFormat="1" ht="16.5" hidden="1" customHeight="1">
      <c r="A1401" s="81"/>
      <c r="B1401" s="526" t="s">
        <v>956</v>
      </c>
      <c r="C1401" s="527">
        <v>1</v>
      </c>
      <c r="D1401" s="528" t="s">
        <v>265</v>
      </c>
      <c r="E1401" s="529">
        <v>1</v>
      </c>
      <c r="F1401" s="584">
        <v>450</v>
      </c>
      <c r="G1401" s="530">
        <v>0</v>
      </c>
      <c r="H1401" s="530">
        <v>0</v>
      </c>
      <c r="I1401" s="531">
        <f>ROUND(IF(AND(F1401:H1401),C1401*E1401*F1401*G1401*H1401,IF(AND(F1401,G1401),C1401*E1401*F1401*G1401,IF(AND(F1401,H1401),C1401*E1401*F1401*H1401,IF(AND(G1401,H1401),C1401*E1401*G1401*H1401,IF(F1401,C1401*E1401*F1401,IF(G1401,C1401*E1401*G1401,IF(H1401,C1401*E1401*H1401,C1401*E1401))))))),2)</f>
        <v>450</v>
      </c>
      <c r="J1401" s="532" t="s">
        <v>4</v>
      </c>
      <c r="K1401" s="111"/>
      <c r="L1401" s="81"/>
      <c r="M1401" s="111"/>
    </row>
    <row r="1402" spans="1:13" s="525" customFormat="1" ht="16.5" hidden="1" customHeight="1">
      <c r="A1402" s="81"/>
      <c r="B1402" s="526"/>
      <c r="C1402" s="527"/>
      <c r="D1402" s="528"/>
      <c r="E1402" s="529"/>
      <c r="F1402" s="530"/>
      <c r="G1402" s="530"/>
      <c r="H1402" s="530"/>
      <c r="I1402" s="531"/>
      <c r="J1402" s="532"/>
      <c r="K1402" s="111"/>
      <c r="L1402" s="81"/>
      <c r="M1402" s="111"/>
    </row>
    <row r="1403" spans="1:13" hidden="1">
      <c r="A1403" s="81"/>
      <c r="B1403" s="111"/>
      <c r="C1403" s="112"/>
      <c r="D1403" s="533"/>
      <c r="E1403" s="534"/>
      <c r="F1403" s="113"/>
      <c r="G1403" s="539"/>
      <c r="H1403" s="81"/>
      <c r="I1403" s="531"/>
      <c r="J1403" s="532" t="s">
        <v>4</v>
      </c>
      <c r="K1403" s="12">
        <f>'DATA 2024-25'!G357</f>
        <v>116.46000000000001</v>
      </c>
      <c r="L1403" s="12" t="s">
        <v>269</v>
      </c>
      <c r="M1403" s="11">
        <f>ROUND(I1403*K1403,0)</f>
        <v>0</v>
      </c>
    </row>
    <row r="1404" spans="1:13" ht="65.25" hidden="1" customHeight="1">
      <c r="A1404" s="81">
        <v>13</v>
      </c>
      <c r="B1404" s="910" t="s">
        <v>877</v>
      </c>
      <c r="C1404" s="910"/>
      <c r="D1404" s="910"/>
      <c r="E1404" s="910"/>
      <c r="F1404" s="910"/>
      <c r="G1404" s="910"/>
      <c r="H1404" s="910"/>
      <c r="I1404" s="515"/>
      <c r="J1404" s="516"/>
      <c r="K1404" s="81"/>
      <c r="L1404" s="81"/>
      <c r="M1404" s="110"/>
    </row>
    <row r="1405" spans="1:13" s="525" customFormat="1" ht="16.5" hidden="1" customHeight="1">
      <c r="A1405" s="81"/>
      <c r="B1405" s="526" t="s">
        <v>2292</v>
      </c>
      <c r="C1405" s="527">
        <v>1</v>
      </c>
      <c r="D1405" s="528" t="s">
        <v>265</v>
      </c>
      <c r="E1405" s="529">
        <v>4</v>
      </c>
      <c r="F1405" s="530">
        <v>1.4</v>
      </c>
      <c r="G1405" s="530">
        <v>0</v>
      </c>
      <c r="H1405" s="530">
        <v>1.2</v>
      </c>
      <c r="I1405" s="531">
        <f>ROUND(IF(AND(F1405:H1405),C1405*E1405*F1405*G1405*H1405,IF(AND(F1405,G1405),C1405*E1405*F1405*G1405,IF(AND(F1405,H1405),C1405*E1405*F1405*H1405,IF(AND(G1405,H1405),C1405*E1405*G1405*H1405,IF(F1405,C1405*E1405*F1405,IF(G1405,C1405*E1405*G1405,IF(H1405,C1405*E1405*H1405,C1405*E1405))))))),2)</f>
        <v>6.72</v>
      </c>
      <c r="J1405" s="532" t="s">
        <v>102</v>
      </c>
      <c r="K1405" s="111"/>
      <c r="L1405" s="81"/>
      <c r="M1405" s="111"/>
    </row>
    <row r="1406" spans="1:13" s="525" customFormat="1" ht="16.5" hidden="1" customHeight="1">
      <c r="A1406" s="81"/>
      <c r="B1406" s="526"/>
      <c r="C1406" s="527"/>
      <c r="D1406" s="528"/>
      <c r="E1406" s="529"/>
      <c r="F1406" s="530"/>
      <c r="G1406" s="530"/>
      <c r="H1406" s="530"/>
      <c r="I1406" s="531"/>
      <c r="J1406" s="532"/>
      <c r="K1406" s="111"/>
      <c r="L1406" s="81"/>
      <c r="M1406" s="111"/>
    </row>
    <row r="1407" spans="1:13" hidden="1">
      <c r="A1407" s="81"/>
      <c r="B1407" s="111"/>
      <c r="C1407" s="112"/>
      <c r="D1407" s="533"/>
      <c r="E1407" s="534"/>
      <c r="F1407" s="113"/>
      <c r="G1407" s="539"/>
      <c r="H1407" s="81"/>
      <c r="I1407" s="531"/>
      <c r="J1407" s="532" t="s">
        <v>102</v>
      </c>
      <c r="K1407" s="12">
        <f>'DATA 2024-25'!G373</f>
        <v>1758.49</v>
      </c>
      <c r="L1407" s="12" t="s">
        <v>267</v>
      </c>
      <c r="M1407" s="11">
        <f>ROUND(I1407*K1407,0)</f>
        <v>0</v>
      </c>
    </row>
    <row r="1408" spans="1:13" ht="42.75" hidden="1" customHeight="1">
      <c r="A1408" s="81">
        <v>51</v>
      </c>
      <c r="B1408" s="910" t="s">
        <v>611</v>
      </c>
      <c r="C1408" s="910"/>
      <c r="D1408" s="910"/>
      <c r="E1408" s="910"/>
      <c r="F1408" s="910"/>
      <c r="G1408" s="910"/>
      <c r="H1408" s="910"/>
      <c r="I1408" s="515"/>
      <c r="J1408" s="516"/>
      <c r="K1408" s="81"/>
      <c r="L1408" s="81"/>
      <c r="M1408" s="110"/>
    </row>
    <row r="1409" spans="1:13" s="525" customFormat="1" ht="16.5" hidden="1" customHeight="1">
      <c r="A1409" s="81"/>
      <c r="B1409" s="558" t="s">
        <v>1306</v>
      </c>
      <c r="C1409" s="547"/>
      <c r="D1409" s="548"/>
      <c r="E1409" s="549"/>
      <c r="F1409" s="550"/>
      <c r="G1409" s="550"/>
      <c r="H1409" s="551"/>
      <c r="I1409" s="552"/>
      <c r="J1409" s="532"/>
      <c r="K1409" s="111"/>
      <c r="L1409" s="81"/>
      <c r="M1409" s="111"/>
    </row>
    <row r="1410" spans="1:13" s="525" customFormat="1" ht="16.5" hidden="1" customHeight="1">
      <c r="A1410" s="81"/>
      <c r="B1410" s="526" t="s">
        <v>646</v>
      </c>
      <c r="C1410" s="527">
        <v>1</v>
      </c>
      <c r="D1410" s="528" t="s">
        <v>265</v>
      </c>
      <c r="E1410" s="529">
        <v>1</v>
      </c>
      <c r="F1410" s="584">
        <v>58.6</v>
      </c>
      <c r="G1410" s="530">
        <v>0</v>
      </c>
      <c r="H1410" s="530">
        <v>0</v>
      </c>
      <c r="I1410" s="531">
        <f>ROUND(IF(AND(F1410:H1410),C1410*E1410*F1410*G1410*H1410,IF(AND(F1410,G1410),C1410*E1410*F1410*G1410,IF(AND(F1410,H1410),C1410*E1410*F1410*H1410,IF(AND(G1410,H1410),C1410*E1410*G1410*H1410,IF(F1410,C1410*E1410*F1410,IF(G1410,C1410*E1410*G1410,IF(H1410,C1410*E1410*H1410,C1410*E1410))))))),2)</f>
        <v>58.6</v>
      </c>
      <c r="J1410" s="532" t="s">
        <v>139</v>
      </c>
      <c r="K1410" s="111"/>
      <c r="L1410" s="81"/>
      <c r="M1410" s="111"/>
    </row>
    <row r="1411" spans="1:13" s="525" customFormat="1" ht="16.5" hidden="1" customHeight="1">
      <c r="A1411" s="81"/>
      <c r="B1411" s="526"/>
      <c r="C1411" s="527"/>
      <c r="D1411" s="528"/>
      <c r="E1411" s="529"/>
      <c r="F1411" s="584"/>
      <c r="G1411" s="530"/>
      <c r="H1411" s="530"/>
      <c r="I1411" s="531"/>
      <c r="J1411" s="532"/>
      <c r="K1411" s="111"/>
      <c r="L1411" s="81"/>
      <c r="M1411" s="111"/>
    </row>
    <row r="1412" spans="1:13" hidden="1">
      <c r="A1412" s="81"/>
      <c r="B1412" s="111"/>
      <c r="C1412" s="112"/>
      <c r="D1412" s="533"/>
      <c r="E1412" s="534"/>
      <c r="F1412" s="113"/>
      <c r="G1412" s="539"/>
      <c r="H1412" s="81"/>
      <c r="I1412" s="531"/>
      <c r="J1412" s="532" t="s">
        <v>139</v>
      </c>
      <c r="K1412" s="12">
        <f>'DATA 2024-25'!G381</f>
        <v>166.08</v>
      </c>
      <c r="L1412" s="12" t="s">
        <v>269</v>
      </c>
      <c r="M1412" s="11">
        <f>ROUND(I1412*K1412,0)</f>
        <v>0</v>
      </c>
    </row>
    <row r="1413" spans="1:13" ht="132" hidden="1" customHeight="1">
      <c r="A1413" s="81">
        <v>9</v>
      </c>
      <c r="B1413" s="910" t="s">
        <v>872</v>
      </c>
      <c r="C1413" s="910"/>
      <c r="D1413" s="910"/>
      <c r="E1413" s="910"/>
      <c r="F1413" s="910"/>
      <c r="G1413" s="910"/>
      <c r="H1413" s="910"/>
      <c r="I1413" s="515"/>
      <c r="J1413" s="516"/>
      <c r="K1413" s="81"/>
      <c r="L1413" s="81"/>
      <c r="M1413" s="110"/>
    </row>
    <row r="1414" spans="1:13" s="525" customFormat="1" ht="16.5" hidden="1" customHeight="1">
      <c r="A1414" s="81"/>
      <c r="B1414" s="526"/>
      <c r="C1414" s="527">
        <v>1</v>
      </c>
      <c r="D1414" s="528" t="s">
        <v>265</v>
      </c>
      <c r="E1414" s="529">
        <v>1</v>
      </c>
      <c r="F1414" s="584">
        <v>3.65</v>
      </c>
      <c r="G1414" s="530">
        <v>0</v>
      </c>
      <c r="H1414" s="530">
        <v>0.9</v>
      </c>
      <c r="I1414" s="531">
        <f>ROUND(IF(AND(F1414:H1414),C1414*E1414*F1414*G1414*H1414,IF(AND(F1414,G1414),C1414*E1414*F1414*G1414,IF(AND(F1414,H1414),C1414*E1414*F1414*H1414,IF(AND(G1414,H1414),C1414*E1414*G1414*H1414,IF(F1414,C1414*E1414*F1414,IF(G1414,C1414*E1414*G1414,IF(H1414,C1414*E1414*H1414,C1414*E1414))))))),2)</f>
        <v>3.29</v>
      </c>
      <c r="J1414" s="532" t="s">
        <v>102</v>
      </c>
      <c r="K1414" s="111"/>
      <c r="L1414" s="81"/>
      <c r="M1414" s="111"/>
    </row>
    <row r="1415" spans="1:13" s="525" customFormat="1" ht="16.5" hidden="1" customHeight="1">
      <c r="A1415" s="81"/>
      <c r="B1415" s="526"/>
      <c r="C1415" s="527">
        <v>1</v>
      </c>
      <c r="D1415" s="528" t="s">
        <v>265</v>
      </c>
      <c r="E1415" s="529">
        <v>1</v>
      </c>
      <c r="F1415" s="584">
        <v>11.15</v>
      </c>
      <c r="G1415" s="530">
        <v>0</v>
      </c>
      <c r="H1415" s="530">
        <v>0.9</v>
      </c>
      <c r="I1415" s="531">
        <f>ROUND(IF(AND(F1415:H1415),C1415*E1415*F1415*G1415*H1415,IF(AND(F1415,G1415),C1415*E1415*F1415*G1415,IF(AND(F1415,H1415),C1415*E1415*F1415*H1415,IF(AND(G1415,H1415),C1415*E1415*G1415*H1415,IF(F1415,C1415*E1415*F1415,IF(G1415,C1415*E1415*G1415,IF(H1415,C1415*E1415*H1415,C1415*E1415))))))),2)</f>
        <v>10.039999999999999</v>
      </c>
      <c r="J1415" s="532" t="s">
        <v>102</v>
      </c>
      <c r="K1415" s="111"/>
      <c r="L1415" s="81"/>
      <c r="M1415" s="111"/>
    </row>
    <row r="1416" spans="1:13" s="525" customFormat="1" ht="16.5" hidden="1" customHeight="1">
      <c r="A1416" s="81"/>
      <c r="B1416" s="526"/>
      <c r="C1416" s="527">
        <v>1</v>
      </c>
      <c r="D1416" s="528" t="s">
        <v>265</v>
      </c>
      <c r="E1416" s="529">
        <v>1</v>
      </c>
      <c r="F1416" s="584">
        <v>6.9</v>
      </c>
      <c r="G1416" s="530">
        <v>0</v>
      </c>
      <c r="H1416" s="530">
        <v>0.9</v>
      </c>
      <c r="I1416" s="531">
        <f t="shared" ref="I1416:I1417" si="109">ROUND(IF(AND(F1416:H1416),C1416*E1416*F1416*G1416*H1416,IF(AND(F1416,G1416),C1416*E1416*F1416*G1416,IF(AND(F1416,H1416),C1416*E1416*F1416*H1416,IF(AND(G1416,H1416),C1416*E1416*G1416*H1416,IF(F1416,C1416*E1416*F1416,IF(G1416,C1416*E1416*G1416,IF(H1416,C1416*E1416*H1416,C1416*E1416))))))),2)</f>
        <v>6.21</v>
      </c>
      <c r="J1416" s="532" t="s">
        <v>102</v>
      </c>
      <c r="K1416" s="111"/>
      <c r="L1416" s="81"/>
      <c r="M1416" s="111"/>
    </row>
    <row r="1417" spans="1:13" s="525" customFormat="1" ht="16.5" hidden="1" customHeight="1">
      <c r="A1417" s="81"/>
      <c r="B1417" s="526"/>
      <c r="C1417" s="527">
        <v>1</v>
      </c>
      <c r="D1417" s="528" t="s">
        <v>265</v>
      </c>
      <c r="E1417" s="529">
        <v>1</v>
      </c>
      <c r="F1417" s="584">
        <v>4.5</v>
      </c>
      <c r="G1417" s="530">
        <v>0</v>
      </c>
      <c r="H1417" s="530">
        <v>0.9</v>
      </c>
      <c r="I1417" s="531">
        <f t="shared" si="109"/>
        <v>4.05</v>
      </c>
      <c r="J1417" s="532" t="s">
        <v>102</v>
      </c>
      <c r="K1417" s="111"/>
      <c r="L1417" s="81"/>
      <c r="M1417" s="111"/>
    </row>
    <row r="1418" spans="1:13" s="525" customFormat="1" ht="16.5" hidden="1" customHeight="1">
      <c r="A1418" s="81"/>
      <c r="B1418" s="526"/>
      <c r="C1418" s="527"/>
      <c r="D1418" s="528"/>
      <c r="E1418" s="529"/>
      <c r="F1418" s="584"/>
      <c r="G1418" s="530"/>
      <c r="H1418" s="530"/>
      <c r="I1418" s="531"/>
      <c r="J1418" s="532"/>
      <c r="K1418" s="111"/>
      <c r="L1418" s="81"/>
      <c r="M1418" s="111"/>
    </row>
    <row r="1419" spans="1:13" hidden="1">
      <c r="A1419" s="81"/>
      <c r="B1419" s="111"/>
      <c r="C1419" s="112"/>
      <c r="D1419" s="533"/>
      <c r="E1419" s="534"/>
      <c r="F1419" s="113"/>
      <c r="G1419" s="539"/>
      <c r="H1419" s="81"/>
      <c r="I1419" s="531"/>
      <c r="J1419" s="532" t="s">
        <v>102</v>
      </c>
      <c r="K1419" s="12">
        <f>'DATA 2024-25'!G396</f>
        <v>4233.42</v>
      </c>
      <c r="L1419" s="12" t="s">
        <v>267</v>
      </c>
      <c r="M1419" s="11">
        <f>ROUND(I1419*K1419,0)</f>
        <v>0</v>
      </c>
    </row>
    <row r="1420" spans="1:13" ht="30.75" hidden="1" customHeight="1">
      <c r="A1420" s="81">
        <v>8</v>
      </c>
      <c r="B1420" s="910" t="s">
        <v>901</v>
      </c>
      <c r="C1420" s="910"/>
      <c r="D1420" s="910"/>
      <c r="E1420" s="910"/>
      <c r="F1420" s="910"/>
      <c r="G1420" s="910"/>
      <c r="H1420" s="910"/>
      <c r="I1420" s="515"/>
      <c r="J1420" s="516"/>
      <c r="K1420" s="81"/>
      <c r="L1420" s="81"/>
      <c r="M1420" s="110"/>
    </row>
    <row r="1421" spans="1:13" s="525" customFormat="1" ht="16.5" hidden="1" customHeight="1">
      <c r="A1421" s="81"/>
      <c r="B1421" s="111" t="s">
        <v>1307</v>
      </c>
      <c r="C1421" s="547"/>
      <c r="D1421" s="548"/>
      <c r="E1421" s="549"/>
      <c r="F1421" s="550"/>
      <c r="G1421" s="550"/>
      <c r="H1421" s="551"/>
      <c r="I1421" s="552"/>
      <c r="J1421" s="532"/>
      <c r="K1421" s="111"/>
      <c r="L1421" s="81"/>
      <c r="M1421" s="111"/>
    </row>
    <row r="1422" spans="1:13" s="525" customFormat="1" ht="16.5" hidden="1" customHeight="1">
      <c r="A1422" s="81"/>
      <c r="B1422" s="558" t="s">
        <v>569</v>
      </c>
      <c r="C1422" s="547"/>
      <c r="D1422" s="548"/>
      <c r="E1422" s="549"/>
      <c r="F1422" s="550"/>
      <c r="G1422" s="550"/>
      <c r="H1422" s="551"/>
      <c r="I1422" s="552"/>
      <c r="J1422" s="532"/>
      <c r="K1422" s="111"/>
      <c r="L1422" s="81"/>
      <c r="M1422" s="111"/>
    </row>
    <row r="1423" spans="1:13" s="525" customFormat="1" ht="16.5" hidden="1" customHeight="1">
      <c r="A1423" s="81"/>
      <c r="B1423" s="526" t="s">
        <v>564</v>
      </c>
      <c r="C1423" s="527">
        <v>1</v>
      </c>
      <c r="D1423" s="528" t="s">
        <v>265</v>
      </c>
      <c r="E1423" s="529">
        <v>4</v>
      </c>
      <c r="F1423" s="584">
        <v>5.5</v>
      </c>
      <c r="G1423" s="530">
        <v>0</v>
      </c>
      <c r="H1423" s="530">
        <v>0</v>
      </c>
      <c r="I1423" s="531">
        <f>ROUND(IF(AND(F1423:H1423),C1423*E1423*F1423*G1423*H1423,IF(AND(F1423,G1423),C1423*E1423*F1423*G1423,IF(AND(F1423,H1423),C1423*E1423*F1423*H1423,IF(AND(G1423,H1423),C1423*E1423*G1423*H1423,IF(F1423,C1423*E1423*F1423,IF(G1423,C1423*E1423*G1423,IF(H1423,C1423*E1423*H1423,C1423*E1423))))))),2)</f>
        <v>22</v>
      </c>
      <c r="J1423" s="532" t="s">
        <v>271</v>
      </c>
      <c r="K1423" s="111"/>
      <c r="L1423" s="81"/>
      <c r="M1423" s="111"/>
    </row>
    <row r="1424" spans="1:13" s="525" customFormat="1" ht="16.5" hidden="1" customHeight="1">
      <c r="A1424" s="81"/>
      <c r="B1424" s="526" t="s">
        <v>883</v>
      </c>
      <c r="C1424" s="527">
        <v>1</v>
      </c>
      <c r="D1424" s="528" t="s">
        <v>265</v>
      </c>
      <c r="E1424" s="529">
        <v>10</v>
      </c>
      <c r="F1424" s="584">
        <v>1.35</v>
      </c>
      <c r="G1424" s="530">
        <v>0</v>
      </c>
      <c r="H1424" s="530">
        <v>0</v>
      </c>
      <c r="I1424" s="531">
        <f>ROUND(IF(AND(F1424:H1424),C1424*E1424*F1424*G1424*H1424,IF(AND(F1424,G1424),C1424*E1424*F1424*G1424,IF(AND(F1424,H1424),C1424*E1424*F1424*H1424,IF(AND(G1424,H1424),C1424*E1424*G1424*H1424,IF(F1424,C1424*E1424*F1424,IF(G1424,C1424*E1424*G1424,IF(H1424,C1424*E1424*H1424,C1424*E1424))))))),2)</f>
        <v>13.5</v>
      </c>
      <c r="J1424" s="532" t="s">
        <v>271</v>
      </c>
      <c r="K1424" s="111"/>
      <c r="L1424" s="81"/>
      <c r="M1424" s="111"/>
    </row>
    <row r="1425" spans="1:13" s="525" customFormat="1" ht="16.5" hidden="1" customHeight="1">
      <c r="A1425" s="81"/>
      <c r="B1425" s="526" t="s">
        <v>884</v>
      </c>
      <c r="C1425" s="527">
        <v>1</v>
      </c>
      <c r="D1425" s="528" t="s">
        <v>265</v>
      </c>
      <c r="E1425" s="529">
        <v>9</v>
      </c>
      <c r="F1425" s="584">
        <v>1.35</v>
      </c>
      <c r="G1425" s="530">
        <v>0</v>
      </c>
      <c r="H1425" s="530">
        <v>0</v>
      </c>
      <c r="I1425" s="531">
        <f>ROUND(IF(AND(F1425:H1425),C1425*E1425*F1425*G1425*H1425,IF(AND(F1425,G1425),C1425*E1425*F1425*G1425,IF(AND(F1425,H1425),C1425*E1425*F1425*H1425,IF(AND(G1425,H1425),C1425*E1425*G1425*H1425,IF(F1425,C1425*E1425*F1425,IF(G1425,C1425*E1425*G1425,IF(H1425,C1425*E1425*H1425,C1425*E1425))))))),2)</f>
        <v>12.15</v>
      </c>
      <c r="J1425" s="532" t="s">
        <v>271</v>
      </c>
      <c r="K1425" s="111"/>
      <c r="L1425" s="81"/>
      <c r="M1425" s="111"/>
    </row>
    <row r="1426" spans="1:13" s="525" customFormat="1" ht="16.5" hidden="1" customHeight="1">
      <c r="A1426" s="81"/>
      <c r="B1426" s="558" t="s">
        <v>570</v>
      </c>
      <c r="C1426" s="547"/>
      <c r="D1426" s="548"/>
      <c r="E1426" s="549"/>
      <c r="F1426" s="550"/>
      <c r="G1426" s="550"/>
      <c r="H1426" s="551"/>
      <c r="I1426" s="552"/>
      <c r="J1426" s="532"/>
      <c r="K1426" s="111"/>
      <c r="L1426" s="81"/>
      <c r="M1426" s="111"/>
    </row>
    <row r="1427" spans="1:13" s="525" customFormat="1" ht="16.5" hidden="1" customHeight="1">
      <c r="A1427" s="81"/>
      <c r="B1427" s="526" t="s">
        <v>883</v>
      </c>
      <c r="C1427" s="527">
        <v>1</v>
      </c>
      <c r="D1427" s="528" t="s">
        <v>265</v>
      </c>
      <c r="E1427" s="529">
        <v>11</v>
      </c>
      <c r="F1427" s="584">
        <v>1.35</v>
      </c>
      <c r="G1427" s="530">
        <v>0</v>
      </c>
      <c r="H1427" s="530">
        <v>0</v>
      </c>
      <c r="I1427" s="531">
        <f>ROUND(IF(AND(F1427:H1427),C1427*E1427*F1427*G1427*H1427,IF(AND(F1427,G1427),C1427*E1427*F1427*G1427,IF(AND(F1427,H1427),C1427*E1427*F1427*H1427,IF(AND(G1427,H1427),C1427*E1427*G1427*H1427,IF(F1427,C1427*E1427*F1427,IF(G1427,C1427*E1427*G1427,IF(H1427,C1427*E1427*H1427,C1427*E1427))))))),2)</f>
        <v>14.85</v>
      </c>
      <c r="J1427" s="532" t="s">
        <v>271</v>
      </c>
      <c r="K1427" s="111"/>
      <c r="L1427" s="81"/>
      <c r="M1427" s="111"/>
    </row>
    <row r="1428" spans="1:13" s="525" customFormat="1" ht="16.5" hidden="1" customHeight="1">
      <c r="A1428" s="81"/>
      <c r="B1428" s="526" t="s">
        <v>884</v>
      </c>
      <c r="C1428" s="527">
        <v>1</v>
      </c>
      <c r="D1428" s="528" t="s">
        <v>265</v>
      </c>
      <c r="E1428" s="529">
        <v>11</v>
      </c>
      <c r="F1428" s="584">
        <v>1.35</v>
      </c>
      <c r="G1428" s="530">
        <v>0</v>
      </c>
      <c r="H1428" s="530">
        <v>0</v>
      </c>
      <c r="I1428" s="531">
        <f>ROUND(IF(AND(F1428:H1428),C1428*E1428*F1428*G1428*H1428,IF(AND(F1428,G1428),C1428*E1428*F1428*G1428,IF(AND(F1428,H1428),C1428*E1428*F1428*H1428,IF(AND(G1428,H1428),C1428*E1428*G1428*H1428,IF(F1428,C1428*E1428*F1428,IF(G1428,C1428*E1428*G1428,IF(H1428,C1428*E1428*H1428,C1428*E1428))))))),2)</f>
        <v>14.85</v>
      </c>
      <c r="J1428" s="532" t="s">
        <v>271</v>
      </c>
      <c r="K1428" s="111"/>
      <c r="L1428" s="81"/>
      <c r="M1428" s="111"/>
    </row>
    <row r="1429" spans="1:13" s="525" customFormat="1" ht="16.5" hidden="1" customHeight="1">
      <c r="A1429" s="81"/>
      <c r="B1429" s="526"/>
      <c r="C1429" s="527"/>
      <c r="D1429" s="528"/>
      <c r="E1429" s="529"/>
      <c r="F1429" s="584"/>
      <c r="G1429" s="530"/>
      <c r="H1429" s="530"/>
      <c r="I1429" s="531"/>
      <c r="J1429" s="532"/>
      <c r="K1429" s="111"/>
      <c r="L1429" s="81"/>
      <c r="M1429" s="111"/>
    </row>
    <row r="1430" spans="1:13" hidden="1">
      <c r="A1430" s="81"/>
      <c r="B1430" s="111"/>
      <c r="C1430" s="112"/>
      <c r="D1430" s="533"/>
      <c r="E1430" s="534"/>
      <c r="F1430" s="113"/>
      <c r="G1430" s="539"/>
      <c r="H1430" s="81"/>
      <c r="I1430" s="531"/>
      <c r="J1430" s="532" t="s">
        <v>271</v>
      </c>
      <c r="K1430" s="12">
        <f>'DATA 2024-25'!G691</f>
        <v>529</v>
      </c>
      <c r="L1430" s="12" t="s">
        <v>273</v>
      </c>
      <c r="M1430" s="11">
        <f>ROUND(I1430*K1430,0)</f>
        <v>0</v>
      </c>
    </row>
    <row r="1431" spans="1:13" hidden="1">
      <c r="A1431" s="81"/>
      <c r="B1431" s="111" t="s">
        <v>1831</v>
      </c>
      <c r="C1431" s="112"/>
      <c r="D1431" s="533"/>
      <c r="E1431" s="534"/>
      <c r="F1431" s="113"/>
      <c r="G1431" s="539"/>
      <c r="H1431" s="81"/>
      <c r="I1431" s="531"/>
      <c r="J1431" s="532"/>
      <c r="K1431" s="12"/>
      <c r="L1431" s="12"/>
      <c r="M1431" s="11"/>
    </row>
    <row r="1432" spans="1:13" ht="63.75" hidden="1" customHeight="1">
      <c r="A1432" s="81">
        <v>1</v>
      </c>
      <c r="B1432" s="910" t="s">
        <v>300</v>
      </c>
      <c r="C1432" s="910"/>
      <c r="D1432" s="910"/>
      <c r="E1432" s="910"/>
      <c r="F1432" s="910"/>
      <c r="G1432" s="910"/>
      <c r="H1432" s="910"/>
      <c r="I1432" s="515"/>
      <c r="J1432" s="516"/>
      <c r="K1432" s="81"/>
      <c r="L1432" s="81"/>
      <c r="M1432" s="110"/>
    </row>
    <row r="1433" spans="1:13" s="525" customFormat="1" ht="16.5" hidden="1" customHeight="1">
      <c r="A1433" s="81"/>
      <c r="B1433" s="111" t="s">
        <v>1399</v>
      </c>
      <c r="C1433" s="547"/>
      <c r="D1433" s="548"/>
      <c r="E1433" s="549"/>
      <c r="F1433" s="550"/>
      <c r="G1433" s="550"/>
      <c r="H1433" s="551"/>
      <c r="I1433" s="552"/>
      <c r="J1433" s="537"/>
      <c r="K1433" s="111"/>
      <c r="L1433" s="81"/>
      <c r="M1433" s="111"/>
    </row>
    <row r="1434" spans="1:13" s="525" customFormat="1" ht="16.5" hidden="1" customHeight="1">
      <c r="A1434" s="81"/>
      <c r="B1434" s="526"/>
      <c r="C1434" s="527">
        <v>1</v>
      </c>
      <c r="D1434" s="528" t="s">
        <v>265</v>
      </c>
      <c r="E1434" s="529">
        <v>1</v>
      </c>
      <c r="F1434" s="530">
        <v>40</v>
      </c>
      <c r="G1434" s="530">
        <v>0</v>
      </c>
      <c r="H1434" s="530">
        <v>0</v>
      </c>
      <c r="I1434" s="531">
        <f>ROUND(IF(AND(F1434:H1434),C1434*E1434*F1434*G1434*H1434,IF(AND(F1434,G1434),C1434*E1434*F1434*G1434,IF(AND(F1434,H1434),C1434*E1434*F1434*H1434,IF(AND(G1434,H1434),C1434*E1434*G1434*H1434,IF(F1434,C1434*E1434*F1434,IF(G1434,C1434*E1434*G1434,IF(H1434,C1434*E1434*H1434,C1434*E1434))))))),2)</f>
        <v>40</v>
      </c>
      <c r="J1434" s="537" t="s">
        <v>271</v>
      </c>
      <c r="K1434" s="111"/>
      <c r="L1434" s="81"/>
      <c r="M1434" s="111"/>
    </row>
    <row r="1435" spans="1:13" hidden="1">
      <c r="A1435" s="81"/>
      <c r="B1435" s="111"/>
      <c r="C1435" s="112"/>
      <c r="D1435" s="533"/>
      <c r="E1435" s="534"/>
      <c r="F1435" s="113"/>
      <c r="G1435" s="539"/>
      <c r="H1435" s="81"/>
      <c r="I1435" s="531"/>
      <c r="J1435" s="537" t="s">
        <v>271</v>
      </c>
      <c r="K1435" s="12">
        <f>'sani data 2024-25'!G87</f>
        <v>288</v>
      </c>
      <c r="L1435" s="12" t="s">
        <v>273</v>
      </c>
      <c r="M1435" s="11">
        <f>ROUND(I1435*K1435,0)</f>
        <v>0</v>
      </c>
    </row>
    <row r="1436" spans="1:13" ht="63.75" hidden="1" customHeight="1">
      <c r="A1436" s="81">
        <v>10</v>
      </c>
      <c r="B1436" s="910" t="s">
        <v>301</v>
      </c>
      <c r="C1436" s="910"/>
      <c r="D1436" s="910"/>
      <c r="E1436" s="910"/>
      <c r="F1436" s="910"/>
      <c r="G1436" s="910"/>
      <c r="H1436" s="910"/>
      <c r="I1436" s="515"/>
      <c r="J1436" s="516"/>
      <c r="K1436" s="81"/>
      <c r="L1436" s="81"/>
      <c r="M1436" s="110"/>
    </row>
    <row r="1437" spans="1:13" s="525" customFormat="1" ht="16.5" hidden="1" customHeight="1">
      <c r="A1437" s="81"/>
      <c r="B1437" s="526"/>
      <c r="C1437" s="527">
        <v>1</v>
      </c>
      <c r="D1437" s="528" t="s">
        <v>265</v>
      </c>
      <c r="E1437" s="529">
        <v>1</v>
      </c>
      <c r="F1437" s="584">
        <v>50</v>
      </c>
      <c r="G1437" s="530">
        <v>0</v>
      </c>
      <c r="H1437" s="530">
        <v>0</v>
      </c>
      <c r="I1437" s="531">
        <f>ROUND(IF(AND(F1437:H1437),C1437*E1437*F1437*G1437*H1437,IF(AND(F1437,G1437),C1437*E1437*F1437*G1437,IF(AND(F1437,H1437),C1437*E1437*F1437*H1437,IF(AND(G1437,H1437),C1437*E1437*G1437*H1437,IF(F1437,C1437*E1437*F1437,IF(G1437,C1437*E1437*G1437,IF(H1437,C1437*E1437*H1437,C1437*E1437))))))),2)</f>
        <v>50</v>
      </c>
      <c r="J1437" s="537" t="s">
        <v>271</v>
      </c>
      <c r="K1437" s="111"/>
      <c r="L1437" s="81"/>
      <c r="M1437" s="111"/>
    </row>
    <row r="1438" spans="1:13" s="525" customFormat="1" ht="16.5" hidden="1" customHeight="1">
      <c r="A1438" s="81"/>
      <c r="B1438" s="526"/>
      <c r="C1438" s="527"/>
      <c r="D1438" s="528"/>
      <c r="E1438" s="529"/>
      <c r="F1438" s="530"/>
      <c r="G1438" s="530"/>
      <c r="H1438" s="530"/>
      <c r="I1438" s="531"/>
      <c r="J1438" s="537"/>
      <c r="K1438" s="111"/>
      <c r="L1438" s="81"/>
      <c r="M1438" s="111"/>
    </row>
    <row r="1439" spans="1:13" hidden="1">
      <c r="A1439" s="81"/>
      <c r="B1439" s="111"/>
      <c r="C1439" s="112"/>
      <c r="D1439" s="533"/>
      <c r="E1439" s="534"/>
      <c r="F1439" s="113"/>
      <c r="G1439" s="539"/>
      <c r="H1439" s="81"/>
      <c r="I1439" s="531"/>
      <c r="J1439" s="537" t="s">
        <v>271</v>
      </c>
      <c r="K1439" s="12">
        <f>'sani data 2024-25'!G84</f>
        <v>222</v>
      </c>
      <c r="L1439" s="12" t="s">
        <v>273</v>
      </c>
      <c r="M1439" s="11">
        <f>ROUND(I1439*K1439,0)</f>
        <v>0</v>
      </c>
    </row>
    <row r="1440" spans="1:13" ht="63.75" hidden="1" customHeight="1">
      <c r="A1440" s="81">
        <v>1</v>
      </c>
      <c r="B1440" s="910" t="s">
        <v>1333</v>
      </c>
      <c r="C1440" s="910"/>
      <c r="D1440" s="910"/>
      <c r="E1440" s="910"/>
      <c r="F1440" s="910"/>
      <c r="G1440" s="910"/>
      <c r="H1440" s="910"/>
      <c r="I1440" s="515"/>
      <c r="J1440" s="516"/>
      <c r="K1440" s="81"/>
      <c r="L1440" s="81"/>
      <c r="M1440" s="110"/>
    </row>
    <row r="1441" spans="1:13" s="525" customFormat="1" ht="16.5" hidden="1" customHeight="1">
      <c r="A1441" s="81"/>
      <c r="B1441" s="111" t="s">
        <v>1330</v>
      </c>
      <c r="C1441" s="547"/>
      <c r="D1441" s="548"/>
      <c r="E1441" s="549"/>
      <c r="F1441" s="550"/>
      <c r="G1441" s="550"/>
      <c r="H1441" s="551"/>
      <c r="I1441" s="552"/>
      <c r="J1441" s="537"/>
      <c r="K1441" s="111"/>
      <c r="L1441" s="81"/>
      <c r="M1441" s="111"/>
    </row>
    <row r="1442" spans="1:13" s="525" customFormat="1" ht="16.5" hidden="1" customHeight="1">
      <c r="A1442" s="81"/>
      <c r="B1442" s="526" t="s">
        <v>1331</v>
      </c>
      <c r="C1442" s="527">
        <v>1</v>
      </c>
      <c r="D1442" s="528" t="s">
        <v>265</v>
      </c>
      <c r="E1442" s="529">
        <v>1</v>
      </c>
      <c r="F1442" s="530">
        <v>9.1</v>
      </c>
      <c r="G1442" s="530">
        <v>0</v>
      </c>
      <c r="H1442" s="530">
        <v>0</v>
      </c>
      <c r="I1442" s="531">
        <f>ROUND(IF(AND(F1442:H1442),C1442*E1442*F1442*G1442*H1442,IF(AND(F1442,G1442),C1442*E1442*F1442*G1442,IF(AND(F1442,H1442),C1442*E1442*F1442*H1442,IF(AND(G1442,H1442),C1442*E1442*G1442*H1442,IF(F1442,C1442*E1442*F1442,IF(G1442,C1442*E1442*G1442,IF(H1442,C1442*E1442*H1442,C1442*E1442))))))),2)</f>
        <v>9.1</v>
      </c>
      <c r="J1442" s="537" t="s">
        <v>271</v>
      </c>
      <c r="K1442" s="111"/>
      <c r="L1442" s="81"/>
      <c r="M1442" s="111"/>
    </row>
    <row r="1443" spans="1:13" s="525" customFormat="1" ht="16.5" hidden="1" customHeight="1">
      <c r="A1443" s="81"/>
      <c r="B1443" s="526" t="s">
        <v>1332</v>
      </c>
      <c r="C1443" s="527">
        <v>1</v>
      </c>
      <c r="D1443" s="528" t="s">
        <v>265</v>
      </c>
      <c r="E1443" s="529">
        <v>1</v>
      </c>
      <c r="F1443" s="530">
        <v>5.5</v>
      </c>
      <c r="G1443" s="530">
        <v>0</v>
      </c>
      <c r="H1443" s="530">
        <v>0</v>
      </c>
      <c r="I1443" s="531">
        <f>ROUND(IF(AND(F1443:H1443),C1443*E1443*F1443*G1443*H1443,IF(AND(F1443,G1443),C1443*E1443*F1443*G1443,IF(AND(F1443,H1443),C1443*E1443*F1443*H1443,IF(AND(G1443,H1443),C1443*E1443*G1443*H1443,IF(F1443,C1443*E1443*F1443,IF(G1443,C1443*E1443*G1443,IF(H1443,C1443*E1443*H1443,C1443*E1443))))))),2)</f>
        <v>5.5</v>
      </c>
      <c r="J1443" s="537" t="s">
        <v>271</v>
      </c>
      <c r="K1443" s="111"/>
      <c r="L1443" s="81"/>
      <c r="M1443" s="111"/>
    </row>
    <row r="1444" spans="1:13" s="525" customFormat="1" ht="16.5" hidden="1" customHeight="1">
      <c r="A1444" s="81"/>
      <c r="B1444" s="526"/>
      <c r="C1444" s="527"/>
      <c r="D1444" s="528"/>
      <c r="E1444" s="529"/>
      <c r="F1444" s="530"/>
      <c r="G1444" s="530"/>
      <c r="H1444" s="530"/>
      <c r="I1444" s="531"/>
      <c r="J1444" s="537"/>
      <c r="K1444" s="111"/>
      <c r="L1444" s="81"/>
      <c r="M1444" s="111"/>
    </row>
    <row r="1445" spans="1:13" hidden="1">
      <c r="A1445" s="81"/>
      <c r="B1445" s="111"/>
      <c r="C1445" s="112"/>
      <c r="D1445" s="533"/>
      <c r="E1445" s="534"/>
      <c r="F1445" s="113"/>
      <c r="G1445" s="539"/>
      <c r="H1445" s="81"/>
      <c r="I1445" s="531"/>
      <c r="J1445" s="537" t="s">
        <v>271</v>
      </c>
      <c r="K1445" s="12">
        <f>'sani data 2024-25'!G81</f>
        <v>184</v>
      </c>
      <c r="L1445" s="12" t="s">
        <v>273</v>
      </c>
      <c r="M1445" s="11">
        <f>ROUND(I1445*K1445,0)</f>
        <v>0</v>
      </c>
    </row>
    <row r="1446" spans="1:13" ht="41.25" hidden="1" customHeight="1">
      <c r="A1446" s="81">
        <v>2</v>
      </c>
      <c r="B1446" s="910" t="s">
        <v>1036</v>
      </c>
      <c r="C1446" s="910"/>
      <c r="D1446" s="910"/>
      <c r="E1446" s="910"/>
      <c r="F1446" s="910"/>
      <c r="G1446" s="910"/>
      <c r="H1446" s="910"/>
      <c r="I1446" s="515"/>
      <c r="J1446" s="516"/>
      <c r="K1446" s="81"/>
      <c r="L1446" s="81"/>
      <c r="M1446" s="110"/>
    </row>
    <row r="1447" spans="1:13" s="525" customFormat="1" ht="16.5" hidden="1" customHeight="1">
      <c r="A1447" s="81"/>
      <c r="B1447" s="111" t="s">
        <v>1017</v>
      </c>
      <c r="C1447" s="547"/>
      <c r="D1447" s="548"/>
      <c r="E1447" s="549"/>
      <c r="F1447" s="550"/>
      <c r="G1447" s="550"/>
      <c r="H1447" s="551"/>
      <c r="I1447" s="552"/>
      <c r="J1447" s="537"/>
      <c r="K1447" s="111"/>
      <c r="L1447" s="81"/>
      <c r="M1447" s="111"/>
    </row>
    <row r="1448" spans="1:13" s="525" customFormat="1" ht="16.5" hidden="1" customHeight="1">
      <c r="A1448" s="81"/>
      <c r="B1448" s="526"/>
      <c r="C1448" s="527">
        <v>1</v>
      </c>
      <c r="D1448" s="528" t="s">
        <v>265</v>
      </c>
      <c r="E1448" s="529">
        <v>1</v>
      </c>
      <c r="F1448" s="530">
        <v>85</v>
      </c>
      <c r="G1448" s="530">
        <v>0</v>
      </c>
      <c r="H1448" s="530">
        <v>0</v>
      </c>
      <c r="I1448" s="531">
        <f>ROUND(IF(AND(F1448:H1448),C1448*E1448*F1448*G1448*H1448,IF(AND(F1448,G1448),C1448*E1448*F1448*G1448,IF(AND(F1448,H1448),C1448*E1448*F1448*H1448,IF(AND(G1448,H1448),C1448*E1448*G1448*H1448,IF(F1448,C1448*E1448*F1448,IF(G1448,C1448*E1448*G1448,IF(H1448,C1448*E1448*H1448,C1448*E1448))))))),2)</f>
        <v>85</v>
      </c>
      <c r="J1448" s="537" t="s">
        <v>271</v>
      </c>
      <c r="K1448" s="111"/>
      <c r="L1448" s="81"/>
      <c r="M1448" s="111"/>
    </row>
    <row r="1449" spans="1:13" hidden="1">
      <c r="A1449" s="81"/>
      <c r="B1449" s="111"/>
      <c r="C1449" s="112"/>
      <c r="D1449" s="533"/>
      <c r="E1449" s="534"/>
      <c r="F1449" s="113"/>
      <c r="G1449" s="539"/>
      <c r="H1449" s="81"/>
      <c r="I1449" s="531"/>
      <c r="J1449" s="537" t="s">
        <v>271</v>
      </c>
      <c r="K1449" s="12">
        <f>'sani data 2024-25'!G91</f>
        <v>25</v>
      </c>
      <c r="L1449" s="12" t="s">
        <v>273</v>
      </c>
      <c r="M1449" s="11">
        <f>ROUND(I1449*K1449,0)</f>
        <v>0</v>
      </c>
    </row>
    <row r="1450" spans="1:13" ht="63.75" hidden="1" customHeight="1">
      <c r="A1450" s="81">
        <v>11</v>
      </c>
      <c r="B1450" s="910" t="s">
        <v>272</v>
      </c>
      <c r="C1450" s="910"/>
      <c r="D1450" s="910"/>
      <c r="E1450" s="910"/>
      <c r="F1450" s="910"/>
      <c r="G1450" s="910"/>
      <c r="H1450" s="910"/>
      <c r="I1450" s="515"/>
      <c r="J1450" s="516"/>
      <c r="K1450" s="81"/>
      <c r="L1450" s="81"/>
      <c r="M1450" s="110"/>
    </row>
    <row r="1451" spans="1:13" s="525" customFormat="1" ht="16.5" hidden="1" customHeight="1">
      <c r="A1451" s="81"/>
      <c r="B1451" s="526" t="s">
        <v>1367</v>
      </c>
      <c r="C1451" s="527">
        <v>1</v>
      </c>
      <c r="D1451" s="528" t="s">
        <v>265</v>
      </c>
      <c r="E1451" s="529">
        <v>1</v>
      </c>
      <c r="F1451" s="530">
        <v>50</v>
      </c>
      <c r="G1451" s="530">
        <v>0</v>
      </c>
      <c r="H1451" s="530">
        <v>0</v>
      </c>
      <c r="I1451" s="531">
        <f>ROUND(IF(AND(F1451:H1451),C1451*E1451*F1451*G1451*H1451,IF(AND(F1451,G1451),C1451*E1451*F1451*G1451,IF(AND(F1451,H1451),C1451*E1451*F1451*H1451,IF(AND(G1451,H1451),C1451*E1451*G1451*H1451,IF(F1451,C1451*E1451*F1451,IF(G1451,C1451*E1451*G1451,IF(H1451,C1451*E1451*H1451,C1451*E1451))))))),2)</f>
        <v>50</v>
      </c>
      <c r="J1451" s="537" t="s">
        <v>271</v>
      </c>
      <c r="K1451" s="111"/>
      <c r="L1451" s="81"/>
      <c r="M1451" s="111"/>
    </row>
    <row r="1452" spans="1:13" s="525" customFormat="1" ht="16.5" hidden="1" customHeight="1">
      <c r="A1452" s="81"/>
      <c r="B1452" s="526"/>
      <c r="C1452" s="527"/>
      <c r="D1452" s="528"/>
      <c r="E1452" s="529"/>
      <c r="F1452" s="530"/>
      <c r="G1452" s="530"/>
      <c r="H1452" s="530"/>
      <c r="I1452" s="531"/>
      <c r="J1452" s="537"/>
      <c r="K1452" s="111"/>
      <c r="L1452" s="81"/>
      <c r="M1452" s="111"/>
    </row>
    <row r="1453" spans="1:13" hidden="1">
      <c r="A1453" s="81"/>
      <c r="B1453" s="111"/>
      <c r="C1453" s="112"/>
      <c r="D1453" s="533"/>
      <c r="E1453" s="534"/>
      <c r="F1453" s="113"/>
      <c r="G1453" s="539"/>
      <c r="H1453" s="81"/>
      <c r="I1453" s="531"/>
      <c r="J1453" s="537" t="s">
        <v>271</v>
      </c>
      <c r="K1453" s="12">
        <f>'sani data 2024-25'!G95</f>
        <v>35</v>
      </c>
      <c r="L1453" s="12" t="s">
        <v>273</v>
      </c>
      <c r="M1453" s="11">
        <f>ROUND(I1453*K1453,0)</f>
        <v>0</v>
      </c>
    </row>
    <row r="1454" spans="1:13" ht="39.75" hidden="1" customHeight="1">
      <c r="A1454" s="81">
        <v>11</v>
      </c>
      <c r="B1454" s="910" t="s">
        <v>345</v>
      </c>
      <c r="C1454" s="910"/>
      <c r="D1454" s="910"/>
      <c r="E1454" s="910"/>
      <c r="F1454" s="910"/>
      <c r="G1454" s="910"/>
      <c r="H1454" s="910"/>
      <c r="I1454" s="515"/>
      <c r="J1454" s="516"/>
      <c r="K1454" s="81"/>
      <c r="L1454" s="81"/>
      <c r="M1454" s="110"/>
    </row>
    <row r="1455" spans="1:13" s="525" customFormat="1" ht="16.5" hidden="1" customHeight="1">
      <c r="A1455" s="81"/>
      <c r="B1455" s="526"/>
      <c r="C1455" s="527">
        <v>1</v>
      </c>
      <c r="D1455" s="528" t="s">
        <v>265</v>
      </c>
      <c r="E1455" s="529">
        <v>7</v>
      </c>
      <c r="F1455" s="530">
        <v>0</v>
      </c>
      <c r="G1455" s="530">
        <v>0</v>
      </c>
      <c r="H1455" s="530">
        <v>0</v>
      </c>
      <c r="I1455" s="585">
        <f>ROUND(IF(AND(F1455:H1455),C1455*E1455*F1455*G1455*H1455,IF(AND(F1455,G1455),C1455*E1455*F1455*G1455,IF(AND(F1455,H1455),C1455*E1455*F1455*H1455,IF(AND(G1455,H1455),C1455*E1455*G1455*H1455,IF(F1455,C1455*E1455*F1455,IF(G1455,C1455*E1455*G1455,IF(H1455,C1455*E1455*H1455,C1455*E1455))))))),2)</f>
        <v>7</v>
      </c>
      <c r="J1455" s="537" t="s">
        <v>114</v>
      </c>
      <c r="K1455" s="111"/>
      <c r="L1455" s="81"/>
      <c r="M1455" s="111"/>
    </row>
    <row r="1456" spans="1:13" s="525" customFormat="1" ht="16.5" hidden="1" customHeight="1">
      <c r="A1456" s="81"/>
      <c r="B1456" s="526"/>
      <c r="C1456" s="527"/>
      <c r="D1456" s="528"/>
      <c r="E1456" s="529"/>
      <c r="F1456" s="530"/>
      <c r="G1456" s="530"/>
      <c r="H1456" s="530"/>
      <c r="I1456" s="585"/>
      <c r="J1456" s="537"/>
      <c r="K1456" s="111"/>
      <c r="L1456" s="81"/>
      <c r="M1456" s="111"/>
    </row>
    <row r="1457" spans="1:13" hidden="1">
      <c r="A1457" s="81"/>
      <c r="B1457" s="111"/>
      <c r="C1457" s="112"/>
      <c r="D1457" s="533"/>
      <c r="E1457" s="534"/>
      <c r="F1457" s="113"/>
      <c r="G1457" s="539"/>
      <c r="H1457" s="81"/>
      <c r="I1457" s="585"/>
      <c r="J1457" s="537" t="s">
        <v>114</v>
      </c>
      <c r="K1457" s="12">
        <f>'sani data 2024-25'!G64</f>
        <v>387</v>
      </c>
      <c r="L1457" s="12" t="s">
        <v>268</v>
      </c>
      <c r="M1457" s="11">
        <f>ROUND(I1457*K1457,0)</f>
        <v>0</v>
      </c>
    </row>
    <row r="1458" spans="1:13" ht="39.75" hidden="1" customHeight="1">
      <c r="A1458" s="81">
        <v>12</v>
      </c>
      <c r="B1458" s="910" t="s">
        <v>2307</v>
      </c>
      <c r="C1458" s="910"/>
      <c r="D1458" s="910"/>
      <c r="E1458" s="910"/>
      <c r="F1458" s="910"/>
      <c r="G1458" s="910"/>
      <c r="H1458" s="910"/>
      <c r="I1458" s="515"/>
      <c r="J1458" s="516"/>
      <c r="K1458" s="81"/>
      <c r="L1458" s="81"/>
      <c r="M1458" s="110"/>
    </row>
    <row r="1459" spans="1:13" s="525" customFormat="1" ht="16.5" hidden="1" customHeight="1">
      <c r="A1459" s="81"/>
      <c r="B1459" s="526"/>
      <c r="C1459" s="527">
        <v>1</v>
      </c>
      <c r="D1459" s="528" t="s">
        <v>265</v>
      </c>
      <c r="E1459" s="529">
        <v>2</v>
      </c>
      <c r="F1459" s="530">
        <v>0</v>
      </c>
      <c r="G1459" s="530">
        <v>0</v>
      </c>
      <c r="H1459" s="530">
        <v>0</v>
      </c>
      <c r="I1459" s="585">
        <f>ROUND(IF(AND(F1459:H1459),C1459*E1459*F1459*G1459*H1459,IF(AND(F1459,G1459),C1459*E1459*F1459*G1459,IF(AND(F1459,H1459),C1459*E1459*F1459*H1459,IF(AND(G1459,H1459),C1459*E1459*G1459*H1459,IF(F1459,C1459*E1459*F1459,IF(G1459,C1459*E1459*G1459,IF(H1459,C1459*E1459*H1459,C1459*E1459))))))),2)</f>
        <v>2</v>
      </c>
      <c r="J1459" s="537" t="s">
        <v>114</v>
      </c>
      <c r="K1459" s="111"/>
      <c r="L1459" s="81"/>
      <c r="M1459" s="111"/>
    </row>
    <row r="1460" spans="1:13" s="525" customFormat="1" ht="16.5" hidden="1" customHeight="1">
      <c r="A1460" s="81"/>
      <c r="B1460" s="526"/>
      <c r="C1460" s="527"/>
      <c r="D1460" s="528"/>
      <c r="E1460" s="529"/>
      <c r="F1460" s="530"/>
      <c r="G1460" s="530"/>
      <c r="H1460" s="530"/>
      <c r="I1460" s="585"/>
      <c r="J1460" s="537"/>
      <c r="K1460" s="111"/>
      <c r="L1460" s="81"/>
      <c r="M1460" s="111"/>
    </row>
    <row r="1461" spans="1:13" hidden="1">
      <c r="A1461" s="81"/>
      <c r="B1461" s="111"/>
      <c r="C1461" s="112"/>
      <c r="D1461" s="533"/>
      <c r="E1461" s="534"/>
      <c r="F1461" s="113"/>
      <c r="G1461" s="539"/>
      <c r="H1461" s="81"/>
      <c r="I1461" s="585"/>
      <c r="J1461" s="537" t="s">
        <v>114</v>
      </c>
      <c r="K1461" s="12">
        <f>'sani data 2024-25'!G68</f>
        <v>4166</v>
      </c>
      <c r="L1461" s="12" t="s">
        <v>268</v>
      </c>
      <c r="M1461" s="11">
        <f>ROUND(I1461*K1461,0)</f>
        <v>0</v>
      </c>
    </row>
    <row r="1462" spans="1:13" ht="28.5" hidden="1" customHeight="1">
      <c r="A1462" s="81">
        <v>4</v>
      </c>
      <c r="B1462" s="910" t="s">
        <v>670</v>
      </c>
      <c r="C1462" s="910"/>
      <c r="D1462" s="910"/>
      <c r="E1462" s="910"/>
      <c r="F1462" s="910"/>
      <c r="G1462" s="910"/>
      <c r="H1462" s="910"/>
      <c r="I1462" s="515"/>
      <c r="J1462" s="516"/>
      <c r="K1462" s="81"/>
      <c r="L1462" s="81"/>
      <c r="M1462" s="110"/>
    </row>
    <row r="1463" spans="1:13" s="525" customFormat="1" ht="16.5" hidden="1" customHeight="1">
      <c r="A1463" s="81"/>
      <c r="B1463" s="558" t="s">
        <v>592</v>
      </c>
      <c r="C1463" s="547"/>
      <c r="D1463" s="548"/>
      <c r="E1463" s="549"/>
      <c r="F1463" s="550"/>
      <c r="G1463" s="550"/>
      <c r="H1463" s="551"/>
      <c r="I1463" s="552"/>
      <c r="J1463" s="537"/>
      <c r="K1463" s="111"/>
      <c r="L1463" s="81"/>
      <c r="M1463" s="111"/>
    </row>
    <row r="1464" spans="1:13" s="525" customFormat="1" ht="16.5" hidden="1" customHeight="1">
      <c r="A1464" s="81"/>
      <c r="B1464" s="526"/>
      <c r="C1464" s="527">
        <v>1</v>
      </c>
      <c r="D1464" s="528" t="s">
        <v>265</v>
      </c>
      <c r="E1464" s="529">
        <v>2</v>
      </c>
      <c r="F1464" s="530">
        <f>I1454</f>
        <v>0</v>
      </c>
      <c r="G1464" s="530">
        <v>0</v>
      </c>
      <c r="H1464" s="530">
        <v>0</v>
      </c>
      <c r="I1464" s="531">
        <f>ROUND(IF(AND(F1464:H1464),C1464*E1464*F1464*G1464*H1464,IF(AND(F1464,G1464),C1464*E1464*F1464*G1464,IF(AND(F1464,H1464),C1464*E1464*F1464*H1464,IF(AND(G1464,H1464),C1464*E1464*G1464*H1464,IF(F1464,C1464*E1464*F1464,IF(G1464,C1464*E1464*G1464,IF(H1464,C1464*E1464*H1464,C1464*E1464))))))),2)</f>
        <v>2</v>
      </c>
      <c r="J1464" s="537" t="s">
        <v>114</v>
      </c>
      <c r="K1464" s="111"/>
      <c r="L1464" s="81"/>
      <c r="M1464" s="111"/>
    </row>
    <row r="1465" spans="1:13" hidden="1">
      <c r="A1465" s="81"/>
      <c r="B1465" s="111"/>
      <c r="C1465" s="112"/>
      <c r="D1465" s="533"/>
      <c r="E1465" s="534"/>
      <c r="F1465" s="113"/>
      <c r="G1465" s="539"/>
      <c r="H1465" s="81"/>
      <c r="I1465" s="531"/>
      <c r="J1465" s="537" t="s">
        <v>114</v>
      </c>
      <c r="K1465" s="12">
        <f>'sani data 2024-25'!G60</f>
        <v>1644</v>
      </c>
      <c r="L1465" s="12" t="s">
        <v>268</v>
      </c>
      <c r="M1465" s="11">
        <f>ROUND(I1465*K1465,0)</f>
        <v>0</v>
      </c>
    </row>
    <row r="1466" spans="1:13" ht="29.25" hidden="1" customHeight="1">
      <c r="A1466" s="81">
        <v>22</v>
      </c>
      <c r="B1466" s="910" t="s">
        <v>334</v>
      </c>
      <c r="C1466" s="910"/>
      <c r="D1466" s="910"/>
      <c r="E1466" s="910"/>
      <c r="F1466" s="910"/>
      <c r="G1466" s="910"/>
      <c r="H1466" s="910"/>
      <c r="I1466" s="515"/>
      <c r="J1466" s="516"/>
      <c r="K1466" s="81"/>
      <c r="L1466" s="81"/>
      <c r="M1466" s="110"/>
    </row>
    <row r="1467" spans="1:13" s="525" customFormat="1" ht="16.5" hidden="1" customHeight="1">
      <c r="A1467" s="81"/>
      <c r="B1467" s="526"/>
      <c r="C1467" s="527">
        <v>1</v>
      </c>
      <c r="D1467" s="528" t="s">
        <v>265</v>
      </c>
      <c r="E1467" s="529">
        <v>1</v>
      </c>
      <c r="F1467" s="530">
        <v>10</v>
      </c>
      <c r="G1467" s="530">
        <v>0</v>
      </c>
      <c r="H1467" s="530">
        <v>0</v>
      </c>
      <c r="I1467" s="531">
        <f>ROUND(IF(AND(F1467:H1467),C1467*E1467*F1467*G1467*H1467,IF(AND(F1467,G1467),C1467*E1467*F1467*G1467,IF(AND(F1467,H1467),C1467*E1467*F1467*H1467,IF(AND(G1467,H1467),C1467*E1467*G1467*H1467,IF(F1467,C1467*E1467*F1467,IF(G1467,C1467*E1467*G1467,IF(H1467,C1467*E1467*H1467,C1467*E1467))))))),2)</f>
        <v>10</v>
      </c>
      <c r="J1467" s="537" t="s">
        <v>271</v>
      </c>
      <c r="K1467" s="111"/>
      <c r="L1467" s="81"/>
      <c r="M1467" s="111"/>
    </row>
    <row r="1468" spans="1:13" s="525" customFormat="1" ht="16.5" hidden="1" customHeight="1">
      <c r="A1468" s="81"/>
      <c r="B1468" s="526"/>
      <c r="C1468" s="527">
        <v>1</v>
      </c>
      <c r="D1468" s="528" t="s">
        <v>265</v>
      </c>
      <c r="E1468" s="529">
        <v>1</v>
      </c>
      <c r="F1468" s="530">
        <v>5</v>
      </c>
      <c r="G1468" s="530">
        <v>0</v>
      </c>
      <c r="H1468" s="530">
        <v>0</v>
      </c>
      <c r="I1468" s="531">
        <f>ROUND(IF(AND(F1468:H1468),C1468*E1468*F1468*G1468*H1468,IF(AND(F1468,G1468),C1468*E1468*F1468*G1468,IF(AND(F1468,H1468),C1468*E1468*F1468*H1468,IF(AND(G1468,H1468),C1468*E1468*G1468*H1468,IF(F1468,C1468*E1468*F1468,IF(G1468,C1468*E1468*G1468,IF(H1468,C1468*E1468*H1468,C1468*E1468))))))),2)</f>
        <v>5</v>
      </c>
      <c r="J1468" s="537" t="s">
        <v>271</v>
      </c>
      <c r="K1468" s="111"/>
      <c r="L1468" s="81"/>
      <c r="M1468" s="111"/>
    </row>
    <row r="1469" spans="1:13" s="525" customFormat="1" ht="16.5" hidden="1" customHeight="1">
      <c r="A1469" s="81"/>
      <c r="B1469" s="526"/>
      <c r="C1469" s="527"/>
      <c r="D1469" s="528"/>
      <c r="E1469" s="529"/>
      <c r="F1469" s="530"/>
      <c r="G1469" s="530"/>
      <c r="H1469" s="530"/>
      <c r="I1469" s="531"/>
      <c r="J1469" s="537"/>
      <c r="K1469" s="111"/>
      <c r="L1469" s="81"/>
      <c r="M1469" s="111"/>
    </row>
    <row r="1470" spans="1:13" hidden="1">
      <c r="A1470" s="81"/>
      <c r="B1470" s="111"/>
      <c r="C1470" s="112"/>
      <c r="D1470" s="533"/>
      <c r="E1470" s="534"/>
      <c r="F1470" s="113"/>
      <c r="G1470" s="539"/>
      <c r="H1470" s="81"/>
      <c r="I1470" s="531"/>
      <c r="J1470" s="537" t="s">
        <v>271</v>
      </c>
      <c r="K1470" s="12">
        <f>'sani data 2024-25'!G40</f>
        <v>149</v>
      </c>
      <c r="L1470" s="12" t="s">
        <v>273</v>
      </c>
      <c r="M1470" s="11">
        <f>ROUND(I1470*K1470,0)</f>
        <v>0</v>
      </c>
    </row>
    <row r="1471" spans="1:13" ht="29.25" hidden="1" customHeight="1">
      <c r="A1471" s="81">
        <v>6</v>
      </c>
      <c r="B1471" s="910" t="s">
        <v>339</v>
      </c>
      <c r="C1471" s="910"/>
      <c r="D1471" s="910"/>
      <c r="E1471" s="910"/>
      <c r="F1471" s="910"/>
      <c r="G1471" s="910"/>
      <c r="H1471" s="910"/>
      <c r="I1471" s="515"/>
      <c r="J1471" s="516"/>
      <c r="K1471" s="81"/>
      <c r="L1471" s="81"/>
      <c r="M1471" s="110"/>
    </row>
    <row r="1472" spans="1:13" s="525" customFormat="1" ht="16.5" hidden="1" customHeight="1">
      <c r="A1472" s="81"/>
      <c r="B1472" s="111" t="s">
        <v>1326</v>
      </c>
      <c r="C1472" s="547"/>
      <c r="D1472" s="548"/>
      <c r="E1472" s="549"/>
      <c r="F1472" s="550"/>
      <c r="G1472" s="550"/>
      <c r="H1472" s="551"/>
      <c r="I1472" s="552"/>
      <c r="J1472" s="537"/>
      <c r="K1472" s="111"/>
      <c r="L1472" s="81"/>
      <c r="M1472" s="111"/>
    </row>
    <row r="1473" spans="1:13" s="525" customFormat="1" ht="16.5" hidden="1" customHeight="1">
      <c r="A1473" s="81"/>
      <c r="B1473" s="526"/>
      <c r="C1473" s="527">
        <v>1</v>
      </c>
      <c r="D1473" s="528" t="s">
        <v>265</v>
      </c>
      <c r="E1473" s="529">
        <v>1</v>
      </c>
      <c r="F1473" s="530">
        <v>10</v>
      </c>
      <c r="G1473" s="530">
        <v>0</v>
      </c>
      <c r="H1473" s="530">
        <v>0</v>
      </c>
      <c r="I1473" s="531">
        <f>ROUND(IF(AND(F1473:H1473),C1473*E1473*F1473*G1473*H1473,IF(AND(F1473,G1473),C1473*E1473*F1473*G1473,IF(AND(F1473,H1473),C1473*E1473*F1473*H1473,IF(AND(G1473,H1473),C1473*E1473*G1473*H1473,IF(F1473,C1473*E1473*F1473,IF(G1473,C1473*E1473*G1473,IF(H1473,C1473*E1473*H1473,C1473*E1473))))))),2)</f>
        <v>10</v>
      </c>
      <c r="J1473" s="537" t="s">
        <v>271</v>
      </c>
      <c r="K1473" s="111"/>
      <c r="L1473" s="81"/>
      <c r="M1473" s="111"/>
    </row>
    <row r="1474" spans="1:13" hidden="1">
      <c r="A1474" s="81"/>
      <c r="B1474" s="111"/>
      <c r="C1474" s="112"/>
      <c r="D1474" s="533"/>
      <c r="E1474" s="534"/>
      <c r="F1474" s="113"/>
      <c r="G1474" s="539"/>
      <c r="H1474" s="81"/>
      <c r="I1474" s="531"/>
      <c r="J1474" s="537" t="s">
        <v>271</v>
      </c>
      <c r="K1474" s="12">
        <f>'sani data 2024-25'!G46</f>
        <v>141.66666666666666</v>
      </c>
      <c r="L1474" s="12" t="s">
        <v>273</v>
      </c>
      <c r="M1474" s="11">
        <f>ROUND(I1474*K1474,0)</f>
        <v>0</v>
      </c>
    </row>
    <row r="1475" spans="1:13" ht="29.25" hidden="1" customHeight="1">
      <c r="A1475" s="81">
        <v>23</v>
      </c>
      <c r="B1475" s="910" t="s">
        <v>341</v>
      </c>
      <c r="C1475" s="910"/>
      <c r="D1475" s="910"/>
      <c r="E1475" s="910"/>
      <c r="F1475" s="910"/>
      <c r="G1475" s="910"/>
      <c r="H1475" s="910"/>
      <c r="I1475" s="515"/>
      <c r="J1475" s="516"/>
      <c r="K1475" s="81"/>
      <c r="L1475" s="81"/>
      <c r="M1475" s="110"/>
    </row>
    <row r="1476" spans="1:13" s="525" customFormat="1" ht="16.5" hidden="1" customHeight="1">
      <c r="A1476" s="81"/>
      <c r="B1476" s="526"/>
      <c r="C1476" s="527">
        <v>1</v>
      </c>
      <c r="D1476" s="528" t="s">
        <v>265</v>
      </c>
      <c r="E1476" s="529">
        <v>1</v>
      </c>
      <c r="F1476" s="530">
        <v>6</v>
      </c>
      <c r="G1476" s="530">
        <v>0</v>
      </c>
      <c r="H1476" s="530">
        <v>0</v>
      </c>
      <c r="I1476" s="531">
        <f>ROUND(IF(AND(F1476:H1476),C1476*E1476*F1476*G1476*H1476,IF(AND(F1476,G1476),C1476*E1476*F1476*G1476,IF(AND(F1476,H1476),C1476*E1476*F1476*H1476,IF(AND(G1476,H1476),C1476*E1476*G1476*H1476,IF(F1476,C1476*E1476*F1476,IF(G1476,C1476*E1476*G1476,IF(H1476,C1476*E1476*H1476,C1476*E1476))))))),2)</f>
        <v>6</v>
      </c>
      <c r="J1476" s="537" t="s">
        <v>271</v>
      </c>
      <c r="K1476" s="111"/>
      <c r="L1476" s="81"/>
      <c r="M1476" s="111"/>
    </row>
    <row r="1477" spans="1:13" s="525" customFormat="1" ht="16.5" hidden="1" customHeight="1">
      <c r="A1477" s="81"/>
      <c r="B1477" s="526"/>
      <c r="C1477" s="527"/>
      <c r="D1477" s="528"/>
      <c r="E1477" s="529"/>
      <c r="F1477" s="530"/>
      <c r="G1477" s="530"/>
      <c r="H1477" s="530"/>
      <c r="I1477" s="531"/>
      <c r="J1477" s="537"/>
      <c r="K1477" s="111"/>
      <c r="L1477" s="81"/>
      <c r="M1477" s="111"/>
    </row>
    <row r="1478" spans="1:13" hidden="1">
      <c r="A1478" s="81"/>
      <c r="B1478" s="111"/>
      <c r="C1478" s="112"/>
      <c r="D1478" s="533"/>
      <c r="E1478" s="534"/>
      <c r="F1478" s="113"/>
      <c r="G1478" s="539"/>
      <c r="H1478" s="81"/>
      <c r="I1478" s="531"/>
      <c r="J1478" s="537" t="s">
        <v>271</v>
      </c>
      <c r="K1478" s="12">
        <f>'sani data 2024-25'!G52</f>
        <v>89</v>
      </c>
      <c r="L1478" s="12" t="s">
        <v>273</v>
      </c>
      <c r="M1478" s="11">
        <f>ROUND(I1478*K1478,0)</f>
        <v>0</v>
      </c>
    </row>
    <row r="1479" spans="1:13" ht="53.25" hidden="1" customHeight="1">
      <c r="A1479" s="81">
        <v>24</v>
      </c>
      <c r="B1479" s="910" t="s">
        <v>343</v>
      </c>
      <c r="C1479" s="910"/>
      <c r="D1479" s="910"/>
      <c r="E1479" s="910"/>
      <c r="F1479" s="910"/>
      <c r="G1479" s="910"/>
      <c r="H1479" s="910"/>
      <c r="I1479" s="515"/>
      <c r="J1479" s="516"/>
      <c r="K1479" s="81"/>
      <c r="L1479" s="81"/>
      <c r="M1479" s="110"/>
    </row>
    <row r="1480" spans="1:13" s="525" customFormat="1" ht="16.5" hidden="1" customHeight="1">
      <c r="A1480" s="81"/>
      <c r="B1480" s="526" t="s">
        <v>413</v>
      </c>
      <c r="C1480" s="527">
        <v>1</v>
      </c>
      <c r="D1480" s="528" t="s">
        <v>265</v>
      </c>
      <c r="E1480" s="529">
        <v>1</v>
      </c>
      <c r="F1480" s="530">
        <v>15</v>
      </c>
      <c r="G1480" s="530">
        <v>0</v>
      </c>
      <c r="H1480" s="530">
        <v>0</v>
      </c>
      <c r="I1480" s="531">
        <f>ROUND(IF(AND(F1480:H1480),C1480*E1480*F1480*G1480*H1480,IF(AND(F1480,G1480),C1480*E1480*F1480*G1480,IF(AND(F1480,H1480),C1480*E1480*F1480*H1480,IF(AND(G1480,H1480),C1480*E1480*G1480*H1480,IF(F1480,C1480*E1480*F1480,IF(G1480,C1480*E1480*G1480,IF(H1480,C1480*E1480*H1480,C1480*E1480))))))),2)</f>
        <v>15</v>
      </c>
      <c r="J1480" s="537" t="s">
        <v>271</v>
      </c>
      <c r="K1480" s="111"/>
      <c r="L1480" s="81"/>
      <c r="M1480" s="111"/>
    </row>
    <row r="1481" spans="1:13" s="525" customFormat="1" ht="16.5" hidden="1" customHeight="1">
      <c r="A1481" s="81"/>
      <c r="B1481" s="526" t="s">
        <v>837</v>
      </c>
      <c r="C1481" s="527">
        <v>1</v>
      </c>
      <c r="D1481" s="528" t="s">
        <v>265</v>
      </c>
      <c r="E1481" s="529">
        <v>1</v>
      </c>
      <c r="F1481" s="530">
        <v>6</v>
      </c>
      <c r="G1481" s="530">
        <v>0</v>
      </c>
      <c r="H1481" s="530">
        <v>0</v>
      </c>
      <c r="I1481" s="531">
        <f>ROUND(IF(AND(F1481:H1481),C1481*E1481*F1481*G1481*H1481,IF(AND(F1481,G1481),C1481*E1481*F1481*G1481,IF(AND(F1481,H1481),C1481*E1481*F1481*H1481,IF(AND(G1481,H1481),C1481*E1481*G1481*H1481,IF(F1481,C1481*E1481*F1481,IF(G1481,C1481*E1481*G1481,IF(H1481,C1481*E1481*H1481,C1481*E1481))))))),2)</f>
        <v>6</v>
      </c>
      <c r="J1481" s="537" t="s">
        <v>271</v>
      </c>
      <c r="K1481" s="111"/>
      <c r="L1481" s="81"/>
      <c r="M1481" s="111"/>
    </row>
    <row r="1482" spans="1:13" s="525" customFormat="1" ht="16.5" hidden="1" customHeight="1">
      <c r="A1482" s="81"/>
      <c r="B1482" s="526"/>
      <c r="C1482" s="527"/>
      <c r="D1482" s="528"/>
      <c r="E1482" s="529"/>
      <c r="F1482" s="530"/>
      <c r="G1482" s="530"/>
      <c r="H1482" s="530"/>
      <c r="I1482" s="531"/>
      <c r="J1482" s="537"/>
      <c r="K1482" s="111"/>
      <c r="L1482" s="81"/>
      <c r="M1482" s="111"/>
    </row>
    <row r="1483" spans="1:13" hidden="1">
      <c r="A1483" s="81"/>
      <c r="B1483" s="111"/>
      <c r="C1483" s="112"/>
      <c r="D1483" s="533"/>
      <c r="E1483" s="534"/>
      <c r="F1483" s="113"/>
      <c r="G1483" s="539"/>
      <c r="H1483" s="81"/>
      <c r="I1483" s="531"/>
      <c r="J1483" s="537" t="s">
        <v>271</v>
      </c>
      <c r="K1483" s="12">
        <f>'sani data 2024-25'!G56</f>
        <v>84</v>
      </c>
      <c r="L1483" s="12" t="s">
        <v>273</v>
      </c>
      <c r="M1483" s="11">
        <f>ROUND(I1483*K1483,0)</f>
        <v>0</v>
      </c>
    </row>
    <row r="1484" spans="1:13" ht="66" hidden="1" customHeight="1">
      <c r="A1484" s="81">
        <v>13</v>
      </c>
      <c r="B1484" s="910" t="s">
        <v>319</v>
      </c>
      <c r="C1484" s="910"/>
      <c r="D1484" s="910"/>
      <c r="E1484" s="910"/>
      <c r="F1484" s="910"/>
      <c r="G1484" s="910"/>
      <c r="H1484" s="910"/>
      <c r="I1484" s="515"/>
      <c r="J1484" s="516"/>
      <c r="K1484" s="81"/>
      <c r="L1484" s="81"/>
      <c r="M1484" s="110"/>
    </row>
    <row r="1485" spans="1:13" s="525" customFormat="1" ht="16.5" hidden="1" customHeight="1">
      <c r="A1485" s="81"/>
      <c r="B1485" s="526" t="s">
        <v>302</v>
      </c>
      <c r="C1485" s="527">
        <v>1</v>
      </c>
      <c r="D1485" s="528" t="s">
        <v>265</v>
      </c>
      <c r="E1485" s="529">
        <v>1</v>
      </c>
      <c r="F1485" s="530">
        <v>0</v>
      </c>
      <c r="G1485" s="530">
        <v>0</v>
      </c>
      <c r="H1485" s="530">
        <v>0</v>
      </c>
      <c r="I1485" s="585">
        <f>ROUND(IF(AND(F1485:H1485),C1485*E1485*F1485*G1485*H1485,IF(AND(F1485,G1485),C1485*E1485*F1485*G1485,IF(AND(F1485,H1485),C1485*E1485*F1485*H1485,IF(AND(G1485,H1485),C1485*E1485*G1485*H1485,IF(F1485,C1485*E1485*F1485,IF(G1485,C1485*E1485*G1485,IF(H1485,C1485*E1485*H1485,C1485*E1485))))))),2)</f>
        <v>1</v>
      </c>
      <c r="J1485" s="537" t="s">
        <v>114</v>
      </c>
      <c r="K1485" s="111"/>
      <c r="L1485" s="81"/>
      <c r="M1485" s="111"/>
    </row>
    <row r="1486" spans="1:13" s="525" customFormat="1" ht="16.5" hidden="1" customHeight="1">
      <c r="A1486" s="81"/>
      <c r="B1486" s="526"/>
      <c r="C1486" s="527"/>
      <c r="D1486" s="528"/>
      <c r="E1486" s="529"/>
      <c r="F1486" s="530"/>
      <c r="G1486" s="530"/>
      <c r="H1486" s="530"/>
      <c r="I1486" s="585"/>
      <c r="J1486" s="537"/>
      <c r="K1486" s="111"/>
      <c r="L1486" s="81"/>
      <c r="M1486" s="111"/>
    </row>
    <row r="1487" spans="1:13" hidden="1">
      <c r="A1487" s="81"/>
      <c r="B1487" s="111"/>
      <c r="C1487" s="112"/>
      <c r="D1487" s="533"/>
      <c r="E1487" s="534"/>
      <c r="F1487" s="113"/>
      <c r="G1487" s="539"/>
      <c r="H1487" s="81"/>
      <c r="I1487" s="585"/>
      <c r="J1487" s="537" t="s">
        <v>114</v>
      </c>
      <c r="K1487" s="12">
        <f>'sani data 2024-25'!G10</f>
        <v>5297</v>
      </c>
      <c r="L1487" s="12" t="s">
        <v>268</v>
      </c>
      <c r="M1487" s="11">
        <f>ROUND(I1487*K1487,0)</f>
        <v>0</v>
      </c>
    </row>
    <row r="1488" spans="1:13" ht="36" hidden="1" customHeight="1">
      <c r="A1488" s="81">
        <v>8</v>
      </c>
      <c r="B1488" s="910" t="s">
        <v>593</v>
      </c>
      <c r="C1488" s="910"/>
      <c r="D1488" s="910"/>
      <c r="E1488" s="910"/>
      <c r="F1488" s="910"/>
      <c r="G1488" s="910"/>
      <c r="H1488" s="910"/>
      <c r="I1488" s="515"/>
      <c r="J1488" s="516"/>
      <c r="K1488" s="81"/>
      <c r="L1488" s="81"/>
      <c r="M1488" s="110"/>
    </row>
    <row r="1489" spans="1:13" s="525" customFormat="1" ht="16.5" hidden="1" customHeight="1">
      <c r="A1489" s="81"/>
      <c r="B1489" s="558" t="s">
        <v>592</v>
      </c>
      <c r="C1489" s="547"/>
      <c r="D1489" s="548"/>
      <c r="E1489" s="549"/>
      <c r="F1489" s="550"/>
      <c r="G1489" s="550"/>
      <c r="H1489" s="551"/>
      <c r="I1489" s="552"/>
      <c r="J1489" s="537"/>
      <c r="K1489" s="111"/>
      <c r="L1489" s="81"/>
      <c r="M1489" s="111"/>
    </row>
    <row r="1490" spans="1:13" s="525" customFormat="1" ht="16.5" hidden="1" customHeight="1">
      <c r="A1490" s="81"/>
      <c r="B1490" s="526" t="s">
        <v>302</v>
      </c>
      <c r="C1490" s="527">
        <v>1</v>
      </c>
      <c r="D1490" s="528" t="s">
        <v>265</v>
      </c>
      <c r="E1490" s="529">
        <v>1</v>
      </c>
      <c r="F1490" s="530">
        <v>0</v>
      </c>
      <c r="G1490" s="530">
        <v>0</v>
      </c>
      <c r="H1490" s="530">
        <v>0</v>
      </c>
      <c r="I1490" s="531">
        <f>ROUND(IF(AND(F1490:H1490),C1490*E1490*F1490*G1490*H1490,IF(AND(F1490,G1490),C1490*E1490*F1490*G1490,IF(AND(F1490,H1490),C1490*E1490*F1490*H1490,IF(AND(G1490,H1490),C1490*E1490*G1490*H1490,IF(F1490,C1490*E1490*F1490,IF(G1490,C1490*E1490*G1490,IF(H1490,C1490*E1490*H1490,C1490*E1490))))))),2)</f>
        <v>1</v>
      </c>
      <c r="J1490" s="537" t="s">
        <v>114</v>
      </c>
      <c r="K1490" s="111"/>
      <c r="L1490" s="81"/>
      <c r="M1490" s="111"/>
    </row>
    <row r="1491" spans="1:13" hidden="1">
      <c r="A1491" s="81"/>
      <c r="B1491" s="111"/>
      <c r="C1491" s="112"/>
      <c r="D1491" s="533"/>
      <c r="E1491" s="534"/>
      <c r="F1491" s="113"/>
      <c r="G1491" s="539"/>
      <c r="H1491" s="81"/>
      <c r="I1491" s="531"/>
      <c r="J1491" s="537" t="s">
        <v>114</v>
      </c>
      <c r="K1491" s="12">
        <f>'sani data 2024-25'!G13</f>
        <v>1036</v>
      </c>
      <c r="L1491" s="12" t="s">
        <v>268</v>
      </c>
      <c r="M1491" s="11">
        <f>ROUND(I1491*K1491,0)</f>
        <v>0</v>
      </c>
    </row>
    <row r="1492" spans="1:13" ht="57" hidden="1" customHeight="1">
      <c r="A1492" s="81">
        <v>10</v>
      </c>
      <c r="B1492" s="910" t="s">
        <v>1037</v>
      </c>
      <c r="C1492" s="910"/>
      <c r="D1492" s="910"/>
      <c r="E1492" s="910"/>
      <c r="F1492" s="910"/>
      <c r="G1492" s="910"/>
      <c r="H1492" s="910"/>
      <c r="I1492" s="515"/>
      <c r="J1492" s="516"/>
      <c r="K1492" s="81"/>
      <c r="L1492" s="81"/>
      <c r="M1492" s="110"/>
    </row>
    <row r="1493" spans="1:13" s="525" customFormat="1" ht="16.5" hidden="1" customHeight="1">
      <c r="A1493" s="81"/>
      <c r="B1493" s="111" t="s">
        <v>1017</v>
      </c>
      <c r="C1493" s="547"/>
      <c r="D1493" s="548"/>
      <c r="E1493" s="549"/>
      <c r="F1493" s="550"/>
      <c r="G1493" s="550"/>
      <c r="H1493" s="551"/>
      <c r="I1493" s="552"/>
      <c r="J1493" s="537"/>
      <c r="K1493" s="111"/>
      <c r="L1493" s="81"/>
      <c r="M1493" s="111"/>
    </row>
    <row r="1494" spans="1:13" s="525" customFormat="1" ht="16.5" hidden="1" customHeight="1">
      <c r="A1494" s="81"/>
      <c r="B1494" s="526" t="s">
        <v>302</v>
      </c>
      <c r="C1494" s="527">
        <v>1</v>
      </c>
      <c r="D1494" s="528" t="s">
        <v>265</v>
      </c>
      <c r="E1494" s="529">
        <v>2</v>
      </c>
      <c r="F1494" s="530">
        <v>0</v>
      </c>
      <c r="G1494" s="530">
        <v>0</v>
      </c>
      <c r="H1494" s="530">
        <v>0</v>
      </c>
      <c r="I1494" s="531">
        <f>ROUND(IF(AND(F1494:H1494),C1494*E1494*F1494*G1494*H1494,IF(AND(F1494,G1494),C1494*E1494*F1494*G1494,IF(AND(F1494,H1494),C1494*E1494*F1494*H1494,IF(AND(G1494,H1494),C1494*E1494*G1494*H1494,IF(F1494,C1494*E1494*F1494,IF(G1494,C1494*E1494*G1494,IF(H1494,C1494*E1494*H1494,C1494*E1494))))))),2)</f>
        <v>2</v>
      </c>
      <c r="J1494" s="537" t="s">
        <v>114</v>
      </c>
      <c r="K1494" s="111"/>
      <c r="L1494" s="81"/>
      <c r="M1494" s="111"/>
    </row>
    <row r="1495" spans="1:13" hidden="1">
      <c r="A1495" s="81"/>
      <c r="B1495" s="111"/>
      <c r="C1495" s="112"/>
      <c r="D1495" s="533"/>
      <c r="E1495" s="534"/>
      <c r="F1495" s="113"/>
      <c r="G1495" s="539"/>
      <c r="H1495" s="81"/>
      <c r="I1495" s="531"/>
      <c r="J1495" s="537" t="s">
        <v>114</v>
      </c>
      <c r="K1495" s="12">
        <f>'sani data 2024-25'!G16</f>
        <v>2644</v>
      </c>
      <c r="L1495" s="12" t="s">
        <v>268</v>
      </c>
      <c r="M1495" s="11">
        <f>ROUND(I1495*K1495,0)</f>
        <v>0</v>
      </c>
    </row>
    <row r="1496" spans="1:13" ht="148.5" hidden="1" customHeight="1">
      <c r="A1496" s="81">
        <v>14</v>
      </c>
      <c r="B1496" s="910" t="s">
        <v>324</v>
      </c>
      <c r="C1496" s="910"/>
      <c r="D1496" s="910"/>
      <c r="E1496" s="910"/>
      <c r="F1496" s="910"/>
      <c r="G1496" s="910"/>
      <c r="H1496" s="910"/>
      <c r="I1496" s="515"/>
      <c r="J1496" s="516"/>
      <c r="K1496" s="81"/>
      <c r="L1496" s="81"/>
      <c r="M1496" s="110"/>
    </row>
    <row r="1497" spans="1:13" s="525" customFormat="1" ht="16.5" hidden="1" customHeight="1">
      <c r="A1497" s="81"/>
      <c r="B1497" s="526"/>
      <c r="C1497" s="527">
        <v>1</v>
      </c>
      <c r="D1497" s="528" t="s">
        <v>265</v>
      </c>
      <c r="E1497" s="529">
        <v>1</v>
      </c>
      <c r="F1497" s="530">
        <v>0</v>
      </c>
      <c r="G1497" s="530">
        <v>0</v>
      </c>
      <c r="H1497" s="530">
        <v>0</v>
      </c>
      <c r="I1497" s="585">
        <f>ROUND(IF(AND(F1497:H1497),C1497*E1497*F1497*G1497*H1497,IF(AND(F1497,G1497),C1497*E1497*F1497*G1497,IF(AND(F1497,H1497),C1497*E1497*F1497*H1497,IF(AND(G1497,H1497),C1497*E1497*G1497*H1497,IF(F1497,C1497*E1497*F1497,IF(G1497,C1497*E1497*G1497,IF(H1497,C1497*E1497*H1497,C1497*E1497))))))),2)</f>
        <v>1</v>
      </c>
      <c r="J1497" s="537" t="s">
        <v>114</v>
      </c>
      <c r="K1497" s="111"/>
      <c r="L1497" s="81"/>
      <c r="M1497" s="111"/>
    </row>
    <row r="1498" spans="1:13" s="525" customFormat="1" ht="16.5" hidden="1" customHeight="1">
      <c r="A1498" s="81"/>
      <c r="B1498" s="526"/>
      <c r="C1498" s="527"/>
      <c r="D1498" s="528"/>
      <c r="E1498" s="529"/>
      <c r="F1498" s="530"/>
      <c r="G1498" s="530"/>
      <c r="H1498" s="530"/>
      <c r="I1498" s="585"/>
      <c r="J1498" s="537"/>
      <c r="K1498" s="111"/>
      <c r="L1498" s="81"/>
      <c r="M1498" s="111"/>
    </row>
    <row r="1499" spans="1:13" hidden="1">
      <c r="A1499" s="81"/>
      <c r="B1499" s="111"/>
      <c r="C1499" s="112"/>
      <c r="D1499" s="533"/>
      <c r="E1499" s="534"/>
      <c r="F1499" s="113"/>
      <c r="G1499" s="539"/>
      <c r="H1499" s="81"/>
      <c r="I1499" s="585"/>
      <c r="J1499" s="537" t="s">
        <v>114</v>
      </c>
      <c r="K1499" s="12">
        <f>'sani data 2024-25'!G24</f>
        <v>2025</v>
      </c>
      <c r="L1499" s="12" t="s">
        <v>268</v>
      </c>
      <c r="M1499" s="11">
        <f>ROUND(I1499*K1499,0)</f>
        <v>0</v>
      </c>
    </row>
    <row r="1500" spans="1:13" ht="21.75" hidden="1" customHeight="1">
      <c r="A1500" s="81">
        <v>38</v>
      </c>
      <c r="B1500" s="910" t="s">
        <v>707</v>
      </c>
      <c r="C1500" s="910"/>
      <c r="D1500" s="910"/>
      <c r="E1500" s="910"/>
      <c r="F1500" s="910"/>
      <c r="G1500" s="910"/>
      <c r="H1500" s="910"/>
      <c r="I1500" s="585"/>
      <c r="J1500" s="516"/>
      <c r="K1500" s="81"/>
      <c r="L1500" s="81"/>
      <c r="M1500" s="110"/>
    </row>
    <row r="1501" spans="1:13" s="525" customFormat="1" ht="16.5" hidden="1" customHeight="1">
      <c r="A1501" s="81"/>
      <c r="B1501" s="526"/>
      <c r="C1501" s="527">
        <v>1</v>
      </c>
      <c r="D1501" s="528" t="s">
        <v>265</v>
      </c>
      <c r="E1501" s="529">
        <v>3</v>
      </c>
      <c r="F1501" s="530">
        <v>0</v>
      </c>
      <c r="G1501" s="530">
        <v>0</v>
      </c>
      <c r="H1501" s="530">
        <v>0</v>
      </c>
      <c r="I1501" s="585">
        <f>ROUND(IF(AND(F1501:H1501),C1501*E1501*F1501*G1501*H1501,IF(AND(F1501,G1501),C1501*E1501*F1501*G1501,IF(AND(F1501,H1501),C1501*E1501*F1501*H1501,IF(AND(G1501,H1501),C1501*E1501*G1501*H1501,IF(F1501,C1501*E1501*F1501,IF(G1501,C1501*E1501*G1501,IF(H1501,C1501*E1501*H1501,C1501*E1501))))))),2)</f>
        <v>3</v>
      </c>
      <c r="J1501" s="537" t="s">
        <v>114</v>
      </c>
      <c r="K1501" s="111"/>
      <c r="L1501" s="81"/>
      <c r="M1501" s="111"/>
    </row>
    <row r="1502" spans="1:13" hidden="1">
      <c r="A1502" s="81"/>
      <c r="B1502" s="111"/>
      <c r="C1502" s="112"/>
      <c r="D1502" s="533"/>
      <c r="E1502" s="534"/>
      <c r="F1502" s="113"/>
      <c r="G1502" s="539"/>
      <c r="H1502" s="81"/>
      <c r="I1502" s="585"/>
      <c r="J1502" s="537" t="s">
        <v>114</v>
      </c>
      <c r="K1502" s="12">
        <f>'sani data 2024-25'!G152</f>
        <v>115</v>
      </c>
      <c r="L1502" s="12" t="s">
        <v>268</v>
      </c>
      <c r="M1502" s="11">
        <f>ROUND(I1502*K1502,0)</f>
        <v>0</v>
      </c>
    </row>
    <row r="1503" spans="1:13" ht="58.5" hidden="1" customHeight="1">
      <c r="A1503" s="81">
        <v>13</v>
      </c>
      <c r="B1503" s="910" t="s">
        <v>285</v>
      </c>
      <c r="C1503" s="910"/>
      <c r="D1503" s="910"/>
      <c r="E1503" s="910"/>
      <c r="F1503" s="910"/>
      <c r="G1503" s="910"/>
      <c r="H1503" s="910"/>
      <c r="I1503" s="515"/>
      <c r="J1503" s="516"/>
      <c r="K1503" s="81"/>
      <c r="L1503" s="81"/>
      <c r="M1503" s="110"/>
    </row>
    <row r="1504" spans="1:13" s="525" customFormat="1" ht="16.5" hidden="1" customHeight="1">
      <c r="A1504" s="81"/>
      <c r="B1504" s="526"/>
      <c r="C1504" s="527">
        <v>1</v>
      </c>
      <c r="D1504" s="528" t="s">
        <v>265</v>
      </c>
      <c r="E1504" s="529">
        <v>2</v>
      </c>
      <c r="F1504" s="603">
        <v>1000</v>
      </c>
      <c r="G1504" s="530">
        <v>0</v>
      </c>
      <c r="H1504" s="530">
        <v>0</v>
      </c>
      <c r="I1504" s="585">
        <f>ROUND(IF(AND(F1504:H1504),C1504*E1504*F1504*G1504*H1504,IF(AND(F1504,G1504),C1504*E1504*F1504*G1504,IF(AND(F1504,H1504),C1504*E1504*F1504*H1504,IF(AND(G1504,H1504),C1504*E1504*G1504*H1504,IF(F1504,C1504*E1504*F1504,IF(G1504,C1504*E1504*G1504,IF(H1504,C1504*E1504*H1504,C1504*E1504))))))),2)</f>
        <v>2000</v>
      </c>
      <c r="J1504" s="537" t="s">
        <v>286</v>
      </c>
      <c r="K1504" s="111"/>
      <c r="L1504" s="81"/>
      <c r="M1504" s="111"/>
    </row>
    <row r="1505" spans="1:17" s="525" customFormat="1" ht="16.5" hidden="1" customHeight="1">
      <c r="A1505" s="81"/>
      <c r="B1505" s="526"/>
      <c r="C1505" s="527"/>
      <c r="D1505" s="528"/>
      <c r="E1505" s="529"/>
      <c r="F1505" s="603"/>
      <c r="G1505" s="530"/>
      <c r="H1505" s="530"/>
      <c r="I1505" s="585"/>
      <c r="J1505" s="537"/>
      <c r="K1505" s="111"/>
      <c r="L1505" s="81"/>
      <c r="M1505" s="111"/>
    </row>
    <row r="1506" spans="1:17" hidden="1">
      <c r="A1506" s="81"/>
      <c r="B1506" s="111"/>
      <c r="C1506" s="112"/>
      <c r="D1506" s="533"/>
      <c r="E1506" s="534"/>
      <c r="F1506" s="113"/>
      <c r="G1506" s="539"/>
      <c r="H1506" s="81"/>
      <c r="I1506" s="585"/>
      <c r="J1506" s="537" t="s">
        <v>286</v>
      </c>
      <c r="K1506" s="12">
        <f>'sani data 2024-25'!G74</f>
        <v>9.5</v>
      </c>
      <c r="L1506" s="12" t="s">
        <v>268</v>
      </c>
      <c r="M1506" s="11">
        <f>ROUND(I1506*K1506,0)</f>
        <v>0</v>
      </c>
    </row>
    <row r="1507" spans="1:17" ht="146.25" hidden="1" customHeight="1">
      <c r="A1507" s="81">
        <v>3</v>
      </c>
      <c r="B1507" s="910" t="s">
        <v>437</v>
      </c>
      <c r="C1507" s="910"/>
      <c r="D1507" s="910"/>
      <c r="E1507" s="910"/>
      <c r="F1507" s="910"/>
      <c r="G1507" s="910"/>
      <c r="H1507" s="910"/>
      <c r="I1507" s="515"/>
      <c r="J1507" s="516"/>
      <c r="K1507" s="81"/>
      <c r="L1507" s="81"/>
      <c r="M1507" s="110"/>
    </row>
    <row r="1508" spans="1:17" s="525" customFormat="1" ht="16.5" hidden="1" customHeight="1">
      <c r="A1508" s="81"/>
      <c r="B1508" s="526" t="s">
        <v>576</v>
      </c>
      <c r="C1508" s="527"/>
      <c r="D1508" s="528" t="s">
        <v>265</v>
      </c>
      <c r="E1508" s="529">
        <v>1</v>
      </c>
      <c r="F1508" s="584">
        <v>90</v>
      </c>
      <c r="G1508" s="530">
        <v>0</v>
      </c>
      <c r="H1508" s="530">
        <v>0</v>
      </c>
      <c r="I1508" s="531">
        <f>ROUND(IF(AND(F1508:H1508),C1508*E1508*F1508*G1508*H1508,IF(AND(F1508,G1508),C1508*E1508*F1508*G1508,IF(AND(F1508,H1508),C1508*E1508*F1508*H1508,IF(AND(G1508,H1508),C1508*E1508*G1508*H1508,IF(F1508,C1508*E1508*F1508,IF(G1508,C1508*E1508*G1508,IF(H1508,C1508*E1508*H1508,C1508*E1508))))))),2)</f>
        <v>0</v>
      </c>
      <c r="J1508" s="537" t="s">
        <v>271</v>
      </c>
      <c r="K1508" s="125">
        <f>'sani data 2024-25'!G113</f>
        <v>492.16</v>
      </c>
      <c r="L1508" s="81" t="s">
        <v>273</v>
      </c>
      <c r="M1508" s="11">
        <f>ROUND(I1508*K1508,0)</f>
        <v>0</v>
      </c>
    </row>
    <row r="1509" spans="1:17" s="525" customFormat="1" ht="16.5" hidden="1" customHeight="1">
      <c r="A1509" s="81"/>
      <c r="B1509" s="526" t="s">
        <v>577</v>
      </c>
      <c r="C1509" s="527"/>
      <c r="D1509" s="528" t="s">
        <v>265</v>
      </c>
      <c r="E1509" s="529">
        <v>1</v>
      </c>
      <c r="F1509" s="603">
        <v>30</v>
      </c>
      <c r="G1509" s="530">
        <v>0</v>
      </c>
      <c r="H1509" s="530">
        <v>0</v>
      </c>
      <c r="I1509" s="531">
        <f>ROUND(IF(AND(F1509:H1509),C1509*E1509*F1509*G1509*H1509,IF(AND(F1509,G1509),C1509*E1509*F1509*G1509,IF(AND(F1509,H1509),C1509*E1509*F1509*H1509,IF(AND(G1509,H1509),C1509*E1509*G1509*H1509,IF(F1509,C1509*E1509*F1509,IF(G1509,C1509*E1509*G1509,IF(H1509,C1509*E1509*H1509,C1509*E1509))))))),2)</f>
        <v>0</v>
      </c>
      <c r="J1509" s="537" t="s">
        <v>271</v>
      </c>
      <c r="K1509" s="125">
        <f>'sani data 2024-25'!G115</f>
        <v>526.54999999999995</v>
      </c>
      <c r="L1509" s="81" t="s">
        <v>273</v>
      </c>
      <c r="M1509" s="11">
        <f>ROUND(I1509*K1509,0)</f>
        <v>0</v>
      </c>
    </row>
    <row r="1510" spans="1:17" s="525" customFormat="1" ht="16.5" hidden="1" customHeight="1">
      <c r="A1510" s="81"/>
      <c r="B1510" s="526" t="s">
        <v>578</v>
      </c>
      <c r="C1510" s="527"/>
      <c r="D1510" s="528" t="s">
        <v>265</v>
      </c>
      <c r="E1510" s="529">
        <v>1</v>
      </c>
      <c r="F1510" s="603">
        <v>60</v>
      </c>
      <c r="G1510" s="530">
        <v>0</v>
      </c>
      <c r="H1510" s="530">
        <v>0</v>
      </c>
      <c r="I1510" s="531">
        <f>ROUND(IF(AND(F1510:H1510),C1510*E1510*F1510*G1510*H1510,IF(AND(F1510,G1510),C1510*E1510*F1510*G1510,IF(AND(F1510,H1510),C1510*E1510*F1510*H1510,IF(AND(G1510,H1510),C1510*E1510*G1510*H1510,IF(F1510,C1510*E1510*F1510,IF(G1510,C1510*E1510*G1510,IF(H1510,C1510*E1510*H1510,C1510*E1510))))))),2)</f>
        <v>0</v>
      </c>
      <c r="J1510" s="537" t="s">
        <v>271</v>
      </c>
      <c r="K1510" s="125">
        <f>'sani data 2024-25'!G117</f>
        <v>590.61</v>
      </c>
      <c r="L1510" s="81" t="s">
        <v>273</v>
      </c>
      <c r="M1510" s="11">
        <f>ROUND(I1510*K1510,0)</f>
        <v>0</v>
      </c>
    </row>
    <row r="1511" spans="1:17" hidden="1">
      <c r="A1511" s="81"/>
      <c r="B1511" s="111"/>
      <c r="C1511" s="112"/>
      <c r="D1511" s="533"/>
      <c r="E1511" s="534"/>
      <c r="F1511" s="113"/>
      <c r="G1511" s="539"/>
      <c r="H1511" s="81"/>
      <c r="I1511" s="531"/>
      <c r="J1511" s="537"/>
      <c r="K1511" s="12"/>
      <c r="L1511" s="12"/>
      <c r="M1511" s="11"/>
    </row>
    <row r="1512" spans="1:17" ht="43.5" hidden="1" customHeight="1">
      <c r="A1512" s="81">
        <v>4</v>
      </c>
      <c r="B1512" s="910" t="s">
        <v>438</v>
      </c>
      <c r="C1512" s="910"/>
      <c r="D1512" s="910"/>
      <c r="E1512" s="910"/>
      <c r="F1512" s="910"/>
      <c r="G1512" s="910"/>
      <c r="H1512" s="910"/>
      <c r="I1512" s="515"/>
      <c r="J1512" s="516"/>
      <c r="K1512" s="81"/>
      <c r="L1512" s="81"/>
      <c r="M1512" s="110"/>
    </row>
    <row r="1513" spans="1:17" s="525" customFormat="1" ht="16.5" hidden="1" customHeight="1">
      <c r="A1513" s="81"/>
      <c r="B1513" s="526"/>
      <c r="C1513" s="527">
        <v>1</v>
      </c>
      <c r="D1513" s="528" t="s">
        <v>265</v>
      </c>
      <c r="E1513" s="529">
        <v>1</v>
      </c>
      <c r="F1513" s="584">
        <v>12</v>
      </c>
      <c r="G1513" s="530">
        <v>0</v>
      </c>
      <c r="H1513" s="530">
        <v>0</v>
      </c>
      <c r="I1513" s="531">
        <f>ROUND(IF(AND(F1513:H1513),C1513*E1513*F1513*G1513*H1513,IF(AND(F1513,G1513),C1513*E1513*F1513*G1513,IF(AND(F1513,H1513),C1513*E1513*F1513*H1513,IF(AND(G1513,H1513),C1513*E1513*G1513*H1513,IF(F1513,C1513*E1513*F1513,IF(G1513,C1513*E1513*G1513,IF(H1513,C1513*E1513*H1513,C1513*E1513))))))),2)</f>
        <v>12</v>
      </c>
      <c r="J1513" s="537" t="s">
        <v>271</v>
      </c>
      <c r="K1513" s="111"/>
      <c r="L1513" s="81"/>
      <c r="M1513" s="111"/>
    </row>
    <row r="1514" spans="1:17" hidden="1">
      <c r="A1514" s="81"/>
      <c r="B1514" s="111"/>
      <c r="C1514" s="112"/>
      <c r="D1514" s="533"/>
      <c r="E1514" s="534"/>
      <c r="F1514" s="113"/>
      <c r="G1514" s="539"/>
      <c r="H1514" s="81"/>
      <c r="I1514" s="531"/>
      <c r="J1514" s="537" t="s">
        <v>271</v>
      </c>
      <c r="K1514" s="12">
        <f>'sani data 2024-25'!G127</f>
        <v>358.31</v>
      </c>
      <c r="L1514" s="12" t="s">
        <v>268</v>
      </c>
      <c r="M1514" s="11">
        <f>ROUND(I1514*K1514,0)</f>
        <v>0</v>
      </c>
    </row>
    <row r="1515" spans="1:17" s="52" customFormat="1" ht="44.25" hidden="1" customHeight="1">
      <c r="A1515" s="13">
        <v>5</v>
      </c>
      <c r="B1515" s="911" t="s">
        <v>1309</v>
      </c>
      <c r="C1515" s="911"/>
      <c r="D1515" s="911"/>
      <c r="E1515" s="911"/>
      <c r="F1515" s="911"/>
      <c r="G1515" s="911"/>
      <c r="H1515" s="911"/>
      <c r="I1515" s="604"/>
      <c r="J1515" s="92"/>
      <c r="K1515" s="13"/>
      <c r="L1515" s="13"/>
      <c r="M1515" s="605"/>
      <c r="N1515" s="605"/>
      <c r="O1515" s="52" t="s">
        <v>0</v>
      </c>
      <c r="Q1515" s="52" t="s">
        <v>0</v>
      </c>
    </row>
    <row r="1516" spans="1:17" s="52" customFormat="1" ht="15" hidden="1">
      <c r="A1516" s="13"/>
      <c r="B1516" s="542"/>
      <c r="C1516" s="606">
        <v>1</v>
      </c>
      <c r="D1516" s="544" t="s">
        <v>265</v>
      </c>
      <c r="E1516" s="92">
        <v>1</v>
      </c>
      <c r="F1516" s="545">
        <v>0</v>
      </c>
      <c r="G1516" s="15">
        <v>0</v>
      </c>
      <c r="H1516" s="545">
        <v>0</v>
      </c>
      <c r="I1516" s="607">
        <f>ROUND(IF(AND(F1516:H1516),C1516*E1516*F1516*G1516*H1516,IF(AND(F1516,G1516),C1516*E1516*F1516*G1516,IF(AND(F1516,H1516),C1516*E1516*F1516*H1516,IF(AND(G1516,H1516),C1516*E1516*G1516*H1516,IF(F1516,C1516*E1516*F1516,IF(G1516,C1516*E1516*G1516,IF(H1516,C1516*E1516*H1516,C1516*E1516))))))),2)</f>
        <v>1</v>
      </c>
      <c r="J1516" s="85" t="s">
        <v>114</v>
      </c>
      <c r="K1516" s="13"/>
      <c r="L1516" s="13"/>
      <c r="M1516" s="605"/>
      <c r="N1516" s="605"/>
    </row>
    <row r="1517" spans="1:17" s="52" customFormat="1" ht="15" hidden="1">
      <c r="A1517" s="13"/>
      <c r="B1517" s="17"/>
      <c r="C1517" s="608"/>
      <c r="D1517" s="609"/>
      <c r="E1517" s="92"/>
      <c r="F1517" s="610"/>
      <c r="G1517" s="611"/>
      <c r="H1517" s="610"/>
      <c r="I1517" s="612"/>
      <c r="J1517" s="85" t="s">
        <v>114</v>
      </c>
      <c r="K1517" s="15">
        <f>'sani data 2024-25'!G124</f>
        <v>20207</v>
      </c>
      <c r="L1517" s="15" t="s">
        <v>271</v>
      </c>
      <c r="M1517" s="16">
        <f>ROUND(I1517*K1517,0)</f>
        <v>0</v>
      </c>
      <c r="N1517" s="605"/>
      <c r="O1517" s="52" t="s">
        <v>0</v>
      </c>
    </row>
    <row r="1518" spans="1:17" s="52" customFormat="1" ht="30.75" hidden="1" customHeight="1">
      <c r="A1518" s="13">
        <v>6</v>
      </c>
      <c r="B1518" s="911" t="s">
        <v>579</v>
      </c>
      <c r="C1518" s="911"/>
      <c r="D1518" s="911"/>
      <c r="E1518" s="911"/>
      <c r="F1518" s="911"/>
      <c r="G1518" s="911"/>
      <c r="H1518" s="911"/>
      <c r="I1518" s="604"/>
      <c r="J1518" s="92"/>
      <c r="K1518" s="13"/>
      <c r="L1518" s="13"/>
      <c r="M1518" s="605"/>
      <c r="N1518" s="605"/>
      <c r="O1518" s="52" t="s">
        <v>0</v>
      </c>
      <c r="Q1518" s="52" t="s">
        <v>0</v>
      </c>
    </row>
    <row r="1519" spans="1:17" s="52" customFormat="1" ht="15" hidden="1">
      <c r="A1519" s="13"/>
      <c r="B1519" s="542"/>
      <c r="C1519" s="606">
        <v>1</v>
      </c>
      <c r="D1519" s="544" t="s">
        <v>265</v>
      </c>
      <c r="E1519" s="92">
        <v>1</v>
      </c>
      <c r="F1519" s="74">
        <v>85</v>
      </c>
      <c r="G1519" s="15">
        <v>0</v>
      </c>
      <c r="H1519" s="545">
        <v>0</v>
      </c>
      <c r="I1519" s="613">
        <f>ROUND(IF(AND(F1519:H1519),C1519*E1519*F1519*G1519*H1519,IF(AND(F1519,G1519),C1519*E1519*F1519*G1519,IF(AND(F1519,H1519),C1519*E1519*F1519*H1519,IF(AND(G1519,H1519),C1519*E1519*G1519*H1519,IF(F1519,C1519*E1519*F1519,IF(G1519,C1519*E1519*G1519,IF(H1519,C1519*E1519*H1519,C1519*E1519))))))),2)</f>
        <v>85</v>
      </c>
      <c r="J1519" s="85" t="s">
        <v>271</v>
      </c>
      <c r="K1519" s="13"/>
      <c r="L1519" s="13"/>
      <c r="M1519" s="605"/>
      <c r="N1519" s="605"/>
    </row>
    <row r="1520" spans="1:17" s="52" customFormat="1" ht="15" hidden="1">
      <c r="A1520" s="13"/>
      <c r="B1520" s="17"/>
      <c r="C1520" s="608"/>
      <c r="D1520" s="609"/>
      <c r="E1520" s="92"/>
      <c r="F1520" s="610"/>
      <c r="G1520" s="611"/>
      <c r="H1520" s="610"/>
      <c r="I1520" s="151"/>
      <c r="J1520" s="85" t="s">
        <v>271</v>
      </c>
      <c r="K1520" s="15">
        <f>'sani data 2024-25'!G130</f>
        <v>80</v>
      </c>
      <c r="L1520" s="15" t="s">
        <v>271</v>
      </c>
      <c r="M1520" s="16">
        <f>ROUND(I1520*K1520,0)</f>
        <v>0</v>
      </c>
      <c r="N1520" s="605"/>
      <c r="O1520" s="52" t="s">
        <v>0</v>
      </c>
    </row>
    <row r="1521" spans="1:17" s="52" customFormat="1" ht="20.25" hidden="1" customHeight="1">
      <c r="A1521" s="13">
        <v>7</v>
      </c>
      <c r="B1521" s="911" t="s">
        <v>279</v>
      </c>
      <c r="C1521" s="911"/>
      <c r="D1521" s="911"/>
      <c r="E1521" s="911"/>
      <c r="F1521" s="911"/>
      <c r="G1521" s="911"/>
      <c r="H1521" s="911"/>
      <c r="I1521" s="604"/>
      <c r="J1521" s="92"/>
      <c r="K1521" s="13"/>
      <c r="L1521" s="13"/>
      <c r="M1521" s="605"/>
      <c r="N1521" s="605"/>
      <c r="O1521" s="52" t="s">
        <v>0</v>
      </c>
      <c r="Q1521" s="52" t="s">
        <v>0</v>
      </c>
    </row>
    <row r="1522" spans="1:17" s="52" customFormat="1" ht="15" hidden="1">
      <c r="A1522" s="13"/>
      <c r="B1522" s="542"/>
      <c r="C1522" s="606">
        <v>1</v>
      </c>
      <c r="D1522" s="544" t="s">
        <v>265</v>
      </c>
      <c r="E1522" s="92">
        <v>1</v>
      </c>
      <c r="F1522" s="545">
        <v>0</v>
      </c>
      <c r="G1522" s="15">
        <v>0</v>
      </c>
      <c r="H1522" s="545">
        <v>0</v>
      </c>
      <c r="I1522" s="607">
        <f>ROUND(IF(AND(F1522:H1522),C1522*E1522*F1522*G1522*H1522,IF(AND(F1522,G1522),C1522*E1522*F1522*G1522,IF(AND(F1522,H1522),C1522*E1522*F1522*H1522,IF(AND(G1522,H1522),C1522*E1522*G1522*H1522,IF(F1522,C1522*E1522*F1522,IF(G1522,C1522*E1522*G1522,IF(H1522,C1522*E1522*H1522,C1522*E1522))))))),2)</f>
        <v>1</v>
      </c>
      <c r="J1522" s="85" t="s">
        <v>114</v>
      </c>
      <c r="K1522" s="13"/>
      <c r="L1522" s="13"/>
      <c r="M1522" s="605"/>
      <c r="N1522" s="605"/>
    </row>
    <row r="1523" spans="1:17" s="52" customFormat="1" ht="15" hidden="1">
      <c r="A1523" s="13"/>
      <c r="B1523" s="17"/>
      <c r="C1523" s="608"/>
      <c r="D1523" s="609"/>
      <c r="E1523" s="92"/>
      <c r="F1523" s="610"/>
      <c r="G1523" s="611"/>
      <c r="H1523" s="610"/>
      <c r="I1523" s="612"/>
      <c r="J1523" s="85" t="s">
        <v>114</v>
      </c>
      <c r="K1523" s="15">
        <f>'sani data 2024-25'!G136</f>
        <v>330.75</v>
      </c>
      <c r="L1523" s="15" t="s">
        <v>114</v>
      </c>
      <c r="M1523" s="16">
        <f>ROUND(I1523*K1523,0)</f>
        <v>0</v>
      </c>
      <c r="N1523" s="605"/>
      <c r="O1523" s="52" t="s">
        <v>0</v>
      </c>
    </row>
    <row r="1524" spans="1:17" s="52" customFormat="1" ht="20.25" hidden="1" customHeight="1">
      <c r="A1524" s="13">
        <v>8</v>
      </c>
      <c r="B1524" s="911" t="s">
        <v>1646</v>
      </c>
      <c r="C1524" s="911"/>
      <c r="D1524" s="911"/>
      <c r="E1524" s="911"/>
      <c r="F1524" s="911"/>
      <c r="G1524" s="911"/>
      <c r="H1524" s="911"/>
      <c r="I1524" s="604"/>
      <c r="J1524" s="92"/>
      <c r="K1524" s="13"/>
      <c r="L1524" s="13"/>
      <c r="M1524" s="605"/>
      <c r="N1524" s="605"/>
      <c r="O1524" s="52" t="s">
        <v>0</v>
      </c>
      <c r="Q1524" s="52" t="s">
        <v>0</v>
      </c>
    </row>
    <row r="1525" spans="1:17" s="52" customFormat="1" ht="15" hidden="1">
      <c r="A1525" s="13"/>
      <c r="B1525" s="542"/>
      <c r="C1525" s="606">
        <v>1</v>
      </c>
      <c r="D1525" s="544" t="s">
        <v>265</v>
      </c>
      <c r="E1525" s="92">
        <v>1</v>
      </c>
      <c r="F1525" s="545">
        <v>0.5</v>
      </c>
      <c r="G1525" s="15">
        <v>0</v>
      </c>
      <c r="H1525" s="545">
        <v>0</v>
      </c>
      <c r="I1525" s="613">
        <f>ROUND(IF(AND(F1525:H1525),C1525*E1525*F1525*G1525*H1525,IF(AND(F1525,G1525),C1525*E1525*F1525*G1525,IF(AND(F1525,H1525),C1525*E1525*F1525*H1525,IF(AND(G1525,H1525),C1525*E1525*G1525*H1525,IF(F1525,C1525*E1525*F1525,IF(G1525,C1525*E1525*G1525,IF(H1525,C1525*E1525*H1525,C1525*E1525))))))),2)</f>
        <v>0.5</v>
      </c>
      <c r="J1525" s="85" t="s">
        <v>271</v>
      </c>
      <c r="K1525" s="13"/>
      <c r="L1525" s="13"/>
      <c r="M1525" s="605"/>
      <c r="N1525" s="605"/>
    </row>
    <row r="1526" spans="1:17" s="52" customFormat="1" ht="15" hidden="1">
      <c r="A1526" s="13"/>
      <c r="B1526" s="17"/>
      <c r="C1526" s="608"/>
      <c r="D1526" s="609"/>
      <c r="E1526" s="92"/>
      <c r="F1526" s="610"/>
      <c r="G1526" s="611"/>
      <c r="H1526" s="610"/>
      <c r="I1526" s="151"/>
      <c r="J1526" s="85" t="s">
        <v>271</v>
      </c>
      <c r="K1526" s="15">
        <f>'sani data 2024-25'!G139</f>
        <v>400</v>
      </c>
      <c r="L1526" s="15" t="s">
        <v>271</v>
      </c>
      <c r="M1526" s="16">
        <f>ROUND(I1526*K1526,0)</f>
        <v>0</v>
      </c>
      <c r="N1526" s="605"/>
      <c r="O1526" s="52" t="s">
        <v>0</v>
      </c>
    </row>
    <row r="1527" spans="1:17" s="52" customFormat="1" ht="20.25" hidden="1" customHeight="1">
      <c r="A1527" s="13">
        <v>9</v>
      </c>
      <c r="B1527" s="911" t="s">
        <v>1644</v>
      </c>
      <c r="C1527" s="911"/>
      <c r="D1527" s="911"/>
      <c r="E1527" s="911"/>
      <c r="F1527" s="911"/>
      <c r="G1527" s="911"/>
      <c r="H1527" s="911"/>
      <c r="I1527" s="604"/>
      <c r="J1527" s="92"/>
      <c r="K1527" s="13"/>
      <c r="L1527" s="13"/>
      <c r="M1527" s="605"/>
      <c r="N1527" s="605"/>
      <c r="O1527" s="52" t="s">
        <v>0</v>
      </c>
      <c r="Q1527" s="52" t="s">
        <v>0</v>
      </c>
    </row>
    <row r="1528" spans="1:17" s="52" customFormat="1" ht="15" hidden="1">
      <c r="A1528" s="13"/>
      <c r="B1528" s="542"/>
      <c r="C1528" s="606">
        <v>1</v>
      </c>
      <c r="D1528" s="544" t="s">
        <v>265</v>
      </c>
      <c r="E1528" s="92">
        <v>1</v>
      </c>
      <c r="F1528" s="545">
        <v>0</v>
      </c>
      <c r="G1528" s="15">
        <v>0</v>
      </c>
      <c r="H1528" s="545">
        <v>0</v>
      </c>
      <c r="I1528" s="607">
        <f>ROUND(IF(AND(F1528:H1528),C1528*E1528*F1528*G1528*H1528,IF(AND(F1528,G1528),C1528*E1528*F1528*G1528,IF(AND(F1528,H1528),C1528*E1528*F1528*H1528,IF(AND(G1528,H1528),C1528*E1528*G1528*H1528,IF(F1528,C1528*E1528*F1528,IF(G1528,C1528*E1528*G1528,IF(H1528,C1528*E1528*H1528,C1528*E1528))))))),2)</f>
        <v>1</v>
      </c>
      <c r="J1528" s="85" t="s">
        <v>114</v>
      </c>
      <c r="K1528" s="13"/>
      <c r="L1528" s="13"/>
      <c r="M1528" s="605"/>
      <c r="N1528" s="605"/>
    </row>
    <row r="1529" spans="1:17" s="52" customFormat="1" ht="15" hidden="1">
      <c r="A1529" s="13"/>
      <c r="B1529" s="17"/>
      <c r="C1529" s="608"/>
      <c r="D1529" s="609"/>
      <c r="E1529" s="92"/>
      <c r="F1529" s="610"/>
      <c r="G1529" s="611"/>
      <c r="H1529" s="610"/>
      <c r="I1529" s="612"/>
      <c r="J1529" s="85" t="s">
        <v>114</v>
      </c>
      <c r="K1529" s="15">
        <f>'sani data 2024-25'!G142</f>
        <v>77</v>
      </c>
      <c r="L1529" s="15" t="s">
        <v>114</v>
      </c>
      <c r="M1529" s="16">
        <f>ROUND(I1529*K1529,0)</f>
        <v>0</v>
      </c>
      <c r="N1529" s="605"/>
      <c r="O1529" s="52" t="s">
        <v>0</v>
      </c>
    </row>
    <row r="1530" spans="1:17" s="52" customFormat="1" ht="20.25" hidden="1" customHeight="1">
      <c r="A1530" s="13">
        <v>10</v>
      </c>
      <c r="B1530" s="911" t="s">
        <v>282</v>
      </c>
      <c r="C1530" s="911"/>
      <c r="D1530" s="911"/>
      <c r="E1530" s="911"/>
      <c r="F1530" s="911"/>
      <c r="G1530" s="911"/>
      <c r="H1530" s="911"/>
      <c r="I1530" s="604"/>
      <c r="J1530" s="92"/>
      <c r="K1530" s="13"/>
      <c r="L1530" s="13"/>
      <c r="M1530" s="605"/>
      <c r="N1530" s="605"/>
      <c r="O1530" s="52" t="s">
        <v>0</v>
      </c>
      <c r="Q1530" s="52" t="s">
        <v>0</v>
      </c>
    </row>
    <row r="1531" spans="1:17" s="52" customFormat="1" ht="15" hidden="1">
      <c r="A1531" s="13"/>
      <c r="B1531" s="542"/>
      <c r="C1531" s="606">
        <v>1</v>
      </c>
      <c r="D1531" s="544" t="s">
        <v>265</v>
      </c>
      <c r="E1531" s="92">
        <v>1</v>
      </c>
      <c r="F1531" s="545">
        <v>0</v>
      </c>
      <c r="G1531" s="15">
        <v>0</v>
      </c>
      <c r="H1531" s="545">
        <v>0</v>
      </c>
      <c r="I1531" s="607">
        <f>ROUND(IF(AND(F1531:H1531),C1531*E1531*F1531*G1531*H1531,IF(AND(F1531,G1531),C1531*E1531*F1531*G1531,IF(AND(F1531,H1531),C1531*E1531*F1531*H1531,IF(AND(G1531,H1531),C1531*E1531*G1531*H1531,IF(F1531,C1531*E1531*F1531,IF(G1531,C1531*E1531*G1531,IF(H1531,C1531*E1531*H1531,C1531*E1531))))))),2)</f>
        <v>1</v>
      </c>
      <c r="J1531" s="85" t="s">
        <v>114</v>
      </c>
      <c r="K1531" s="13"/>
      <c r="L1531" s="13"/>
      <c r="M1531" s="605"/>
      <c r="N1531" s="605"/>
    </row>
    <row r="1532" spans="1:17" s="52" customFormat="1" ht="15" hidden="1">
      <c r="A1532" s="13"/>
      <c r="B1532" s="17"/>
      <c r="C1532" s="608"/>
      <c r="D1532" s="609"/>
      <c r="E1532" s="92"/>
      <c r="F1532" s="610"/>
      <c r="G1532" s="611"/>
      <c r="H1532" s="610"/>
      <c r="I1532" s="612"/>
      <c r="J1532" s="85" t="s">
        <v>114</v>
      </c>
      <c r="K1532" s="15">
        <f>'sani data 2024-25'!G133</f>
        <v>185</v>
      </c>
      <c r="L1532" s="15" t="s">
        <v>114</v>
      </c>
      <c r="M1532" s="16">
        <f>ROUND(I1532*K1532,0)</f>
        <v>0</v>
      </c>
      <c r="N1532" s="605"/>
      <c r="O1532" s="52" t="s">
        <v>0</v>
      </c>
    </row>
    <row r="1533" spans="1:17" s="52" customFormat="1" ht="48" hidden="1" customHeight="1">
      <c r="A1533" s="13">
        <v>11</v>
      </c>
      <c r="B1533" s="911" t="s">
        <v>283</v>
      </c>
      <c r="C1533" s="911"/>
      <c r="D1533" s="911"/>
      <c r="E1533" s="911"/>
      <c r="F1533" s="911"/>
      <c r="G1533" s="911"/>
      <c r="H1533" s="911"/>
      <c r="I1533" s="604"/>
      <c r="J1533" s="92"/>
      <c r="K1533" s="13"/>
      <c r="L1533" s="13"/>
      <c r="M1533" s="605"/>
      <c r="N1533" s="605"/>
      <c r="O1533" s="52" t="s">
        <v>0</v>
      </c>
      <c r="Q1533" s="52" t="s">
        <v>0</v>
      </c>
    </row>
    <row r="1534" spans="1:17" s="52" customFormat="1" ht="15" hidden="1">
      <c r="A1534" s="13"/>
      <c r="B1534" s="542"/>
      <c r="C1534" s="606">
        <v>1</v>
      </c>
      <c r="D1534" s="544" t="s">
        <v>265</v>
      </c>
      <c r="E1534" s="92">
        <v>1</v>
      </c>
      <c r="F1534" s="15">
        <v>90</v>
      </c>
      <c r="G1534" s="15">
        <v>0</v>
      </c>
      <c r="H1534" s="545">
        <v>0</v>
      </c>
      <c r="I1534" s="613">
        <f>ROUND(IF(AND(F1534:H1534),C1534*E1534*F1534*G1534*H1534,IF(AND(F1534,G1534),C1534*E1534*F1534*G1534,IF(AND(F1534,H1534),C1534*E1534*F1534*H1534,IF(AND(G1534,H1534),C1534*E1534*G1534*H1534,IF(F1534,C1534*E1534*F1534,IF(G1534,C1534*E1534*G1534,IF(H1534,C1534*E1534*H1534,C1534*E1534))))))),2)</f>
        <v>90</v>
      </c>
      <c r="J1534" s="85" t="s">
        <v>271</v>
      </c>
      <c r="K1534" s="13"/>
      <c r="L1534" s="13"/>
      <c r="M1534" s="605"/>
      <c r="N1534" s="605"/>
    </row>
    <row r="1535" spans="1:17" s="52" customFormat="1" ht="17.25" hidden="1" customHeight="1">
      <c r="A1535" s="13"/>
      <c r="B1535" s="17"/>
      <c r="C1535" s="608"/>
      <c r="D1535" s="609"/>
      <c r="E1535" s="92"/>
      <c r="F1535" s="610"/>
      <c r="G1535" s="611"/>
      <c r="H1535" s="610"/>
      <c r="I1535" s="151"/>
      <c r="J1535" s="85" t="s">
        <v>271</v>
      </c>
      <c r="K1535" s="15">
        <f>'sani data 2024-25'!G145</f>
        <v>109</v>
      </c>
      <c r="L1535" s="15" t="s">
        <v>271</v>
      </c>
      <c r="M1535" s="16">
        <f>ROUND(I1535*K1535,0)</f>
        <v>0</v>
      </c>
      <c r="N1535" s="605"/>
      <c r="O1535" s="52" t="s">
        <v>0</v>
      </c>
    </row>
    <row r="1536" spans="1:17" s="52" customFormat="1" ht="81" hidden="1" customHeight="1">
      <c r="A1536" s="13">
        <v>12</v>
      </c>
      <c r="B1536" s="916" t="s">
        <v>372</v>
      </c>
      <c r="C1536" s="911"/>
      <c r="D1536" s="911"/>
      <c r="E1536" s="911"/>
      <c r="F1536" s="911"/>
      <c r="G1536" s="911"/>
      <c r="H1536" s="911"/>
      <c r="I1536" s="604"/>
      <c r="J1536" s="92"/>
      <c r="K1536" s="13"/>
      <c r="L1536" s="13"/>
      <c r="M1536" s="605"/>
      <c r="N1536" s="605"/>
      <c r="O1536" s="52" t="s">
        <v>0</v>
      </c>
      <c r="Q1536" s="52" t="s">
        <v>0</v>
      </c>
    </row>
    <row r="1537" spans="1:15" s="52" customFormat="1" ht="15" hidden="1">
      <c r="A1537" s="13"/>
      <c r="B1537" s="542"/>
      <c r="C1537" s="606">
        <v>1</v>
      </c>
      <c r="D1537" s="544" t="s">
        <v>265</v>
      </c>
      <c r="E1537" s="92">
        <v>1</v>
      </c>
      <c r="F1537" s="545">
        <v>0</v>
      </c>
      <c r="G1537" s="15">
        <v>0</v>
      </c>
      <c r="H1537" s="545">
        <v>0</v>
      </c>
      <c r="I1537" s="613">
        <f>ROUND(IF(AND(F1537:H1537),C1537*E1537*F1537*G1537*H1537,IF(AND(F1537,G1537),C1537*E1537*F1537*G1537,IF(AND(F1537,H1537),C1537*E1537*F1537*H1537,IF(AND(G1537,H1537),C1537*E1537*G1537*H1537,IF(F1537,C1537*E1537*F1537,IF(G1537,C1537*E1537*G1537,IF(H1537,C1537*E1537*H1537,C1537*E1537))))))),2)</f>
        <v>1</v>
      </c>
      <c r="J1537" s="85" t="s">
        <v>114</v>
      </c>
      <c r="K1537" s="13"/>
      <c r="L1537" s="13"/>
      <c r="M1537" s="605"/>
      <c r="N1537" s="605"/>
    </row>
    <row r="1538" spans="1:15" s="52" customFormat="1" ht="17.25" hidden="1" customHeight="1">
      <c r="A1538" s="13"/>
      <c r="B1538" s="17"/>
      <c r="C1538" s="608"/>
      <c r="D1538" s="609"/>
      <c r="E1538" s="92"/>
      <c r="F1538" s="610"/>
      <c r="G1538" s="611"/>
      <c r="H1538" s="610"/>
      <c r="I1538" s="151"/>
      <c r="J1538" s="85" t="s">
        <v>114</v>
      </c>
      <c r="K1538" s="15">
        <f>'sani data 2024-25'!G148</f>
        <v>5445</v>
      </c>
      <c r="L1538" s="15" t="s">
        <v>268</v>
      </c>
      <c r="M1538" s="16">
        <f>ROUND(I1538*K1538,0)</f>
        <v>0</v>
      </c>
      <c r="N1538" s="605"/>
      <c r="O1538" s="52" t="s">
        <v>0</v>
      </c>
    </row>
    <row r="1539" spans="1:15" s="52" customFormat="1" ht="17.25" hidden="1" customHeight="1">
      <c r="A1539" s="13"/>
      <c r="B1539" s="17" t="s">
        <v>1832</v>
      </c>
      <c r="C1539" s="608"/>
      <c r="D1539" s="609"/>
      <c r="E1539" s="92"/>
      <c r="F1539" s="610"/>
      <c r="G1539" s="611"/>
      <c r="H1539" s="610"/>
      <c r="I1539" s="151"/>
      <c r="J1539" s="85"/>
      <c r="K1539" s="15"/>
      <c r="L1539" s="15"/>
      <c r="M1539" s="16"/>
      <c r="N1539" s="114"/>
    </row>
    <row r="1540" spans="1:15" ht="56.25" customHeight="1">
      <c r="A1540" s="81">
        <v>20</v>
      </c>
      <c r="B1540" s="910" t="s">
        <v>571</v>
      </c>
      <c r="C1540" s="910"/>
      <c r="D1540" s="910"/>
      <c r="E1540" s="910"/>
      <c r="F1540" s="910"/>
      <c r="G1540" s="910"/>
      <c r="H1540" s="910"/>
      <c r="I1540" s="515"/>
      <c r="J1540" s="516"/>
      <c r="K1540" s="81"/>
      <c r="L1540" s="81"/>
      <c r="M1540" s="110"/>
    </row>
    <row r="1541" spans="1:15" s="525" customFormat="1" ht="16.5" customHeight="1">
      <c r="A1541" s="81"/>
      <c r="B1541" s="111"/>
      <c r="C1541" s="515">
        <v>1</v>
      </c>
      <c r="D1541" s="533" t="s">
        <v>265</v>
      </c>
      <c r="E1541" s="534">
        <v>2</v>
      </c>
      <c r="F1541" s="12">
        <v>10</v>
      </c>
      <c r="G1541" s="12">
        <v>0</v>
      </c>
      <c r="H1541" s="12">
        <v>0</v>
      </c>
      <c r="I1541" s="11">
        <f>ROUND(IF(AND(F1541:H1541),C1541*E1541*F1541*G1541*H1541,IF(AND(F1541,G1541),C1541*E1541*F1541*G1541,IF(AND(F1541,H1541),C1541*E1541*F1541*H1541,IF(AND(G1541,H1541),C1541*E1541*G1541*H1541,IF(F1541,C1541*E1541*F1541,IF(G1541,C1541*E1541*G1541,IF(H1541,C1541*E1541*H1541,C1541*E1541))))))),2)</f>
        <v>20</v>
      </c>
      <c r="J1541" s="858" t="s">
        <v>271</v>
      </c>
      <c r="K1541" s="111"/>
      <c r="L1541" s="81"/>
      <c r="M1541" s="111"/>
    </row>
    <row r="1542" spans="1:15" s="525" customFormat="1" ht="16.5" customHeight="1">
      <c r="A1542" s="81"/>
      <c r="B1542" s="111"/>
      <c r="C1542" s="515">
        <v>1</v>
      </c>
      <c r="D1542" s="533" t="s">
        <v>265</v>
      </c>
      <c r="E1542" s="534">
        <v>2</v>
      </c>
      <c r="F1542" s="12">
        <v>5</v>
      </c>
      <c r="G1542" s="12">
        <v>0</v>
      </c>
      <c r="H1542" s="12">
        <v>0</v>
      </c>
      <c r="I1542" s="11">
        <f>ROUND(IF(AND(F1542:H1542),C1542*E1542*F1542*G1542*H1542,IF(AND(F1542,G1542),C1542*E1542*F1542*G1542,IF(AND(F1542,H1542),C1542*E1542*F1542*H1542,IF(AND(G1542,H1542),C1542*E1542*G1542*H1542,IF(F1542,C1542*E1542*F1542,IF(G1542,C1542*E1542*G1542,IF(H1542,C1542*E1542*H1542,C1542*E1542))))))),2)</f>
        <v>10</v>
      </c>
      <c r="J1542" s="858" t="s">
        <v>271</v>
      </c>
      <c r="K1542" s="111"/>
      <c r="L1542" s="81"/>
      <c r="M1542" s="111"/>
    </row>
    <row r="1543" spans="1:15" s="525" customFormat="1" ht="16.5" customHeight="1">
      <c r="A1543" s="81"/>
      <c r="B1543" s="859"/>
      <c r="C1543" s="860"/>
      <c r="D1543" s="861"/>
      <c r="E1543" s="862"/>
      <c r="F1543" s="863"/>
      <c r="G1543" s="530"/>
      <c r="H1543" s="530"/>
      <c r="I1543" s="531"/>
      <c r="J1543" s="537"/>
      <c r="K1543" s="111"/>
      <c r="L1543" s="81"/>
      <c r="M1543" s="111"/>
    </row>
    <row r="1544" spans="1:15">
      <c r="A1544" s="81"/>
      <c r="B1544" s="111"/>
      <c r="C1544" s="112"/>
      <c r="D1544" s="533"/>
      <c r="E1544" s="534"/>
      <c r="F1544" s="113"/>
      <c r="G1544" s="539"/>
      <c r="H1544" s="81"/>
      <c r="I1544" s="531">
        <f>SUM(I1541:I1543)</f>
        <v>30</v>
      </c>
      <c r="J1544" s="537" t="s">
        <v>271</v>
      </c>
      <c r="K1544" s="12">
        <f>'Ele Data 2024-25'!I17</f>
        <v>92.37</v>
      </c>
      <c r="L1544" s="12" t="s">
        <v>273</v>
      </c>
      <c r="M1544" s="11">
        <f>ROUND(I1544*K1544,0)</f>
        <v>2771</v>
      </c>
    </row>
    <row r="1545" spans="1:15" ht="56.25" customHeight="1">
      <c r="A1545" s="81">
        <v>21</v>
      </c>
      <c r="B1545" s="910" t="s">
        <v>299</v>
      </c>
      <c r="C1545" s="910"/>
      <c r="D1545" s="910"/>
      <c r="E1545" s="910"/>
      <c r="F1545" s="910"/>
      <c r="G1545" s="910"/>
      <c r="H1545" s="910"/>
      <c r="I1545" s="515"/>
      <c r="J1545" s="516"/>
      <c r="K1545" s="81"/>
      <c r="L1545" s="81"/>
      <c r="M1545" s="110"/>
    </row>
    <row r="1546" spans="1:15" s="525" customFormat="1" ht="16.5" customHeight="1">
      <c r="A1546" s="81"/>
      <c r="B1546" s="111" t="s">
        <v>741</v>
      </c>
      <c r="C1546" s="515">
        <v>1</v>
      </c>
      <c r="D1546" s="533" t="s">
        <v>265</v>
      </c>
      <c r="E1546" s="534">
        <v>1</v>
      </c>
      <c r="F1546" s="12">
        <v>20</v>
      </c>
      <c r="G1546" s="12">
        <v>0</v>
      </c>
      <c r="H1546" s="12">
        <v>0</v>
      </c>
      <c r="I1546" s="531">
        <f>ROUND(IF(AND(F1546:H1546),C1546*E1546*F1546*G1546*H1546,IF(AND(F1546,G1546),C1546*E1546*F1546*G1546,IF(AND(F1546,H1546),C1546*E1546*F1546*H1546,IF(AND(G1546,H1546),C1546*E1546*G1546*H1546,IF(F1546,C1546*E1546*F1546,IF(G1546,C1546*E1546*G1546,IF(H1546,C1546*E1546*H1546,C1546*E1546))))))),2)</f>
        <v>20</v>
      </c>
      <c r="J1546" s="587" t="s">
        <v>271</v>
      </c>
      <c r="K1546" s="111"/>
      <c r="L1546" s="81"/>
      <c r="M1546" s="111"/>
    </row>
    <row r="1547" spans="1:15" s="525" customFormat="1" ht="16.5" customHeight="1">
      <c r="A1547" s="81"/>
      <c r="B1547" s="111" t="s">
        <v>2303</v>
      </c>
      <c r="C1547" s="515">
        <v>1</v>
      </c>
      <c r="D1547" s="533" t="s">
        <v>265</v>
      </c>
      <c r="E1547" s="534">
        <v>1</v>
      </c>
      <c r="F1547" s="12">
        <v>10</v>
      </c>
      <c r="G1547" s="12">
        <v>0</v>
      </c>
      <c r="H1547" s="12">
        <v>0</v>
      </c>
      <c r="I1547" s="531">
        <f>ROUND(IF(AND(F1547:H1547),C1547*E1547*F1547*G1547*H1547,IF(AND(F1547,G1547),C1547*E1547*F1547*G1547,IF(AND(F1547,H1547),C1547*E1547*F1547*H1547,IF(AND(G1547,H1547),C1547*E1547*G1547*H1547,IF(F1547,C1547*E1547*F1547,IF(G1547,C1547*E1547*G1547,IF(H1547,C1547*E1547*H1547,C1547*E1547))))))),2)</f>
        <v>10</v>
      </c>
      <c r="J1547" s="587" t="s">
        <v>271</v>
      </c>
      <c r="K1547" s="111"/>
      <c r="L1547" s="81"/>
      <c r="M1547" s="111"/>
    </row>
    <row r="1548" spans="1:15" s="525" customFormat="1" ht="16.5" customHeight="1">
      <c r="A1548" s="81"/>
      <c r="B1548" s="111" t="s">
        <v>564</v>
      </c>
      <c r="C1548" s="515">
        <v>1</v>
      </c>
      <c r="D1548" s="533" t="s">
        <v>265</v>
      </c>
      <c r="E1548" s="534">
        <v>1</v>
      </c>
      <c r="F1548" s="12">
        <v>5</v>
      </c>
      <c r="G1548" s="12">
        <v>0</v>
      </c>
      <c r="H1548" s="12">
        <v>0</v>
      </c>
      <c r="I1548" s="531">
        <f>ROUND(IF(AND(F1548:H1548),C1548*E1548*F1548*G1548*H1548,IF(AND(F1548,G1548),C1548*E1548*F1548*G1548,IF(AND(F1548,H1548),C1548*E1548*F1548*H1548,IF(AND(G1548,H1548),C1548*E1548*G1548*H1548,IF(F1548,C1548*E1548*F1548,IF(G1548,C1548*E1548*G1548,IF(H1548,C1548*E1548*H1548,C1548*E1548))))))),2)</f>
        <v>5</v>
      </c>
      <c r="J1548" s="587" t="s">
        <v>271</v>
      </c>
      <c r="K1548" s="111"/>
      <c r="L1548" s="81"/>
      <c r="M1548" s="111"/>
    </row>
    <row r="1549" spans="1:15" s="525" customFormat="1" ht="16.5" customHeight="1">
      <c r="A1549" s="81"/>
      <c r="B1549" s="526"/>
      <c r="C1549" s="527"/>
      <c r="D1549" s="528"/>
      <c r="E1549" s="529"/>
      <c r="F1549" s="530"/>
      <c r="G1549" s="530"/>
      <c r="H1549" s="530"/>
      <c r="I1549" s="531"/>
      <c r="J1549" s="537"/>
      <c r="K1549" s="111"/>
      <c r="L1549" s="81"/>
      <c r="M1549" s="111"/>
    </row>
    <row r="1550" spans="1:15">
      <c r="A1550" s="81"/>
      <c r="B1550" s="111"/>
      <c r="C1550" s="112"/>
      <c r="D1550" s="533"/>
      <c r="E1550" s="534"/>
      <c r="F1550" s="113"/>
      <c r="G1550" s="539"/>
      <c r="H1550" s="81"/>
      <c r="I1550" s="531">
        <f>SUM(I1546:I1549)</f>
        <v>35</v>
      </c>
      <c r="J1550" s="537" t="s">
        <v>271</v>
      </c>
      <c r="K1550" s="12">
        <f>'Ele Data 2024-25'!I34</f>
        <v>111.79</v>
      </c>
      <c r="L1550" s="12" t="s">
        <v>273</v>
      </c>
      <c r="M1550" s="11">
        <f>ROUND(I1550*K1550,0)</f>
        <v>3913</v>
      </c>
    </row>
    <row r="1551" spans="1:15" ht="17.25" hidden="1" customHeight="1">
      <c r="A1551" s="81">
        <v>3</v>
      </c>
      <c r="B1551" s="910" t="s">
        <v>380</v>
      </c>
      <c r="C1551" s="910"/>
      <c r="D1551" s="910"/>
      <c r="E1551" s="910"/>
      <c r="F1551" s="910"/>
      <c r="G1551" s="910"/>
      <c r="H1551" s="910"/>
      <c r="I1551" s="515"/>
      <c r="J1551" s="516"/>
      <c r="K1551" s="81"/>
      <c r="L1551" s="81"/>
      <c r="M1551" s="110"/>
    </row>
    <row r="1552" spans="1:15" s="525" customFormat="1" ht="16.5" hidden="1" customHeight="1">
      <c r="A1552" s="81"/>
      <c r="B1552" s="542" t="s">
        <v>729</v>
      </c>
      <c r="C1552" s="547"/>
      <c r="D1552" s="548"/>
      <c r="E1552" s="549"/>
      <c r="F1552" s="550"/>
      <c r="G1552" s="550"/>
      <c r="H1552" s="551"/>
      <c r="I1552" s="552"/>
      <c r="J1552" s="537"/>
      <c r="K1552" s="111"/>
      <c r="L1552" s="81"/>
      <c r="M1552" s="111"/>
    </row>
    <row r="1553" spans="1:13" s="525" customFormat="1" ht="16.5" hidden="1" customHeight="1">
      <c r="A1553" s="81"/>
      <c r="B1553" s="526" t="s">
        <v>672</v>
      </c>
      <c r="C1553" s="527"/>
      <c r="D1553" s="528"/>
      <c r="E1553" s="529"/>
      <c r="F1553" s="530"/>
      <c r="G1553" s="530"/>
      <c r="H1553" s="530"/>
      <c r="I1553" s="531"/>
      <c r="J1553" s="537"/>
      <c r="K1553" s="111"/>
      <c r="L1553" s="81"/>
      <c r="M1553" s="111"/>
    </row>
    <row r="1554" spans="1:13" s="525" customFormat="1" ht="16.5" hidden="1" customHeight="1">
      <c r="A1554" s="81"/>
      <c r="B1554" s="526" t="s">
        <v>644</v>
      </c>
      <c r="C1554" s="527">
        <v>1</v>
      </c>
      <c r="D1554" s="528" t="s">
        <v>265</v>
      </c>
      <c r="E1554" s="529">
        <v>1</v>
      </c>
      <c r="F1554" s="530">
        <v>4</v>
      </c>
      <c r="G1554" s="530">
        <v>0</v>
      </c>
      <c r="H1554" s="530">
        <v>0</v>
      </c>
      <c r="I1554" s="531">
        <f>ROUND(IF(AND(F1554:H1554),C1554*E1554*F1554*G1554*H1554,IF(AND(F1554,G1554),C1554*E1554*F1554*G1554,IF(AND(F1554,H1554),C1554*E1554*F1554*H1554,IF(AND(G1554,H1554),C1554*E1554*G1554*H1554,IF(F1554,C1554*E1554*F1554,IF(G1554,C1554*E1554*G1554,IF(H1554,C1554*E1554*H1554,C1554*E1554))))))),2)</f>
        <v>4</v>
      </c>
      <c r="J1554" s="537" t="s">
        <v>271</v>
      </c>
      <c r="K1554" s="111"/>
      <c r="L1554" s="81"/>
      <c r="M1554" s="111"/>
    </row>
    <row r="1555" spans="1:13" s="525" customFormat="1" ht="16.5" hidden="1" customHeight="1">
      <c r="A1555" s="81"/>
      <c r="B1555" s="558" t="s">
        <v>673</v>
      </c>
      <c r="C1555" s="527">
        <v>1</v>
      </c>
      <c r="D1555" s="528" t="s">
        <v>265</v>
      </c>
      <c r="E1555" s="529">
        <v>1</v>
      </c>
      <c r="F1555" s="530">
        <v>1.8</v>
      </c>
      <c r="G1555" s="530">
        <v>0</v>
      </c>
      <c r="H1555" s="530">
        <v>0</v>
      </c>
      <c r="I1555" s="531">
        <f>ROUND(IF(AND(F1555:H1555),C1555*E1555*F1555*G1555*H1555,IF(AND(F1555,G1555),C1555*E1555*F1555*G1555,IF(AND(F1555,H1555),C1555*E1555*F1555*H1555,IF(AND(G1555,H1555),C1555*E1555*G1555*H1555,IF(F1555,C1555*E1555*F1555,IF(G1555,C1555*E1555*G1555,IF(H1555,C1555*E1555*H1555,C1555*E1555))))))),2)</f>
        <v>1.8</v>
      </c>
      <c r="J1555" s="537" t="s">
        <v>271</v>
      </c>
      <c r="K1555" s="111"/>
      <c r="L1555" s="81"/>
      <c r="M1555" s="111"/>
    </row>
    <row r="1556" spans="1:13" s="525" customFormat="1" ht="16.5" hidden="1" customHeight="1">
      <c r="A1556" s="81"/>
      <c r="B1556" s="526" t="s">
        <v>674</v>
      </c>
      <c r="C1556" s="527">
        <v>1</v>
      </c>
      <c r="D1556" s="528" t="s">
        <v>265</v>
      </c>
      <c r="E1556" s="529">
        <v>1</v>
      </c>
      <c r="F1556" s="530">
        <v>2</v>
      </c>
      <c r="G1556" s="530">
        <v>0</v>
      </c>
      <c r="H1556" s="530">
        <v>0</v>
      </c>
      <c r="I1556" s="531">
        <f>ROUND(IF(AND(F1556:H1556),C1556*E1556*F1556*G1556*H1556,IF(AND(F1556,G1556),C1556*E1556*F1556*G1556,IF(AND(F1556,H1556),C1556*E1556*F1556*H1556,IF(AND(G1556,H1556),C1556*E1556*G1556*H1556,IF(F1556,C1556*E1556*F1556,IF(G1556,C1556*E1556*G1556,IF(H1556,C1556*E1556*H1556,C1556*E1556))))))),2)</f>
        <v>2</v>
      </c>
      <c r="J1556" s="537" t="s">
        <v>271</v>
      </c>
      <c r="K1556" s="111"/>
      <c r="L1556" s="81"/>
      <c r="M1556" s="111"/>
    </row>
    <row r="1557" spans="1:13" s="525" customFormat="1" ht="16.5" hidden="1" customHeight="1">
      <c r="A1557" s="81"/>
      <c r="B1557" s="526"/>
      <c r="C1557" s="527"/>
      <c r="D1557" s="528"/>
      <c r="E1557" s="529"/>
      <c r="F1557" s="530"/>
      <c r="G1557" s="530"/>
      <c r="H1557" s="530"/>
      <c r="I1557" s="531"/>
      <c r="J1557" s="537"/>
      <c r="K1557" s="111"/>
      <c r="L1557" s="81"/>
      <c r="M1557" s="111"/>
    </row>
    <row r="1558" spans="1:13" hidden="1">
      <c r="A1558" s="81"/>
      <c r="B1558" s="111"/>
      <c r="C1558" s="112"/>
      <c r="D1558" s="533"/>
      <c r="E1558" s="534"/>
      <c r="F1558" s="113"/>
      <c r="G1558" s="539"/>
      <c r="H1558" s="81"/>
      <c r="I1558" s="531"/>
      <c r="J1558" s="537" t="s">
        <v>271</v>
      </c>
      <c r="K1558" s="12">
        <f>'Ele Data 2024-25'!I38</f>
        <v>74</v>
      </c>
      <c r="L1558" s="12" t="s">
        <v>273</v>
      </c>
      <c r="M1558" s="11">
        <f>ROUND(I1558*K1558,0)</f>
        <v>0</v>
      </c>
    </row>
    <row r="1559" spans="1:13" ht="27" hidden="1" customHeight="1">
      <c r="A1559" s="81">
        <v>42</v>
      </c>
      <c r="B1559" s="910" t="s">
        <v>415</v>
      </c>
      <c r="C1559" s="910"/>
      <c r="D1559" s="910"/>
      <c r="E1559" s="910"/>
      <c r="F1559" s="910"/>
      <c r="G1559" s="910"/>
      <c r="H1559" s="910"/>
      <c r="I1559" s="515"/>
      <c r="J1559" s="516"/>
      <c r="K1559" s="81"/>
      <c r="L1559" s="81"/>
      <c r="M1559" s="110"/>
    </row>
    <row r="1560" spans="1:13" s="525" customFormat="1" ht="16.5" hidden="1" customHeight="1">
      <c r="A1560" s="81"/>
      <c r="B1560" s="558"/>
      <c r="C1560" s="527">
        <v>1</v>
      </c>
      <c r="D1560" s="528" t="s">
        <v>265</v>
      </c>
      <c r="E1560" s="529">
        <v>10</v>
      </c>
      <c r="F1560" s="530">
        <v>0</v>
      </c>
      <c r="G1560" s="530">
        <v>0</v>
      </c>
      <c r="H1560" s="530">
        <v>0</v>
      </c>
      <c r="I1560" s="585">
        <f>ROUND(IF(AND(F1560:H1560),C1560*E1560*F1560*G1560*H1560,IF(AND(F1560,G1560),C1560*E1560*F1560*G1560,IF(AND(F1560,H1560),C1560*E1560*F1560*H1560,IF(AND(G1560,H1560),C1560*E1560*G1560*H1560,IF(F1560,C1560*E1560*F1560,IF(G1560,C1560*E1560*G1560,IF(H1560,C1560*E1560*H1560,C1560*E1560))))))),2)</f>
        <v>10</v>
      </c>
      <c r="J1560" s="537" t="s">
        <v>114</v>
      </c>
      <c r="K1560" s="111"/>
      <c r="L1560" s="81"/>
      <c r="M1560" s="111"/>
    </row>
    <row r="1561" spans="1:13" s="525" customFormat="1" ht="16.5" hidden="1" customHeight="1">
      <c r="A1561" s="81"/>
      <c r="B1561" s="558"/>
      <c r="C1561" s="527"/>
      <c r="D1561" s="528"/>
      <c r="E1561" s="529"/>
      <c r="F1561" s="530"/>
      <c r="G1561" s="530"/>
      <c r="H1561" s="530"/>
      <c r="I1561" s="585"/>
      <c r="J1561" s="537"/>
      <c r="K1561" s="111"/>
      <c r="L1561" s="81"/>
      <c r="M1561" s="111"/>
    </row>
    <row r="1562" spans="1:13" hidden="1">
      <c r="A1562" s="81"/>
      <c r="B1562" s="111"/>
      <c r="C1562" s="112"/>
      <c r="D1562" s="533"/>
      <c r="E1562" s="534"/>
      <c r="F1562" s="113"/>
      <c r="G1562" s="539"/>
      <c r="H1562" s="81"/>
      <c r="I1562" s="585"/>
      <c r="J1562" s="537" t="s">
        <v>114</v>
      </c>
      <c r="K1562" s="12">
        <f>'Ele Data 2024-25'!I41</f>
        <v>245</v>
      </c>
      <c r="L1562" s="12" t="s">
        <v>268</v>
      </c>
      <c r="M1562" s="11">
        <f>ROUND(I1562*K1562,0)</f>
        <v>0</v>
      </c>
    </row>
    <row r="1563" spans="1:13" ht="27" customHeight="1">
      <c r="A1563" s="81">
        <v>22</v>
      </c>
      <c r="B1563" s="910" t="s">
        <v>595</v>
      </c>
      <c r="C1563" s="910"/>
      <c r="D1563" s="910"/>
      <c r="E1563" s="910"/>
      <c r="F1563" s="910"/>
      <c r="G1563" s="910"/>
      <c r="H1563" s="910"/>
      <c r="I1563" s="515"/>
      <c r="J1563" s="516"/>
      <c r="K1563" s="81"/>
      <c r="L1563" s="81"/>
      <c r="M1563" s="110"/>
    </row>
    <row r="1564" spans="1:13" s="525" customFormat="1" ht="16.5" customHeight="1">
      <c r="A1564" s="81"/>
      <c r="B1564" s="558"/>
      <c r="C1564" s="527">
        <v>1</v>
      </c>
      <c r="D1564" s="528" t="s">
        <v>265</v>
      </c>
      <c r="E1564" s="529">
        <v>3</v>
      </c>
      <c r="F1564" s="530">
        <v>0</v>
      </c>
      <c r="G1564" s="530">
        <v>0</v>
      </c>
      <c r="H1564" s="530">
        <v>0</v>
      </c>
      <c r="I1564" s="585">
        <f>ROUND(IF(AND(F1564:H1564),C1564*E1564*F1564*G1564*H1564,IF(AND(F1564,G1564),C1564*E1564*F1564*G1564,IF(AND(F1564,H1564),C1564*E1564*F1564*H1564,IF(AND(G1564,H1564),C1564*E1564*G1564*H1564,IF(F1564,C1564*E1564*F1564,IF(G1564,C1564*E1564*G1564,IF(H1564,C1564*E1564*H1564,C1564*E1564))))))),2)</f>
        <v>3</v>
      </c>
      <c r="J1564" s="537" t="s">
        <v>114</v>
      </c>
      <c r="K1564" s="111"/>
      <c r="L1564" s="81"/>
      <c r="M1564" s="111"/>
    </row>
    <row r="1565" spans="1:13" s="525" customFormat="1" ht="16.5" customHeight="1">
      <c r="A1565" s="81"/>
      <c r="B1565" s="558"/>
      <c r="C1565" s="527"/>
      <c r="D1565" s="528"/>
      <c r="E1565" s="529"/>
      <c r="F1565" s="530"/>
      <c r="G1565" s="530"/>
      <c r="H1565" s="530"/>
      <c r="I1565" s="531"/>
      <c r="J1565" s="537"/>
      <c r="K1565" s="111"/>
      <c r="L1565" s="81"/>
      <c r="M1565" s="111"/>
    </row>
    <row r="1566" spans="1:13">
      <c r="A1566" s="81"/>
      <c r="B1566" s="111"/>
      <c r="C1566" s="112"/>
      <c r="D1566" s="533"/>
      <c r="E1566" s="534"/>
      <c r="F1566" s="113"/>
      <c r="G1566" s="539"/>
      <c r="H1566" s="81"/>
      <c r="I1566" s="585">
        <f>SUM(I1564:I1565)</f>
        <v>3</v>
      </c>
      <c r="J1566" s="537" t="s">
        <v>114</v>
      </c>
      <c r="K1566" s="12">
        <f>'Ele Data 2024-25'!I45</f>
        <v>230.64</v>
      </c>
      <c r="L1566" s="12" t="s">
        <v>268</v>
      </c>
      <c r="M1566" s="11">
        <f>ROUND(I1566*K1566,0)</f>
        <v>692</v>
      </c>
    </row>
    <row r="1567" spans="1:13" ht="27" hidden="1" customHeight="1">
      <c r="A1567" s="81">
        <v>13</v>
      </c>
      <c r="B1567" s="910" t="s">
        <v>675</v>
      </c>
      <c r="C1567" s="910"/>
      <c r="D1567" s="910"/>
      <c r="E1567" s="910"/>
      <c r="F1567" s="910"/>
      <c r="G1567" s="910"/>
      <c r="H1567" s="910"/>
      <c r="I1567" s="515"/>
      <c r="J1567" s="516"/>
      <c r="K1567" s="81"/>
      <c r="L1567" s="81"/>
      <c r="M1567" s="110"/>
    </row>
    <row r="1568" spans="1:13" s="525" customFormat="1" ht="16.5" hidden="1" customHeight="1">
      <c r="A1568" s="81"/>
      <c r="B1568" s="558"/>
      <c r="C1568" s="527">
        <v>1</v>
      </c>
      <c r="D1568" s="528" t="s">
        <v>265</v>
      </c>
      <c r="E1568" s="529">
        <v>1</v>
      </c>
      <c r="F1568" s="530">
        <v>0</v>
      </c>
      <c r="G1568" s="530">
        <v>0</v>
      </c>
      <c r="H1568" s="530">
        <v>0</v>
      </c>
      <c r="I1568" s="585">
        <f>ROUND(IF(AND(F1568:H1568),C1568*E1568*F1568*G1568*H1568,IF(AND(F1568,G1568),C1568*E1568*F1568*G1568,IF(AND(F1568,H1568),C1568*E1568*F1568*H1568,IF(AND(G1568,H1568),C1568*E1568*G1568*H1568,IF(F1568,C1568*E1568*F1568,IF(G1568,C1568*E1568*G1568,IF(H1568,C1568*E1568*H1568,C1568*E1568))))))),2)</f>
        <v>1</v>
      </c>
      <c r="J1568" s="537" t="s">
        <v>114</v>
      </c>
      <c r="K1568" s="111"/>
      <c r="L1568" s="81"/>
      <c r="M1568" s="111"/>
    </row>
    <row r="1569" spans="1:13" s="525" customFormat="1" ht="16.5" hidden="1" customHeight="1">
      <c r="A1569" s="81"/>
      <c r="B1569" s="558"/>
      <c r="C1569" s="527"/>
      <c r="D1569" s="528"/>
      <c r="E1569" s="529"/>
      <c r="F1569" s="530"/>
      <c r="G1569" s="530"/>
      <c r="H1569" s="530"/>
      <c r="I1569" s="585"/>
      <c r="J1569" s="537"/>
      <c r="K1569" s="111"/>
      <c r="L1569" s="81"/>
      <c r="M1569" s="111"/>
    </row>
    <row r="1570" spans="1:13" hidden="1">
      <c r="A1570" s="81"/>
      <c r="B1570" s="111"/>
      <c r="C1570" s="112"/>
      <c r="D1570" s="533"/>
      <c r="E1570" s="534"/>
      <c r="F1570" s="113"/>
      <c r="G1570" s="539"/>
      <c r="H1570" s="81"/>
      <c r="I1570" s="585"/>
      <c r="J1570" s="537" t="s">
        <v>114</v>
      </c>
      <c r="K1570" s="12">
        <f>'Ele Data 2024-25'!I48</f>
        <v>155</v>
      </c>
      <c r="L1570" s="12" t="s">
        <v>268</v>
      </c>
      <c r="M1570" s="11">
        <f>ROUND(I1570*K1570,0)</f>
        <v>0</v>
      </c>
    </row>
    <row r="1571" spans="1:13" ht="27" hidden="1" customHeight="1">
      <c r="A1571" s="81">
        <v>4</v>
      </c>
      <c r="B1571" s="910" t="s">
        <v>1271</v>
      </c>
      <c r="C1571" s="910"/>
      <c r="D1571" s="910"/>
      <c r="E1571" s="910"/>
      <c r="F1571" s="910"/>
      <c r="G1571" s="910"/>
      <c r="H1571" s="910"/>
      <c r="I1571" s="515"/>
      <c r="J1571" s="516"/>
      <c r="K1571" s="81"/>
      <c r="L1571" s="81"/>
      <c r="M1571" s="110"/>
    </row>
    <row r="1572" spans="1:13" s="525" customFormat="1" ht="16.5" hidden="1" customHeight="1">
      <c r="A1572" s="81"/>
      <c r="B1572" s="111" t="s">
        <v>1253</v>
      </c>
      <c r="C1572" s="547"/>
      <c r="D1572" s="548"/>
      <c r="E1572" s="549"/>
      <c r="F1572" s="550"/>
      <c r="G1572" s="550"/>
      <c r="H1572" s="551"/>
      <c r="I1572" s="552"/>
      <c r="J1572" s="537"/>
      <c r="K1572" s="111"/>
      <c r="L1572" s="81"/>
      <c r="M1572" s="111"/>
    </row>
    <row r="1573" spans="1:13" s="525" customFormat="1" ht="16.5" hidden="1" customHeight="1">
      <c r="A1573" s="81"/>
      <c r="B1573" s="558" t="s">
        <v>572</v>
      </c>
      <c r="C1573" s="527">
        <v>1</v>
      </c>
      <c r="D1573" s="528" t="s">
        <v>265</v>
      </c>
      <c r="E1573" s="529">
        <v>1</v>
      </c>
      <c r="F1573" s="530">
        <v>0</v>
      </c>
      <c r="G1573" s="530">
        <v>0</v>
      </c>
      <c r="H1573" s="530">
        <v>0</v>
      </c>
      <c r="I1573" s="531">
        <f>ROUND(IF(AND(F1573:H1573),C1573*E1573*F1573*G1573*H1573,IF(AND(F1573,G1573),C1573*E1573*F1573*G1573,IF(AND(F1573,H1573),C1573*E1573*F1573*H1573,IF(AND(G1573,H1573),C1573*E1573*G1573*H1573,IF(F1573,C1573*E1573*F1573,IF(G1573,C1573*E1573*G1573,IF(H1573,C1573*E1573*H1573,C1573*E1573))))))),2)</f>
        <v>1</v>
      </c>
      <c r="J1573" s="537" t="s">
        <v>114</v>
      </c>
      <c r="K1573" s="111"/>
      <c r="L1573" s="81"/>
      <c r="M1573" s="111"/>
    </row>
    <row r="1574" spans="1:13" s="525" customFormat="1" ht="16.5" hidden="1" customHeight="1">
      <c r="A1574" s="81"/>
      <c r="B1574" s="558" t="s">
        <v>1255</v>
      </c>
      <c r="C1574" s="527">
        <v>1</v>
      </c>
      <c r="D1574" s="528" t="s">
        <v>265</v>
      </c>
      <c r="E1574" s="529">
        <v>1</v>
      </c>
      <c r="F1574" s="530">
        <v>0</v>
      </c>
      <c r="G1574" s="530">
        <v>0</v>
      </c>
      <c r="H1574" s="530">
        <v>0</v>
      </c>
      <c r="I1574" s="531">
        <f>ROUND(IF(AND(F1574:H1574),C1574*E1574*F1574*G1574*H1574,IF(AND(F1574,G1574),C1574*E1574*F1574*G1574,IF(AND(F1574,H1574),C1574*E1574*F1574*H1574,IF(AND(G1574,H1574),C1574*E1574*G1574*H1574,IF(F1574,C1574*E1574*F1574,IF(G1574,C1574*E1574*G1574,IF(H1574,C1574*E1574*H1574,C1574*E1574))))))),2)</f>
        <v>1</v>
      </c>
      <c r="J1574" s="537" t="s">
        <v>114</v>
      </c>
      <c r="K1574" s="111"/>
      <c r="L1574" s="81"/>
      <c r="M1574" s="111"/>
    </row>
    <row r="1575" spans="1:13" s="525" customFormat="1" ht="16.5" hidden="1" customHeight="1">
      <c r="A1575" s="81"/>
      <c r="B1575" s="558" t="s">
        <v>1254</v>
      </c>
      <c r="C1575" s="527">
        <v>1</v>
      </c>
      <c r="D1575" s="528" t="s">
        <v>265</v>
      </c>
      <c r="E1575" s="529">
        <v>1</v>
      </c>
      <c r="F1575" s="530">
        <v>0</v>
      </c>
      <c r="G1575" s="530">
        <v>0</v>
      </c>
      <c r="H1575" s="530">
        <v>0</v>
      </c>
      <c r="I1575" s="531">
        <f>ROUND(IF(AND(F1575:H1575),C1575*E1575*F1575*G1575*H1575,IF(AND(F1575,G1575),C1575*E1575*F1575*G1575,IF(AND(F1575,H1575),C1575*E1575*F1575*H1575,IF(AND(G1575,H1575),C1575*E1575*G1575*H1575,IF(F1575,C1575*E1575*F1575,IF(G1575,C1575*E1575*G1575,IF(H1575,C1575*E1575*H1575,C1575*E1575))))))),2)</f>
        <v>1</v>
      </c>
      <c r="J1575" s="537" t="s">
        <v>114</v>
      </c>
      <c r="K1575" s="111"/>
      <c r="L1575" s="81"/>
      <c r="M1575" s="111"/>
    </row>
    <row r="1576" spans="1:13" s="525" customFormat="1" ht="16.5" hidden="1" customHeight="1">
      <c r="A1576" s="81"/>
      <c r="B1576" s="558" t="s">
        <v>228</v>
      </c>
      <c r="C1576" s="527">
        <v>1</v>
      </c>
      <c r="D1576" s="528" t="s">
        <v>265</v>
      </c>
      <c r="E1576" s="529">
        <v>2</v>
      </c>
      <c r="F1576" s="530">
        <v>0</v>
      </c>
      <c r="G1576" s="530">
        <v>0</v>
      </c>
      <c r="H1576" s="530">
        <v>0</v>
      </c>
      <c r="I1576" s="531">
        <f>ROUND(IF(AND(F1576:H1576),C1576*E1576*F1576*G1576*H1576,IF(AND(F1576,G1576),C1576*E1576*F1576*G1576,IF(AND(F1576,H1576),C1576*E1576*F1576*H1576,IF(AND(G1576,H1576),C1576*E1576*G1576*H1576,IF(F1576,C1576*E1576*F1576,IF(G1576,C1576*E1576*G1576,IF(H1576,C1576*E1576*H1576,C1576*E1576))))))),2)</f>
        <v>2</v>
      </c>
      <c r="J1576" s="537" t="s">
        <v>114</v>
      </c>
      <c r="K1576" s="111"/>
      <c r="L1576" s="81"/>
      <c r="M1576" s="111"/>
    </row>
    <row r="1577" spans="1:13" hidden="1">
      <c r="A1577" s="81"/>
      <c r="B1577" s="111"/>
      <c r="C1577" s="112"/>
      <c r="D1577" s="533"/>
      <c r="E1577" s="534"/>
      <c r="F1577" s="113"/>
      <c r="G1577" s="539"/>
      <c r="H1577" s="81"/>
      <c r="I1577" s="531"/>
      <c r="J1577" s="537" t="s">
        <v>114</v>
      </c>
      <c r="K1577" s="12">
        <f>'Ele Data 2024-25'!I59</f>
        <v>359</v>
      </c>
      <c r="L1577" s="12" t="s">
        <v>268</v>
      </c>
      <c r="M1577" s="11">
        <f>ROUND(I1577*K1577,0)</f>
        <v>0</v>
      </c>
    </row>
    <row r="1578" spans="1:13" ht="27" hidden="1" customHeight="1">
      <c r="A1578" s="81">
        <v>6</v>
      </c>
      <c r="B1578" s="910" t="s">
        <v>597</v>
      </c>
      <c r="C1578" s="910"/>
      <c r="D1578" s="910"/>
      <c r="E1578" s="910"/>
      <c r="F1578" s="910"/>
      <c r="G1578" s="910"/>
      <c r="H1578" s="910"/>
      <c r="I1578" s="515"/>
      <c r="J1578" s="516"/>
      <c r="K1578" s="81"/>
      <c r="L1578" s="81"/>
      <c r="M1578" s="110"/>
    </row>
    <row r="1579" spans="1:13" s="525" customFormat="1" ht="16.5" hidden="1" customHeight="1">
      <c r="A1579" s="81"/>
      <c r="B1579" s="558" t="s">
        <v>592</v>
      </c>
      <c r="C1579" s="547"/>
      <c r="D1579" s="548"/>
      <c r="E1579" s="549"/>
      <c r="F1579" s="550"/>
      <c r="G1579" s="550"/>
      <c r="H1579" s="551"/>
      <c r="I1579" s="552"/>
      <c r="J1579" s="537"/>
      <c r="K1579" s="111"/>
      <c r="L1579" s="81"/>
      <c r="M1579" s="111"/>
    </row>
    <row r="1580" spans="1:13" s="525" customFormat="1" ht="16.5" hidden="1" customHeight="1">
      <c r="A1580" s="81"/>
      <c r="B1580" s="558" t="s">
        <v>983</v>
      </c>
      <c r="C1580" s="527">
        <v>2</v>
      </c>
      <c r="D1580" s="528" t="s">
        <v>265</v>
      </c>
      <c r="E1580" s="529">
        <v>1</v>
      </c>
      <c r="F1580" s="530">
        <v>0</v>
      </c>
      <c r="G1580" s="530">
        <v>0</v>
      </c>
      <c r="H1580" s="530">
        <v>0</v>
      </c>
      <c r="I1580" s="531">
        <f>ROUND(IF(AND(F1580:H1580),C1580*E1580*F1580*G1580*H1580,IF(AND(F1580,G1580),C1580*E1580*F1580*G1580,IF(AND(F1580,H1580),C1580*E1580*F1580*H1580,IF(AND(G1580,H1580),C1580*E1580*G1580*H1580,IF(F1580,C1580*E1580*F1580,IF(G1580,C1580*E1580*G1580,IF(H1580,C1580*E1580*H1580,C1580*E1580))))))),2)</f>
        <v>2</v>
      </c>
      <c r="J1580" s="537" t="s">
        <v>114</v>
      </c>
      <c r="K1580" s="111"/>
      <c r="L1580" s="81"/>
      <c r="M1580" s="111"/>
    </row>
    <row r="1581" spans="1:13" hidden="1">
      <c r="A1581" s="81"/>
      <c r="B1581" s="111"/>
      <c r="C1581" s="112"/>
      <c r="D1581" s="533"/>
      <c r="E1581" s="534"/>
      <c r="F1581" s="113"/>
      <c r="G1581" s="539"/>
      <c r="H1581" s="81"/>
      <c r="I1581" s="531"/>
      <c r="J1581" s="537" t="s">
        <v>114</v>
      </c>
      <c r="K1581" s="12">
        <f>'Ele Data 2024-25'!I55</f>
        <v>400</v>
      </c>
      <c r="L1581" s="12" t="s">
        <v>268</v>
      </c>
      <c r="M1581" s="11">
        <f>ROUND(I1581*K1581,0)</f>
        <v>0</v>
      </c>
    </row>
    <row r="1582" spans="1:13" ht="27" hidden="1" customHeight="1">
      <c r="A1582" s="81">
        <v>14</v>
      </c>
      <c r="B1582" s="910" t="s">
        <v>732</v>
      </c>
      <c r="C1582" s="910"/>
      <c r="D1582" s="910"/>
      <c r="E1582" s="910"/>
      <c r="F1582" s="910"/>
      <c r="G1582" s="910"/>
      <c r="H1582" s="910"/>
      <c r="I1582" s="515"/>
      <c r="J1582" s="516"/>
      <c r="K1582" s="81"/>
      <c r="L1582" s="81"/>
      <c r="M1582" s="110"/>
    </row>
    <row r="1583" spans="1:13" s="525" customFormat="1" ht="16.5" hidden="1" customHeight="1">
      <c r="A1583" s="81"/>
      <c r="B1583" s="558"/>
      <c r="C1583" s="527">
        <v>1</v>
      </c>
      <c r="D1583" s="528" t="s">
        <v>265</v>
      </c>
      <c r="E1583" s="529">
        <v>4</v>
      </c>
      <c r="F1583" s="530">
        <v>0</v>
      </c>
      <c r="G1583" s="530">
        <v>0</v>
      </c>
      <c r="H1583" s="530">
        <v>0</v>
      </c>
      <c r="I1583" s="585">
        <f>ROUND(IF(AND(F1583:H1583),C1583*E1583*F1583*G1583*H1583,IF(AND(F1583,G1583),C1583*E1583*F1583*G1583,IF(AND(F1583,H1583),C1583*E1583*F1583*H1583,IF(AND(G1583,H1583),C1583*E1583*G1583*H1583,IF(F1583,C1583*E1583*F1583,IF(G1583,C1583*E1583*G1583,IF(H1583,C1583*E1583*H1583,C1583*E1583))))))),2)</f>
        <v>4</v>
      </c>
      <c r="J1583" s="537" t="s">
        <v>114</v>
      </c>
      <c r="K1583" s="111"/>
      <c r="L1583" s="81"/>
      <c r="M1583" s="111"/>
    </row>
    <row r="1584" spans="1:13" s="525" customFormat="1" ht="16.5" hidden="1" customHeight="1">
      <c r="A1584" s="81"/>
      <c r="B1584" s="558"/>
      <c r="C1584" s="527"/>
      <c r="D1584" s="528"/>
      <c r="E1584" s="529"/>
      <c r="F1584" s="530"/>
      <c r="G1584" s="530"/>
      <c r="H1584" s="530"/>
      <c r="I1584" s="585"/>
      <c r="J1584" s="537"/>
      <c r="K1584" s="111"/>
      <c r="L1584" s="81"/>
      <c r="M1584" s="111"/>
    </row>
    <row r="1585" spans="1:13" hidden="1">
      <c r="A1585" s="81"/>
      <c r="B1585" s="111"/>
      <c r="C1585" s="112"/>
      <c r="D1585" s="533"/>
      <c r="E1585" s="534"/>
      <c r="F1585" s="113"/>
      <c r="G1585" s="539"/>
      <c r="H1585" s="81"/>
      <c r="I1585" s="585"/>
      <c r="J1585" s="537" t="s">
        <v>114</v>
      </c>
      <c r="K1585" s="12">
        <f>'Ele Data 2024-25'!I51</f>
        <v>114</v>
      </c>
      <c r="L1585" s="12" t="s">
        <v>268</v>
      </c>
      <c r="M1585" s="11">
        <f>ROUND(I1585*K1585,0)</f>
        <v>0</v>
      </c>
    </row>
    <row r="1586" spans="1:13" ht="27" hidden="1" customHeight="1">
      <c r="A1586" s="81">
        <v>43</v>
      </c>
      <c r="B1586" s="910" t="s">
        <v>416</v>
      </c>
      <c r="C1586" s="910"/>
      <c r="D1586" s="910"/>
      <c r="E1586" s="910"/>
      <c r="F1586" s="910"/>
      <c r="G1586" s="910"/>
      <c r="H1586" s="910"/>
      <c r="I1586" s="515"/>
      <c r="J1586" s="516"/>
      <c r="K1586" s="81"/>
      <c r="L1586" s="81"/>
      <c r="M1586" s="110"/>
    </row>
    <row r="1587" spans="1:13" s="525" customFormat="1" ht="16.5" hidden="1" customHeight="1">
      <c r="A1587" s="81"/>
      <c r="B1587" s="558" t="s">
        <v>564</v>
      </c>
      <c r="C1587" s="527">
        <v>1</v>
      </c>
      <c r="D1587" s="528" t="s">
        <v>265</v>
      </c>
      <c r="E1587" s="529">
        <v>3</v>
      </c>
      <c r="F1587" s="530">
        <v>0</v>
      </c>
      <c r="G1587" s="530">
        <v>0</v>
      </c>
      <c r="H1587" s="530">
        <v>0</v>
      </c>
      <c r="I1587" s="585">
        <f>ROUND(IF(AND(F1587:H1587),C1587*E1587*F1587*G1587*H1587,IF(AND(F1587,G1587),C1587*E1587*F1587*G1587,IF(AND(F1587,H1587),C1587*E1587*F1587*H1587,IF(AND(G1587,H1587),C1587*E1587*G1587*H1587,IF(F1587,C1587*E1587*F1587,IF(G1587,C1587*E1587*G1587,IF(H1587,C1587*E1587*H1587,C1587*E1587))))))),2)</f>
        <v>3</v>
      </c>
      <c r="J1587" s="537" t="s">
        <v>114</v>
      </c>
      <c r="K1587" s="111"/>
      <c r="L1587" s="81"/>
      <c r="M1587" s="111"/>
    </row>
    <row r="1588" spans="1:13" hidden="1">
      <c r="A1588" s="81"/>
      <c r="B1588" s="111"/>
      <c r="C1588" s="112"/>
      <c r="D1588" s="533"/>
      <c r="E1588" s="534"/>
      <c r="F1588" s="113"/>
      <c r="G1588" s="539"/>
      <c r="H1588" s="81"/>
      <c r="I1588" s="585"/>
      <c r="J1588" s="537" t="s">
        <v>114</v>
      </c>
      <c r="K1588" s="12">
        <f>'Ele Data 2024-25'!I62</f>
        <v>68</v>
      </c>
      <c r="L1588" s="12" t="s">
        <v>268</v>
      </c>
      <c r="M1588" s="11">
        <f>ROUND(I1588*K1588,0)</f>
        <v>0</v>
      </c>
    </row>
    <row r="1589" spans="1:13" ht="64.5" customHeight="1">
      <c r="A1589" s="81">
        <v>23</v>
      </c>
      <c r="B1589" s="910" t="s">
        <v>677</v>
      </c>
      <c r="C1589" s="910"/>
      <c r="D1589" s="910"/>
      <c r="E1589" s="910"/>
      <c r="F1589" s="910"/>
      <c r="G1589" s="910"/>
      <c r="H1589" s="910"/>
      <c r="I1589" s="515"/>
      <c r="J1589" s="516"/>
      <c r="K1589" s="81"/>
      <c r="L1589" s="81"/>
      <c r="M1589" s="110"/>
    </row>
    <row r="1590" spans="1:13" s="525" customFormat="1" ht="16.5" customHeight="1">
      <c r="A1590" s="81"/>
      <c r="B1590" s="558"/>
      <c r="C1590" s="527">
        <v>1</v>
      </c>
      <c r="D1590" s="528" t="s">
        <v>265</v>
      </c>
      <c r="E1590" s="529">
        <v>9</v>
      </c>
      <c r="F1590" s="530">
        <v>0</v>
      </c>
      <c r="G1590" s="530">
        <v>0</v>
      </c>
      <c r="H1590" s="530">
        <v>0</v>
      </c>
      <c r="I1590" s="585">
        <f>ROUND(IF(AND(F1590:H1590),C1590*E1590*F1590*G1590*H1590,IF(AND(F1590,G1590),C1590*E1590*F1590*G1590,IF(AND(F1590,H1590),C1590*E1590*F1590*H1590,IF(AND(G1590,H1590),C1590*E1590*G1590*H1590,IF(F1590,C1590*E1590*F1590,IF(G1590,C1590*E1590*G1590,IF(H1590,C1590*E1590*H1590,C1590*E1590))))))),2)</f>
        <v>9</v>
      </c>
      <c r="J1590" s="537" t="s">
        <v>419</v>
      </c>
      <c r="K1590" s="111"/>
      <c r="L1590" s="81"/>
      <c r="M1590" s="111"/>
    </row>
    <row r="1591" spans="1:13" s="525" customFormat="1" ht="16.5" customHeight="1">
      <c r="A1591" s="81"/>
      <c r="B1591" s="558"/>
      <c r="C1591" s="527"/>
      <c r="D1591" s="528"/>
      <c r="E1591" s="529"/>
      <c r="F1591" s="530"/>
      <c r="G1591" s="530"/>
      <c r="H1591" s="530"/>
      <c r="I1591" s="585"/>
      <c r="J1591" s="537"/>
      <c r="K1591" s="111"/>
      <c r="L1591" s="81"/>
      <c r="M1591" s="111"/>
    </row>
    <row r="1592" spans="1:13">
      <c r="A1592" s="81"/>
      <c r="B1592" s="111"/>
      <c r="C1592" s="112"/>
      <c r="D1592" s="533"/>
      <c r="E1592" s="534"/>
      <c r="F1592" s="113"/>
      <c r="G1592" s="539"/>
      <c r="H1592" s="81"/>
      <c r="I1592" s="585">
        <f>SUM(I1590:I1591)</f>
        <v>9</v>
      </c>
      <c r="J1592" s="537" t="s">
        <v>419</v>
      </c>
      <c r="K1592" s="12">
        <f>'Ele Data 2024-25'!I103</f>
        <v>557.66</v>
      </c>
      <c r="L1592" s="12" t="s">
        <v>420</v>
      </c>
      <c r="M1592" s="11">
        <f>ROUND(I1592*K1592,0)</f>
        <v>5019</v>
      </c>
    </row>
    <row r="1593" spans="1:13" ht="67.5" customHeight="1">
      <c r="A1593" s="81">
        <v>24</v>
      </c>
      <c r="B1593" s="910" t="s">
        <v>678</v>
      </c>
      <c r="C1593" s="910"/>
      <c r="D1593" s="910"/>
      <c r="E1593" s="910"/>
      <c r="F1593" s="910"/>
      <c r="G1593" s="910"/>
      <c r="H1593" s="910"/>
      <c r="I1593" s="515"/>
      <c r="J1593" s="516"/>
      <c r="K1593" s="81"/>
      <c r="L1593" s="81"/>
      <c r="M1593" s="110"/>
    </row>
    <row r="1594" spans="1:13" s="525" customFormat="1" ht="16.5" customHeight="1">
      <c r="A1594" s="81"/>
      <c r="B1594" s="558" t="s">
        <v>2169</v>
      </c>
      <c r="C1594" s="527">
        <v>1</v>
      </c>
      <c r="D1594" s="528" t="s">
        <v>265</v>
      </c>
      <c r="E1594" s="529">
        <v>3</v>
      </c>
      <c r="F1594" s="530">
        <v>0</v>
      </c>
      <c r="G1594" s="530">
        <v>0</v>
      </c>
      <c r="H1594" s="530">
        <v>0</v>
      </c>
      <c r="I1594" s="585">
        <f t="shared" ref="I1594" si="110">ROUND(IF(AND(F1594:H1594),C1594*E1594*F1594*G1594*H1594,IF(AND(F1594,G1594),C1594*E1594*F1594*G1594,IF(AND(F1594,H1594),C1594*E1594*F1594*H1594,IF(AND(G1594,H1594),C1594*E1594*G1594*H1594,IF(F1594,C1594*E1594*F1594,IF(G1594,C1594*E1594*G1594,IF(H1594,C1594*E1594*H1594,C1594*E1594))))))),2)</f>
        <v>3</v>
      </c>
      <c r="J1594" s="537" t="s">
        <v>419</v>
      </c>
      <c r="K1594" s="111"/>
      <c r="L1594" s="81"/>
      <c r="M1594" s="111"/>
    </row>
    <row r="1595" spans="1:13" s="525" customFormat="1" ht="16.5" customHeight="1">
      <c r="A1595" s="81"/>
      <c r="B1595" s="558"/>
      <c r="C1595" s="527"/>
      <c r="D1595" s="528"/>
      <c r="E1595" s="529"/>
      <c r="F1595" s="530"/>
      <c r="G1595" s="530"/>
      <c r="H1595" s="530"/>
      <c r="I1595" s="531"/>
      <c r="J1595" s="537"/>
      <c r="K1595" s="111"/>
      <c r="L1595" s="81"/>
      <c r="M1595" s="111"/>
    </row>
    <row r="1596" spans="1:13">
      <c r="A1596" s="81"/>
      <c r="B1596" s="111"/>
      <c r="C1596" s="112"/>
      <c r="D1596" s="533"/>
      <c r="E1596" s="534"/>
      <c r="F1596" s="113"/>
      <c r="G1596" s="539"/>
      <c r="H1596" s="81"/>
      <c r="I1596" s="585">
        <f>SUM(I1594:I1595)</f>
        <v>3</v>
      </c>
      <c r="J1596" s="537" t="s">
        <v>419</v>
      </c>
      <c r="K1596" s="12">
        <f>'Ele Data 2024-25'!I117</f>
        <v>582.66</v>
      </c>
      <c r="L1596" s="12" t="s">
        <v>420</v>
      </c>
      <c r="M1596" s="11">
        <f>ROUND(I1596*K1596,0)</f>
        <v>1748</v>
      </c>
    </row>
    <row r="1597" spans="1:13" ht="44.25" customHeight="1">
      <c r="A1597" s="81">
        <v>25</v>
      </c>
      <c r="B1597" s="910" t="s">
        <v>417</v>
      </c>
      <c r="C1597" s="910"/>
      <c r="D1597" s="910"/>
      <c r="E1597" s="910"/>
      <c r="F1597" s="910"/>
      <c r="G1597" s="910"/>
      <c r="H1597" s="910"/>
      <c r="I1597" s="515"/>
      <c r="J1597" s="516"/>
      <c r="K1597" s="81"/>
      <c r="L1597" s="81"/>
      <c r="M1597" s="110"/>
    </row>
    <row r="1598" spans="1:13" s="525" customFormat="1" ht="16.5" customHeight="1">
      <c r="A1598" s="81"/>
      <c r="B1598" s="859"/>
      <c r="C1598" s="527">
        <v>1</v>
      </c>
      <c r="D1598" s="528" t="s">
        <v>265</v>
      </c>
      <c r="E1598" s="529">
        <v>1</v>
      </c>
      <c r="F1598" s="584">
        <v>90</v>
      </c>
      <c r="G1598" s="530">
        <v>0</v>
      </c>
      <c r="H1598" s="530">
        <v>0</v>
      </c>
      <c r="I1598" s="531">
        <f t="shared" ref="I1598" si="111">ROUND(IF(AND(F1598:H1598),C1598*E1598*F1598*G1598*H1598,IF(AND(F1598,G1598),C1598*E1598*F1598*G1598,IF(AND(F1598,H1598),C1598*E1598*F1598*H1598,IF(AND(G1598,H1598),C1598*E1598*G1598*H1598,IF(F1598,C1598*E1598*F1598,IF(G1598,C1598*E1598*G1598,IF(H1598,C1598*E1598*H1598,C1598*E1598))))))),2)</f>
        <v>90</v>
      </c>
      <c r="J1598" s="537" t="s">
        <v>271</v>
      </c>
      <c r="K1598" s="111"/>
      <c r="L1598" s="81"/>
      <c r="M1598" s="111"/>
    </row>
    <row r="1599" spans="1:13" s="525" customFormat="1" ht="16.5" customHeight="1">
      <c r="A1599" s="81"/>
      <c r="B1599" s="558"/>
      <c r="C1599" s="527"/>
      <c r="D1599" s="528"/>
      <c r="E1599" s="529"/>
      <c r="F1599" s="584"/>
      <c r="G1599" s="530"/>
      <c r="H1599" s="530"/>
      <c r="I1599" s="531"/>
      <c r="J1599" s="537"/>
      <c r="K1599" s="111"/>
      <c r="L1599" s="81"/>
      <c r="M1599" s="111"/>
    </row>
    <row r="1600" spans="1:13">
      <c r="A1600" s="81"/>
      <c r="B1600" s="111"/>
      <c r="C1600" s="112"/>
      <c r="D1600" s="533"/>
      <c r="E1600" s="534"/>
      <c r="F1600" s="113"/>
      <c r="G1600" s="539"/>
      <c r="H1600" s="81"/>
      <c r="I1600" s="531">
        <f>SUM(I1598:I1599)</f>
        <v>90</v>
      </c>
      <c r="J1600" s="537" t="s">
        <v>271</v>
      </c>
      <c r="K1600" s="12">
        <f>'Ele Data 2024-25'!I174</f>
        <v>100.19</v>
      </c>
      <c r="L1600" s="12" t="s">
        <v>273</v>
      </c>
      <c r="M1600" s="11">
        <f>ROUND(I1600*K1600,0)</f>
        <v>9017</v>
      </c>
    </row>
    <row r="1601" spans="1:13" ht="44.25" hidden="1" customHeight="1">
      <c r="A1601" s="81">
        <v>47</v>
      </c>
      <c r="B1601" s="910" t="s">
        <v>418</v>
      </c>
      <c r="C1601" s="910"/>
      <c r="D1601" s="910"/>
      <c r="E1601" s="910"/>
      <c r="F1601" s="910"/>
      <c r="G1601" s="910"/>
      <c r="H1601" s="910"/>
      <c r="I1601" s="515"/>
      <c r="J1601" s="516"/>
      <c r="K1601" s="81"/>
      <c r="L1601" s="81"/>
      <c r="M1601" s="110"/>
    </row>
    <row r="1602" spans="1:13" s="525" customFormat="1" ht="16.5" hidden="1" customHeight="1">
      <c r="A1602" s="81"/>
      <c r="B1602" s="558"/>
      <c r="C1602" s="527">
        <v>1</v>
      </c>
      <c r="D1602" s="528" t="s">
        <v>265</v>
      </c>
      <c r="E1602" s="529">
        <v>1</v>
      </c>
      <c r="F1602" s="584">
        <v>90</v>
      </c>
      <c r="G1602" s="530">
        <v>0</v>
      </c>
      <c r="H1602" s="530">
        <v>0</v>
      </c>
      <c r="I1602" s="531">
        <f>ROUND(IF(AND(F1602:H1602),C1602*E1602*F1602*G1602*H1602,IF(AND(F1602,G1602),C1602*E1602*F1602*G1602,IF(AND(F1602,H1602),C1602*E1602*F1602*H1602,IF(AND(G1602,H1602),C1602*E1602*G1602*H1602,IF(F1602,C1602*E1602*F1602,IF(G1602,C1602*E1602*G1602,IF(H1602,C1602*E1602*H1602,C1602*E1602))))))),2)</f>
        <v>90</v>
      </c>
      <c r="J1602" s="537" t="s">
        <v>271</v>
      </c>
      <c r="K1602" s="111"/>
      <c r="L1602" s="81"/>
      <c r="M1602" s="111"/>
    </row>
    <row r="1603" spans="1:13" s="525" customFormat="1" ht="16.5" hidden="1" customHeight="1">
      <c r="A1603" s="81"/>
      <c r="B1603" s="558"/>
      <c r="C1603" s="527"/>
      <c r="D1603" s="528"/>
      <c r="E1603" s="529"/>
      <c r="F1603" s="584"/>
      <c r="G1603" s="530"/>
      <c r="H1603" s="530"/>
      <c r="I1603" s="531"/>
      <c r="J1603" s="537"/>
      <c r="K1603" s="111"/>
      <c r="L1603" s="81"/>
      <c r="M1603" s="111"/>
    </row>
    <row r="1604" spans="1:13" hidden="1">
      <c r="A1604" s="81"/>
      <c r="B1604" s="111"/>
      <c r="C1604" s="112"/>
      <c r="D1604" s="533"/>
      <c r="E1604" s="534"/>
      <c r="F1604" s="113"/>
      <c r="G1604" s="539"/>
      <c r="H1604" s="81"/>
      <c r="I1604" s="531"/>
      <c r="J1604" s="537" t="s">
        <v>271</v>
      </c>
      <c r="K1604" s="12">
        <f>'Ele Data 2024-25'!I184</f>
        <v>133.97</v>
      </c>
      <c r="L1604" s="12" t="s">
        <v>273</v>
      </c>
      <c r="M1604" s="11">
        <f>ROUND(I1604*K1604,0)</f>
        <v>0</v>
      </c>
    </row>
    <row r="1605" spans="1:13" ht="44.25" customHeight="1">
      <c r="A1605" s="81">
        <v>26</v>
      </c>
      <c r="B1605" s="910" t="s">
        <v>832</v>
      </c>
      <c r="C1605" s="910"/>
      <c r="D1605" s="910"/>
      <c r="E1605" s="910"/>
      <c r="F1605" s="910"/>
      <c r="G1605" s="910"/>
      <c r="H1605" s="910"/>
      <c r="I1605" s="515"/>
      <c r="J1605" s="516"/>
      <c r="K1605" s="81"/>
      <c r="L1605" s="81"/>
      <c r="M1605" s="110"/>
    </row>
    <row r="1606" spans="1:13" s="525" customFormat="1" ht="16.5" customHeight="1">
      <c r="A1606" s="81"/>
      <c r="B1606" s="558"/>
      <c r="C1606" s="527">
        <v>1</v>
      </c>
      <c r="D1606" s="528" t="s">
        <v>265</v>
      </c>
      <c r="E1606" s="529">
        <v>1</v>
      </c>
      <c r="F1606" s="584">
        <v>30</v>
      </c>
      <c r="G1606" s="530">
        <v>0</v>
      </c>
      <c r="H1606" s="530">
        <v>0</v>
      </c>
      <c r="I1606" s="531">
        <f>ROUND(IF(AND(F1606:H1606),C1606*E1606*F1606*G1606*H1606,IF(AND(F1606,G1606),C1606*E1606*F1606*G1606,IF(AND(F1606,H1606),C1606*E1606*F1606*H1606,IF(AND(G1606,H1606),C1606*E1606*G1606*H1606,IF(F1606,C1606*E1606*F1606,IF(G1606,C1606*E1606*G1606,IF(H1606,C1606*E1606*H1606,C1606*E1606))))))),2)</f>
        <v>30</v>
      </c>
      <c r="J1606" s="537" t="s">
        <v>271</v>
      </c>
      <c r="K1606" s="111"/>
      <c r="L1606" s="81"/>
      <c r="M1606" s="111"/>
    </row>
    <row r="1607" spans="1:13">
      <c r="A1607" s="81"/>
      <c r="B1607" s="111"/>
      <c r="C1607" s="112"/>
      <c r="D1607" s="533"/>
      <c r="E1607" s="534"/>
      <c r="F1607" s="113"/>
      <c r="G1607" s="539"/>
      <c r="H1607" s="81"/>
      <c r="I1607" s="531">
        <f>SUM(I1606)</f>
        <v>30</v>
      </c>
      <c r="J1607" s="537" t="s">
        <v>271</v>
      </c>
      <c r="K1607" s="12">
        <f>'Ele Data 2024-25'!I196</f>
        <v>77.744500000000002</v>
      </c>
      <c r="L1607" s="12" t="s">
        <v>273</v>
      </c>
      <c r="M1607" s="11">
        <f>ROUND(I1607*K1607,0)</f>
        <v>2332</v>
      </c>
    </row>
    <row r="1608" spans="1:13" ht="22.5" hidden="1" customHeight="1">
      <c r="A1608" s="81">
        <v>49</v>
      </c>
      <c r="B1608" s="910" t="s">
        <v>427</v>
      </c>
      <c r="C1608" s="910"/>
      <c r="D1608" s="910"/>
      <c r="E1608" s="910"/>
      <c r="F1608" s="910"/>
      <c r="G1608" s="910"/>
      <c r="H1608" s="910"/>
      <c r="I1608" s="515"/>
      <c r="J1608" s="516"/>
      <c r="K1608" s="81"/>
      <c r="L1608" s="81"/>
      <c r="M1608" s="110"/>
    </row>
    <row r="1609" spans="1:13" s="525" customFormat="1" ht="16.5" hidden="1" customHeight="1">
      <c r="A1609" s="81"/>
      <c r="B1609" s="558"/>
      <c r="C1609" s="527">
        <v>1</v>
      </c>
      <c r="D1609" s="528" t="s">
        <v>265</v>
      </c>
      <c r="E1609" s="529">
        <v>10</v>
      </c>
      <c r="F1609" s="530">
        <v>0</v>
      </c>
      <c r="G1609" s="530">
        <v>0</v>
      </c>
      <c r="H1609" s="530">
        <v>0</v>
      </c>
      <c r="I1609" s="585">
        <f t="shared" ref="I1609" si="112">ROUND(IF(AND(F1609:H1609),C1609*E1609*F1609*G1609*H1609,IF(AND(F1609,G1609),C1609*E1609*F1609*G1609,IF(AND(F1609,H1609),C1609*E1609*F1609*H1609,IF(AND(G1609,H1609),C1609*E1609*G1609*H1609,IF(F1609,C1609*E1609*F1609,IF(G1609,C1609*E1609*G1609,IF(H1609,C1609*E1609*H1609,C1609*E1609))))))),2)</f>
        <v>10</v>
      </c>
      <c r="J1609" s="537" t="s">
        <v>114</v>
      </c>
      <c r="K1609" s="111"/>
      <c r="L1609" s="81"/>
      <c r="M1609" s="111"/>
    </row>
    <row r="1610" spans="1:13" s="525" customFormat="1" ht="16.5" hidden="1" customHeight="1">
      <c r="A1610" s="81"/>
      <c r="B1610" s="558"/>
      <c r="C1610" s="527"/>
      <c r="D1610" s="528"/>
      <c r="E1610" s="529"/>
      <c r="F1610" s="530"/>
      <c r="G1610" s="530"/>
      <c r="H1610" s="530"/>
      <c r="I1610" s="585"/>
      <c r="J1610" s="537"/>
      <c r="K1610" s="111"/>
      <c r="L1610" s="81"/>
      <c r="M1610" s="111"/>
    </row>
    <row r="1611" spans="1:13" hidden="1">
      <c r="A1611" s="81"/>
      <c r="B1611" s="111"/>
      <c r="C1611" s="112"/>
      <c r="D1611" s="533"/>
      <c r="E1611" s="534"/>
      <c r="F1611" s="113"/>
      <c r="G1611" s="539"/>
      <c r="H1611" s="81"/>
      <c r="I1611" s="585"/>
      <c r="J1611" s="537" t="s">
        <v>114</v>
      </c>
      <c r="K1611" s="12">
        <f>'Ele Data 2024-25'!I65</f>
        <v>240</v>
      </c>
      <c r="L1611" s="12" t="s">
        <v>268</v>
      </c>
      <c r="M1611" s="11">
        <f>ROUND(I1611*K1611,0)</f>
        <v>0</v>
      </c>
    </row>
    <row r="1612" spans="1:13" ht="22.5" customHeight="1">
      <c r="A1612" s="81">
        <v>27</v>
      </c>
      <c r="B1612" s="910" t="s">
        <v>600</v>
      </c>
      <c r="C1612" s="910"/>
      <c r="D1612" s="910"/>
      <c r="E1612" s="910"/>
      <c r="F1612" s="910"/>
      <c r="G1612" s="910"/>
      <c r="H1612" s="910"/>
      <c r="I1612" s="515"/>
      <c r="J1612" s="516"/>
      <c r="K1612" s="81"/>
      <c r="L1612" s="81"/>
      <c r="M1612" s="110"/>
    </row>
    <row r="1613" spans="1:13" s="525" customFormat="1" ht="16.5" customHeight="1">
      <c r="A1613" s="81"/>
      <c r="B1613" s="558"/>
      <c r="C1613" s="527">
        <v>1</v>
      </c>
      <c r="D1613" s="528" t="s">
        <v>265</v>
      </c>
      <c r="E1613" s="529">
        <v>3</v>
      </c>
      <c r="F1613" s="530">
        <v>0</v>
      </c>
      <c r="G1613" s="530">
        <v>0</v>
      </c>
      <c r="H1613" s="530">
        <v>0</v>
      </c>
      <c r="I1613" s="585">
        <f>ROUND(IF(AND(F1613:H1613),C1613*E1613*F1613*G1613*H1613,IF(AND(F1613,G1613),C1613*E1613*F1613*G1613,IF(AND(F1613,H1613),C1613*E1613*F1613*H1613,IF(AND(G1613,H1613),C1613*E1613*G1613*H1613,IF(F1613,C1613*E1613*F1613,IF(G1613,C1613*E1613*G1613,IF(H1613,C1613*E1613*H1613,C1613*E1613))))))),2)</f>
        <v>3</v>
      </c>
      <c r="J1613" s="537" t="s">
        <v>114</v>
      </c>
      <c r="K1613" s="111"/>
      <c r="L1613" s="81"/>
      <c r="M1613" s="111"/>
    </row>
    <row r="1614" spans="1:13" s="525" customFormat="1" ht="16.5" customHeight="1">
      <c r="A1614" s="81"/>
      <c r="B1614" s="558"/>
      <c r="C1614" s="527"/>
      <c r="D1614" s="528"/>
      <c r="E1614" s="529"/>
      <c r="F1614" s="530"/>
      <c r="G1614" s="530"/>
      <c r="H1614" s="530"/>
      <c r="I1614" s="585"/>
      <c r="J1614" s="537"/>
      <c r="K1614" s="111"/>
      <c r="L1614" s="81"/>
      <c r="M1614" s="111"/>
    </row>
    <row r="1615" spans="1:13">
      <c r="A1615" s="81"/>
      <c r="B1615" s="111"/>
      <c r="C1615" s="112"/>
      <c r="D1615" s="533"/>
      <c r="E1615" s="534"/>
      <c r="F1615" s="113"/>
      <c r="G1615" s="539"/>
      <c r="H1615" s="81"/>
      <c r="I1615" s="585">
        <f>SUM(I1613:I1614)</f>
        <v>3</v>
      </c>
      <c r="J1615" s="537" t="s">
        <v>114</v>
      </c>
      <c r="K1615" s="12">
        <f>'Ele Data 2024-25'!I69</f>
        <v>223.82</v>
      </c>
      <c r="L1615" s="12" t="s">
        <v>268</v>
      </c>
      <c r="M1615" s="11">
        <f>ROUND(I1615*K1615,0)</f>
        <v>671</v>
      </c>
    </row>
    <row r="1616" spans="1:13" ht="22.5" hidden="1" customHeight="1">
      <c r="A1616" s="81">
        <v>20</v>
      </c>
      <c r="B1616" s="910" t="s">
        <v>679</v>
      </c>
      <c r="C1616" s="910"/>
      <c r="D1616" s="910"/>
      <c r="E1616" s="910"/>
      <c r="F1616" s="910"/>
      <c r="G1616" s="910"/>
      <c r="H1616" s="910"/>
      <c r="I1616" s="515"/>
      <c r="J1616" s="516"/>
      <c r="K1616" s="81"/>
      <c r="L1616" s="81"/>
      <c r="M1616" s="110"/>
    </row>
    <row r="1617" spans="1:13" s="525" customFormat="1" ht="16.5" hidden="1" customHeight="1">
      <c r="A1617" s="81"/>
      <c r="B1617" s="558"/>
      <c r="C1617" s="527">
        <v>1</v>
      </c>
      <c r="D1617" s="528" t="s">
        <v>265</v>
      </c>
      <c r="E1617" s="529">
        <v>1</v>
      </c>
      <c r="F1617" s="530">
        <v>0</v>
      </c>
      <c r="G1617" s="530">
        <v>0</v>
      </c>
      <c r="H1617" s="530">
        <v>0</v>
      </c>
      <c r="I1617" s="585">
        <f>ROUND(IF(AND(F1617:H1617),C1617*E1617*F1617*G1617*H1617,IF(AND(F1617,G1617),C1617*E1617*F1617*G1617,IF(AND(F1617,H1617),C1617*E1617*F1617*H1617,IF(AND(G1617,H1617),C1617*E1617*G1617*H1617,IF(F1617,C1617*E1617*F1617,IF(G1617,C1617*E1617*G1617,IF(H1617,C1617*E1617*H1617,C1617*E1617))))))),2)</f>
        <v>1</v>
      </c>
      <c r="J1617" s="537" t="s">
        <v>114</v>
      </c>
      <c r="K1617" s="111"/>
      <c r="L1617" s="81"/>
      <c r="M1617" s="111"/>
    </row>
    <row r="1618" spans="1:13" s="525" customFormat="1" ht="16.5" hidden="1" customHeight="1">
      <c r="A1618" s="81"/>
      <c r="B1618" s="558"/>
      <c r="C1618" s="527"/>
      <c r="D1618" s="528"/>
      <c r="E1618" s="529"/>
      <c r="F1618" s="530"/>
      <c r="G1618" s="530"/>
      <c r="H1618" s="530"/>
      <c r="I1618" s="585"/>
      <c r="J1618" s="537"/>
      <c r="K1618" s="111"/>
      <c r="L1618" s="81"/>
      <c r="M1618" s="111"/>
    </row>
    <row r="1619" spans="1:13" hidden="1">
      <c r="A1619" s="81"/>
      <c r="B1619" s="111"/>
      <c r="C1619" s="112"/>
      <c r="D1619" s="533"/>
      <c r="E1619" s="534"/>
      <c r="F1619" s="113"/>
      <c r="G1619" s="539"/>
      <c r="H1619" s="81"/>
      <c r="I1619" s="585"/>
      <c r="J1619" s="537" t="s">
        <v>114</v>
      </c>
      <c r="K1619" s="12">
        <f>'Ele Data 2024-25'!I72</f>
        <v>152</v>
      </c>
      <c r="L1619" s="12" t="s">
        <v>268</v>
      </c>
      <c r="M1619" s="11">
        <f>ROUND(I1619*K1619,0)</f>
        <v>0</v>
      </c>
    </row>
    <row r="1620" spans="1:13" ht="15" hidden="1" customHeight="1">
      <c r="A1620" s="81">
        <v>14</v>
      </c>
      <c r="B1620" s="910" t="s">
        <v>602</v>
      </c>
      <c r="C1620" s="910"/>
      <c r="D1620" s="910"/>
      <c r="E1620" s="910"/>
      <c r="F1620" s="910"/>
      <c r="G1620" s="910"/>
      <c r="H1620" s="910"/>
      <c r="I1620" s="515"/>
      <c r="J1620" s="516"/>
      <c r="K1620" s="81"/>
      <c r="L1620" s="81"/>
      <c r="M1620" s="110"/>
    </row>
    <row r="1621" spans="1:13" s="525" customFormat="1" ht="16.5" hidden="1" customHeight="1">
      <c r="A1621" s="81"/>
      <c r="B1621" s="558" t="s">
        <v>592</v>
      </c>
      <c r="C1621" s="547"/>
      <c r="D1621" s="548"/>
      <c r="E1621" s="549"/>
      <c r="F1621" s="550"/>
      <c r="G1621" s="550"/>
      <c r="H1621" s="551"/>
      <c r="I1621" s="552"/>
      <c r="J1621" s="537"/>
      <c r="K1621" s="111"/>
      <c r="L1621" s="81"/>
      <c r="M1621" s="111"/>
    </row>
    <row r="1622" spans="1:13" s="525" customFormat="1" ht="16.5" hidden="1" customHeight="1">
      <c r="A1622" s="81"/>
      <c r="B1622" s="558" t="s">
        <v>983</v>
      </c>
      <c r="C1622" s="527">
        <v>2</v>
      </c>
      <c r="D1622" s="528" t="s">
        <v>265</v>
      </c>
      <c r="E1622" s="529">
        <v>1</v>
      </c>
      <c r="F1622" s="530">
        <v>0</v>
      </c>
      <c r="G1622" s="530">
        <v>0</v>
      </c>
      <c r="H1622" s="530">
        <v>0</v>
      </c>
      <c r="I1622" s="531">
        <f>ROUND(IF(AND(F1622:H1622),C1622*E1622*F1622*G1622*H1622,IF(AND(F1622,G1622),C1622*E1622*F1622*G1622,IF(AND(F1622,H1622),C1622*E1622*F1622*H1622,IF(AND(G1622,H1622),C1622*E1622*G1622*H1622,IF(F1622,C1622*E1622*F1622,IF(G1622,C1622*E1622*G1622,IF(H1622,C1622*E1622*H1622,C1622*E1622))))))),2)</f>
        <v>2</v>
      </c>
      <c r="J1622" s="537" t="s">
        <v>114</v>
      </c>
      <c r="K1622" s="111"/>
      <c r="L1622" s="81"/>
      <c r="M1622" s="111"/>
    </row>
    <row r="1623" spans="1:13" hidden="1">
      <c r="A1623" s="81"/>
      <c r="B1623" s="111"/>
      <c r="C1623" s="112"/>
      <c r="D1623" s="533"/>
      <c r="E1623" s="534"/>
      <c r="F1623" s="113"/>
      <c r="G1623" s="539"/>
      <c r="H1623" s="81"/>
      <c r="I1623" s="531"/>
      <c r="J1623" s="537" t="s">
        <v>114</v>
      </c>
      <c r="K1623" s="12">
        <f>'Ele Data 2024-25'!I79</f>
        <v>392</v>
      </c>
      <c r="L1623" s="12" t="s">
        <v>268</v>
      </c>
      <c r="M1623" s="11">
        <f>ROUND(I1623*K1623,0)</f>
        <v>0</v>
      </c>
    </row>
    <row r="1624" spans="1:13" ht="22.5" hidden="1" customHeight="1">
      <c r="A1624" s="81">
        <v>21</v>
      </c>
      <c r="B1624" s="910" t="s">
        <v>734</v>
      </c>
      <c r="C1624" s="910"/>
      <c r="D1624" s="910"/>
      <c r="E1624" s="910"/>
      <c r="F1624" s="910"/>
      <c r="G1624" s="910"/>
      <c r="H1624" s="910"/>
      <c r="I1624" s="515"/>
      <c r="J1624" s="516"/>
      <c r="K1624" s="81"/>
      <c r="L1624" s="81"/>
      <c r="M1624" s="110"/>
    </row>
    <row r="1625" spans="1:13" s="525" customFormat="1" ht="16.5" hidden="1" customHeight="1">
      <c r="A1625" s="81"/>
      <c r="B1625" s="558"/>
      <c r="C1625" s="527">
        <v>1</v>
      </c>
      <c r="D1625" s="528" t="s">
        <v>265</v>
      </c>
      <c r="E1625" s="529">
        <v>4</v>
      </c>
      <c r="F1625" s="530">
        <v>0</v>
      </c>
      <c r="G1625" s="530">
        <v>0</v>
      </c>
      <c r="H1625" s="530">
        <v>0</v>
      </c>
      <c r="I1625" s="585">
        <f>ROUND(IF(AND(F1625:H1625),C1625*E1625*F1625*G1625*H1625,IF(AND(F1625,G1625),C1625*E1625*F1625*G1625,IF(AND(F1625,H1625),C1625*E1625*F1625*H1625,IF(AND(G1625,H1625),C1625*E1625*G1625*H1625,IF(F1625,C1625*E1625*F1625,IF(G1625,C1625*E1625*G1625,IF(H1625,C1625*E1625*H1625,C1625*E1625))))))),2)</f>
        <v>4</v>
      </c>
      <c r="J1625" s="537" t="s">
        <v>114</v>
      </c>
      <c r="K1625" s="111"/>
      <c r="L1625" s="81"/>
      <c r="M1625" s="111"/>
    </row>
    <row r="1626" spans="1:13" s="525" customFormat="1" ht="16.5" hidden="1" customHeight="1">
      <c r="A1626" s="81"/>
      <c r="B1626" s="558"/>
      <c r="C1626" s="527"/>
      <c r="D1626" s="528"/>
      <c r="E1626" s="529"/>
      <c r="F1626" s="530"/>
      <c r="G1626" s="530"/>
      <c r="H1626" s="530"/>
      <c r="I1626" s="585"/>
      <c r="J1626" s="537"/>
      <c r="K1626" s="111"/>
      <c r="L1626" s="81"/>
      <c r="M1626" s="111"/>
    </row>
    <row r="1627" spans="1:13" hidden="1">
      <c r="A1627" s="81"/>
      <c r="B1627" s="111"/>
      <c r="C1627" s="112"/>
      <c r="D1627" s="533"/>
      <c r="E1627" s="534"/>
      <c r="F1627" s="113"/>
      <c r="G1627" s="539"/>
      <c r="H1627" s="81"/>
      <c r="I1627" s="585"/>
      <c r="J1627" s="537" t="s">
        <v>114</v>
      </c>
      <c r="K1627" s="12">
        <f>'Ele Data 2024-25'!I75</f>
        <v>101</v>
      </c>
      <c r="L1627" s="12" t="s">
        <v>268</v>
      </c>
      <c r="M1627" s="11">
        <f>ROUND(I1627*K1627,0)</f>
        <v>0</v>
      </c>
    </row>
    <row r="1628" spans="1:13" ht="22.5" hidden="1" customHeight="1">
      <c r="A1628" s="81">
        <v>50</v>
      </c>
      <c r="B1628" s="910" t="s">
        <v>429</v>
      </c>
      <c r="C1628" s="910"/>
      <c r="D1628" s="910"/>
      <c r="E1628" s="910"/>
      <c r="F1628" s="910"/>
      <c r="G1628" s="910"/>
      <c r="H1628" s="910"/>
      <c r="I1628" s="515"/>
      <c r="J1628" s="516"/>
      <c r="K1628" s="81"/>
      <c r="L1628" s="81"/>
      <c r="M1628" s="110"/>
    </row>
    <row r="1629" spans="1:13" s="525" customFormat="1" ht="16.5" hidden="1" customHeight="1">
      <c r="A1629" s="81"/>
      <c r="B1629" s="558"/>
      <c r="C1629" s="527">
        <v>1</v>
      </c>
      <c r="D1629" s="528" t="s">
        <v>265</v>
      </c>
      <c r="E1629" s="529">
        <v>3</v>
      </c>
      <c r="F1629" s="530">
        <v>0</v>
      </c>
      <c r="G1629" s="530">
        <v>0</v>
      </c>
      <c r="H1629" s="530">
        <v>0</v>
      </c>
      <c r="I1629" s="585">
        <f>ROUND(IF(AND(F1629:H1629),C1629*E1629*F1629*G1629*H1629,IF(AND(F1629,G1629),C1629*E1629*F1629*G1629,IF(AND(F1629,H1629),C1629*E1629*F1629*H1629,IF(AND(G1629,H1629),C1629*E1629*G1629*H1629,IF(F1629,C1629*E1629*F1629,IF(G1629,C1629*E1629*G1629,IF(H1629,C1629*E1629*H1629,C1629*E1629))))))),2)</f>
        <v>3</v>
      </c>
      <c r="J1629" s="537" t="s">
        <v>114</v>
      </c>
      <c r="K1629" s="111"/>
      <c r="L1629" s="81"/>
      <c r="M1629" s="111"/>
    </row>
    <row r="1630" spans="1:13" s="525" customFormat="1" ht="16.5" hidden="1" customHeight="1">
      <c r="A1630" s="81"/>
      <c r="B1630" s="558"/>
      <c r="C1630" s="527"/>
      <c r="D1630" s="528"/>
      <c r="E1630" s="529"/>
      <c r="F1630" s="530"/>
      <c r="G1630" s="530"/>
      <c r="H1630" s="530"/>
      <c r="I1630" s="585"/>
      <c r="J1630" s="537"/>
      <c r="K1630" s="111"/>
      <c r="L1630" s="81"/>
      <c r="M1630" s="111"/>
    </row>
    <row r="1631" spans="1:13" hidden="1">
      <c r="A1631" s="81"/>
      <c r="B1631" s="111"/>
      <c r="C1631" s="112"/>
      <c r="D1631" s="533"/>
      <c r="E1631" s="534"/>
      <c r="F1631" s="113"/>
      <c r="G1631" s="539"/>
      <c r="H1631" s="81"/>
      <c r="I1631" s="585"/>
      <c r="J1631" s="537" t="s">
        <v>114</v>
      </c>
      <c r="K1631" s="12">
        <f>'Ele Data 2024-25'!I82</f>
        <v>76</v>
      </c>
      <c r="L1631" s="12" t="s">
        <v>268</v>
      </c>
      <c r="M1631" s="11">
        <f>ROUND(I1631*K1631,0)</f>
        <v>0</v>
      </c>
    </row>
    <row r="1632" spans="1:13" ht="43.5" hidden="1" customHeight="1">
      <c r="A1632" s="81">
        <v>22</v>
      </c>
      <c r="B1632" s="910" t="s">
        <v>1018</v>
      </c>
      <c r="C1632" s="910"/>
      <c r="D1632" s="910"/>
      <c r="E1632" s="910"/>
      <c r="F1632" s="910"/>
      <c r="G1632" s="910"/>
      <c r="H1632" s="910"/>
      <c r="I1632" s="515"/>
      <c r="J1632" s="516"/>
      <c r="K1632" s="81"/>
      <c r="L1632" s="81"/>
      <c r="M1632" s="110"/>
    </row>
    <row r="1633" spans="1:13" s="525" customFormat="1" ht="16.5" hidden="1" customHeight="1">
      <c r="A1633" s="81"/>
      <c r="B1633" s="558" t="s">
        <v>1840</v>
      </c>
      <c r="C1633" s="527">
        <v>1</v>
      </c>
      <c r="D1633" s="528" t="s">
        <v>265</v>
      </c>
      <c r="E1633" s="529">
        <v>9</v>
      </c>
      <c r="F1633" s="530">
        <v>0</v>
      </c>
      <c r="G1633" s="530">
        <v>0</v>
      </c>
      <c r="H1633" s="530">
        <v>0</v>
      </c>
      <c r="I1633" s="585">
        <f t="shared" ref="I1633" si="113">ROUND(IF(AND(F1633:H1633),C1633*E1633*F1633*G1633*H1633,IF(AND(F1633,G1633),C1633*E1633*F1633*G1633,IF(AND(F1633,H1633),C1633*E1633*F1633*H1633,IF(AND(G1633,H1633),C1633*E1633*G1633*H1633,IF(F1633,C1633*E1633*F1633,IF(G1633,C1633*E1633*G1633,IF(H1633,C1633*E1633*H1633,C1633*E1633))))))),2)</f>
        <v>9</v>
      </c>
      <c r="J1633" s="537" t="s">
        <v>114</v>
      </c>
      <c r="K1633" s="111"/>
      <c r="L1633" s="81"/>
      <c r="M1633" s="111"/>
    </row>
    <row r="1634" spans="1:13" s="525" customFormat="1" ht="16.5" hidden="1" customHeight="1">
      <c r="A1634" s="81"/>
      <c r="B1634" s="558"/>
      <c r="C1634" s="527"/>
      <c r="D1634" s="528"/>
      <c r="E1634" s="529"/>
      <c r="F1634" s="530"/>
      <c r="G1634" s="530"/>
      <c r="H1634" s="530"/>
      <c r="I1634" s="585"/>
      <c r="J1634" s="537"/>
      <c r="K1634" s="111"/>
      <c r="L1634" s="81"/>
      <c r="M1634" s="111"/>
    </row>
    <row r="1635" spans="1:13" hidden="1">
      <c r="A1635" s="81"/>
      <c r="B1635" s="111"/>
      <c r="C1635" s="112"/>
      <c r="D1635" s="533"/>
      <c r="E1635" s="534"/>
      <c r="F1635" s="113"/>
      <c r="G1635" s="539"/>
      <c r="H1635" s="81"/>
      <c r="I1635" s="585"/>
      <c r="J1635" s="537" t="s">
        <v>114</v>
      </c>
      <c r="K1635" s="12">
        <f>'Ele Data 2024-25'!I135</f>
        <v>437.5</v>
      </c>
      <c r="L1635" s="12" t="s">
        <v>268</v>
      </c>
      <c r="M1635" s="11">
        <f>ROUND(I1635*K1635,0)</f>
        <v>0</v>
      </c>
    </row>
    <row r="1636" spans="1:13" ht="43.5" customHeight="1">
      <c r="A1636" s="81">
        <v>28</v>
      </c>
      <c r="B1636" s="910" t="s">
        <v>421</v>
      </c>
      <c r="C1636" s="910"/>
      <c r="D1636" s="910"/>
      <c r="E1636" s="910"/>
      <c r="F1636" s="910"/>
      <c r="G1636" s="910"/>
      <c r="H1636" s="910"/>
      <c r="I1636" s="515"/>
      <c r="J1636" s="516"/>
      <c r="K1636" s="81"/>
      <c r="L1636" s="81"/>
      <c r="M1636" s="110"/>
    </row>
    <row r="1637" spans="1:13" s="525" customFormat="1" ht="16.5" customHeight="1">
      <c r="A1637" s="81"/>
      <c r="B1637" s="558"/>
      <c r="C1637" s="527">
        <v>1</v>
      </c>
      <c r="D1637" s="528" t="s">
        <v>265</v>
      </c>
      <c r="E1637" s="529">
        <v>3</v>
      </c>
      <c r="F1637" s="530">
        <v>0</v>
      </c>
      <c r="G1637" s="530">
        <v>0</v>
      </c>
      <c r="H1637" s="530">
        <v>0</v>
      </c>
      <c r="I1637" s="585">
        <f>ROUND(IF(AND(F1637:H1637),C1637*E1637*F1637*G1637*H1637,IF(AND(F1637,G1637),C1637*E1637*F1637*G1637,IF(AND(F1637,H1637),C1637*E1637*F1637*H1637,IF(AND(G1637,H1637),C1637*E1637*G1637*H1637,IF(F1637,C1637*E1637*F1637,IF(G1637,C1637*E1637*G1637,IF(H1637,C1637*E1637*H1637,C1637*E1637))))))),2)</f>
        <v>3</v>
      </c>
      <c r="J1637" s="537" t="s">
        <v>114</v>
      </c>
      <c r="K1637" s="111"/>
      <c r="L1637" s="81"/>
      <c r="M1637" s="111"/>
    </row>
    <row r="1638" spans="1:13" s="525" customFormat="1" ht="16.5" customHeight="1">
      <c r="A1638" s="81"/>
      <c r="B1638" s="558"/>
      <c r="C1638" s="527"/>
      <c r="D1638" s="528"/>
      <c r="E1638" s="529"/>
      <c r="F1638" s="530"/>
      <c r="G1638" s="530"/>
      <c r="H1638" s="530"/>
      <c r="I1638" s="585"/>
      <c r="J1638" s="537"/>
      <c r="K1638" s="111"/>
      <c r="L1638" s="81"/>
      <c r="M1638" s="111"/>
    </row>
    <row r="1639" spans="1:13">
      <c r="A1639" s="81"/>
      <c r="B1639" s="111"/>
      <c r="C1639" s="112"/>
      <c r="D1639" s="533"/>
      <c r="E1639" s="534"/>
      <c r="F1639" s="113"/>
      <c r="G1639" s="539"/>
      <c r="H1639" s="81"/>
      <c r="I1639" s="585">
        <f>SUM(I1637:I1638)</f>
        <v>3</v>
      </c>
      <c r="J1639" s="537" t="s">
        <v>114</v>
      </c>
      <c r="K1639" s="12">
        <f>'Ele Data 2024-25'!I126</f>
        <v>156.56</v>
      </c>
      <c r="L1639" s="12" t="s">
        <v>268</v>
      </c>
      <c r="M1639" s="11">
        <f>ROUND(I1639*K1639,0)</f>
        <v>470</v>
      </c>
    </row>
    <row r="1640" spans="1:13" ht="43.5" hidden="1" customHeight="1">
      <c r="A1640" s="81">
        <v>18</v>
      </c>
      <c r="B1640" s="910" t="s">
        <v>605</v>
      </c>
      <c r="C1640" s="910"/>
      <c r="D1640" s="910"/>
      <c r="E1640" s="910"/>
      <c r="F1640" s="910"/>
      <c r="G1640" s="910"/>
      <c r="H1640" s="910"/>
      <c r="I1640" s="515"/>
      <c r="J1640" s="516"/>
      <c r="K1640" s="81"/>
      <c r="L1640" s="81"/>
      <c r="M1640" s="110"/>
    </row>
    <row r="1641" spans="1:13" s="525" customFormat="1" ht="16.5" hidden="1" customHeight="1">
      <c r="A1641" s="81"/>
      <c r="B1641" s="558"/>
      <c r="C1641" s="527">
        <v>1</v>
      </c>
      <c r="D1641" s="528" t="s">
        <v>265</v>
      </c>
      <c r="E1641" s="529">
        <v>4</v>
      </c>
      <c r="F1641" s="530">
        <v>0</v>
      </c>
      <c r="G1641" s="530">
        <v>0</v>
      </c>
      <c r="H1641" s="530">
        <v>0</v>
      </c>
      <c r="I1641" s="531">
        <f>ROUND(IF(AND(F1641:H1641),C1641*E1641*F1641*G1641*H1641,IF(AND(F1641,G1641),C1641*E1641*F1641*G1641,IF(AND(F1641,H1641),C1641*E1641*F1641*H1641,IF(AND(G1641,H1641),C1641*E1641*G1641*H1641,IF(F1641,C1641*E1641*F1641,IF(G1641,C1641*E1641*G1641,IF(H1641,C1641*E1641*H1641,C1641*E1641))))))),2)</f>
        <v>4</v>
      </c>
      <c r="J1641" s="537" t="s">
        <v>114</v>
      </c>
      <c r="K1641" s="111"/>
      <c r="L1641" s="81"/>
      <c r="M1641" s="111"/>
    </row>
    <row r="1642" spans="1:13" hidden="1">
      <c r="A1642" s="81"/>
      <c r="B1642" s="111"/>
      <c r="C1642" s="112"/>
      <c r="D1642" s="533"/>
      <c r="E1642" s="534"/>
      <c r="F1642" s="113"/>
      <c r="G1642" s="539"/>
      <c r="H1642" s="81"/>
      <c r="I1642" s="531"/>
      <c r="J1642" s="537" t="s">
        <v>114</v>
      </c>
      <c r="K1642" s="12">
        <f>'Ele Data 2024-25'!I143</f>
        <v>131.80000000000001</v>
      </c>
      <c r="L1642" s="12" t="s">
        <v>268</v>
      </c>
      <c r="M1642" s="11">
        <f>ROUND(I1642*K1642,0)</f>
        <v>0</v>
      </c>
    </row>
    <row r="1643" spans="1:13" ht="19.5" customHeight="1">
      <c r="A1643" s="81">
        <v>29</v>
      </c>
      <c r="B1643" s="910" t="s">
        <v>609</v>
      </c>
      <c r="C1643" s="910"/>
      <c r="D1643" s="910"/>
      <c r="E1643" s="910"/>
      <c r="F1643" s="910"/>
      <c r="G1643" s="910"/>
      <c r="H1643" s="910"/>
      <c r="I1643" s="515"/>
      <c r="J1643" s="516"/>
      <c r="K1643" s="81"/>
      <c r="L1643" s="81"/>
      <c r="M1643" s="110"/>
    </row>
    <row r="1644" spans="1:13" s="525" customFormat="1" ht="16.5" customHeight="1">
      <c r="A1644" s="81"/>
      <c r="B1644" s="558"/>
      <c r="C1644" s="527">
        <v>1</v>
      </c>
      <c r="D1644" s="528" t="s">
        <v>265</v>
      </c>
      <c r="E1644" s="529">
        <v>3</v>
      </c>
      <c r="F1644" s="530">
        <v>0</v>
      </c>
      <c r="G1644" s="530">
        <v>0</v>
      </c>
      <c r="H1644" s="530">
        <v>0</v>
      </c>
      <c r="I1644" s="585">
        <f t="shared" ref="I1644" si="114">ROUND(IF(AND(F1644:H1644),C1644*E1644*F1644*G1644*H1644,IF(AND(F1644,G1644),C1644*E1644*F1644*G1644,IF(AND(F1644,H1644),C1644*E1644*F1644*H1644,IF(AND(G1644,H1644),C1644*E1644*G1644*H1644,IF(F1644,C1644*E1644*F1644,IF(G1644,C1644*E1644*G1644,IF(H1644,C1644*E1644*H1644,C1644*E1644))))))),2)</f>
        <v>3</v>
      </c>
      <c r="J1644" s="537" t="s">
        <v>114</v>
      </c>
      <c r="K1644" s="111"/>
      <c r="L1644" s="81"/>
      <c r="M1644" s="111"/>
    </row>
    <row r="1645" spans="1:13" s="525" customFormat="1" ht="16.5" customHeight="1">
      <c r="A1645" s="81"/>
      <c r="B1645" s="558"/>
      <c r="C1645" s="527"/>
      <c r="D1645" s="528"/>
      <c r="E1645" s="529"/>
      <c r="F1645" s="530"/>
      <c r="G1645" s="530"/>
      <c r="H1645" s="530"/>
      <c r="I1645" s="585"/>
      <c r="J1645" s="537"/>
      <c r="K1645" s="111"/>
      <c r="L1645" s="81"/>
      <c r="M1645" s="111"/>
    </row>
    <row r="1646" spans="1:13">
      <c r="A1646" s="81"/>
      <c r="B1646" s="111"/>
      <c r="C1646" s="112"/>
      <c r="D1646" s="533"/>
      <c r="E1646" s="534"/>
      <c r="F1646" s="113"/>
      <c r="G1646" s="539"/>
      <c r="H1646" s="81"/>
      <c r="I1646" s="585">
        <f>SUM(I1644:I1645)</f>
        <v>3</v>
      </c>
      <c r="J1646" s="537" t="s">
        <v>114</v>
      </c>
      <c r="K1646" s="12">
        <f>'Ele Data 2024-25'!I87</f>
        <v>23.86</v>
      </c>
      <c r="L1646" s="12" t="s">
        <v>268</v>
      </c>
      <c r="M1646" s="11">
        <f>ROUND(I1646*K1646,0)</f>
        <v>72</v>
      </c>
    </row>
    <row r="1647" spans="1:13" ht="30" customHeight="1">
      <c r="A1647" s="81">
        <v>30</v>
      </c>
      <c r="B1647" s="910" t="s">
        <v>1057</v>
      </c>
      <c r="C1647" s="910"/>
      <c r="D1647" s="910"/>
      <c r="E1647" s="910"/>
      <c r="F1647" s="910"/>
      <c r="G1647" s="910"/>
      <c r="H1647" s="910"/>
      <c r="I1647" s="515"/>
      <c r="J1647" s="516"/>
      <c r="K1647" s="81"/>
      <c r="L1647" s="81"/>
      <c r="M1647" s="110"/>
    </row>
    <row r="1648" spans="1:13" s="525" customFormat="1" ht="16.5" customHeight="1">
      <c r="A1648" s="81"/>
      <c r="B1648" s="558"/>
      <c r="C1648" s="864">
        <v>1</v>
      </c>
      <c r="D1648" s="528" t="s">
        <v>265</v>
      </c>
      <c r="E1648" s="529">
        <v>4</v>
      </c>
      <c r="F1648" s="530">
        <v>0</v>
      </c>
      <c r="G1648" s="530">
        <v>0</v>
      </c>
      <c r="H1648" s="530">
        <v>0</v>
      </c>
      <c r="I1648" s="585">
        <f t="shared" ref="I1648" si="115">ROUND(IF(AND(F1648:H1648),C1648*E1648*F1648*G1648*H1648,IF(AND(F1648,G1648),C1648*E1648*F1648*G1648,IF(AND(F1648,H1648),C1648*E1648*F1648*H1648,IF(AND(G1648,H1648),C1648*E1648*G1648*H1648,IF(F1648,C1648*E1648*F1648,IF(G1648,C1648*E1648*G1648,IF(H1648,C1648*E1648*H1648,C1648*E1648))))))),2)</f>
        <v>4</v>
      </c>
      <c r="J1648" s="537" t="s">
        <v>114</v>
      </c>
      <c r="K1648" s="111"/>
      <c r="L1648" s="81"/>
      <c r="M1648" s="111"/>
    </row>
    <row r="1649" spans="1:13" s="525" customFormat="1" ht="16.5" customHeight="1">
      <c r="A1649" s="81"/>
      <c r="B1649" s="558"/>
      <c r="C1649" s="527"/>
      <c r="D1649" s="528"/>
      <c r="E1649" s="529"/>
      <c r="F1649" s="530"/>
      <c r="G1649" s="530"/>
      <c r="H1649" s="530"/>
      <c r="I1649" s="585"/>
      <c r="J1649" s="537"/>
      <c r="K1649" s="111"/>
      <c r="L1649" s="81"/>
      <c r="M1649" s="111"/>
    </row>
    <row r="1650" spans="1:13">
      <c r="A1650" s="81"/>
      <c r="B1650" s="111"/>
      <c r="C1650" s="112"/>
      <c r="D1650" s="533"/>
      <c r="E1650" s="534"/>
      <c r="F1650" s="113"/>
      <c r="G1650" s="539"/>
      <c r="H1650" s="81"/>
      <c r="I1650" s="585">
        <f>SUM(I1648:I1649)</f>
        <v>4</v>
      </c>
      <c r="J1650" s="537" t="s">
        <v>114</v>
      </c>
      <c r="K1650" s="12">
        <f>'Ele Data 2024-25'!I206</f>
        <v>154.80000000000001</v>
      </c>
      <c r="L1650" s="12" t="s">
        <v>268</v>
      </c>
      <c r="M1650" s="11">
        <f>ROUND(I1650*K1650,0)</f>
        <v>619</v>
      </c>
    </row>
    <row r="1651" spans="1:13" ht="43.5" customHeight="1">
      <c r="A1651" s="81">
        <v>31</v>
      </c>
      <c r="B1651" s="910" t="s">
        <v>422</v>
      </c>
      <c r="C1651" s="910"/>
      <c r="D1651" s="910"/>
      <c r="E1651" s="910"/>
      <c r="F1651" s="910"/>
      <c r="G1651" s="910"/>
      <c r="H1651" s="910"/>
      <c r="I1651" s="515"/>
      <c r="J1651" s="516"/>
      <c r="K1651" s="81"/>
      <c r="L1651" s="81"/>
      <c r="M1651" s="110"/>
    </row>
    <row r="1652" spans="1:13" s="525" customFormat="1" ht="16.5" customHeight="1">
      <c r="A1652" s="81"/>
      <c r="B1652" s="558"/>
      <c r="C1652" s="527">
        <v>1</v>
      </c>
      <c r="D1652" s="528" t="s">
        <v>265</v>
      </c>
      <c r="E1652" s="529">
        <v>3</v>
      </c>
      <c r="F1652" s="530">
        <v>0</v>
      </c>
      <c r="G1652" s="530">
        <v>0</v>
      </c>
      <c r="H1652" s="530">
        <v>0</v>
      </c>
      <c r="I1652" s="585">
        <f t="shared" ref="I1652" si="116">ROUND(IF(AND(F1652:H1652),C1652*E1652*F1652*G1652*H1652,IF(AND(F1652,G1652),C1652*E1652*F1652*G1652,IF(AND(F1652,H1652),C1652*E1652*F1652*H1652,IF(AND(G1652,H1652),C1652*E1652*G1652*H1652,IF(F1652,C1652*E1652*F1652,IF(G1652,C1652*E1652*G1652,IF(H1652,C1652*E1652*H1652,C1652*E1652))))))),2)</f>
        <v>3</v>
      </c>
      <c r="J1652" s="537" t="s">
        <v>114</v>
      </c>
      <c r="K1652" s="111"/>
      <c r="L1652" s="81"/>
      <c r="M1652" s="111"/>
    </row>
    <row r="1653" spans="1:13" s="525" customFormat="1" ht="16.5" customHeight="1">
      <c r="A1653" s="81"/>
      <c r="B1653" s="558"/>
      <c r="C1653" s="527"/>
      <c r="D1653" s="528"/>
      <c r="E1653" s="529"/>
      <c r="F1653" s="530"/>
      <c r="G1653" s="530"/>
      <c r="H1653" s="530"/>
      <c r="I1653" s="585"/>
      <c r="J1653" s="537"/>
      <c r="K1653" s="111"/>
      <c r="L1653" s="81"/>
      <c r="M1653" s="111"/>
    </row>
    <row r="1654" spans="1:13" ht="17.25" customHeight="1">
      <c r="A1654" s="81"/>
      <c r="B1654" s="111"/>
      <c r="C1654" s="112"/>
      <c r="D1654" s="533"/>
      <c r="E1654" s="534"/>
      <c r="F1654" s="113"/>
      <c r="G1654" s="539"/>
      <c r="H1654" s="81"/>
      <c r="I1654" s="585">
        <f>SUM(I1652:I1653)</f>
        <v>3</v>
      </c>
      <c r="J1654" s="537" t="s">
        <v>114</v>
      </c>
      <c r="K1654" s="12">
        <f>'Ele Data 2024-25'!I219</f>
        <v>3780.03</v>
      </c>
      <c r="L1654" s="12" t="s">
        <v>268</v>
      </c>
      <c r="M1654" s="11">
        <f>ROUND(I1654*K1654,0)</f>
        <v>11340</v>
      </c>
    </row>
    <row r="1655" spans="1:13" ht="21" customHeight="1">
      <c r="A1655" s="81">
        <v>32</v>
      </c>
      <c r="B1655" s="910" t="s">
        <v>1317</v>
      </c>
      <c r="C1655" s="910"/>
      <c r="D1655" s="910"/>
      <c r="E1655" s="910"/>
      <c r="F1655" s="910"/>
      <c r="G1655" s="910"/>
      <c r="H1655" s="910"/>
      <c r="I1655" s="515"/>
      <c r="J1655" s="516"/>
      <c r="K1655" s="81"/>
      <c r="L1655" s="81"/>
      <c r="M1655" s="110"/>
    </row>
    <row r="1656" spans="1:13" s="525" customFormat="1" ht="16.5" customHeight="1">
      <c r="A1656" s="81"/>
      <c r="B1656" s="558"/>
      <c r="C1656" s="527">
        <v>1</v>
      </c>
      <c r="D1656" s="528" t="s">
        <v>265</v>
      </c>
      <c r="E1656" s="529">
        <v>3</v>
      </c>
      <c r="F1656" s="530">
        <v>0</v>
      </c>
      <c r="G1656" s="530">
        <v>0</v>
      </c>
      <c r="H1656" s="530">
        <v>0</v>
      </c>
      <c r="I1656" s="585">
        <f>ROUND(IF(AND(F1656:H1656),C1656*E1656*F1656*G1656*H1656,IF(AND(F1656,G1656),C1656*E1656*F1656*G1656,IF(AND(F1656,H1656),C1656*E1656*F1656*H1656,IF(AND(G1656,H1656),C1656*E1656*G1656*H1656,IF(F1656,C1656*E1656*F1656,IF(G1656,C1656*E1656*G1656,IF(H1656,C1656*E1656*H1656,C1656*E1656))))))),2)</f>
        <v>3</v>
      </c>
      <c r="J1656" s="537" t="s">
        <v>114</v>
      </c>
      <c r="K1656" s="111"/>
      <c r="L1656" s="81"/>
      <c r="M1656" s="111"/>
    </row>
    <row r="1657" spans="1:13" s="525" customFormat="1" ht="16.5" customHeight="1">
      <c r="A1657" s="81"/>
      <c r="B1657" s="558"/>
      <c r="C1657" s="527"/>
      <c r="D1657" s="528"/>
      <c r="E1657" s="529"/>
      <c r="F1657" s="530"/>
      <c r="G1657" s="530"/>
      <c r="H1657" s="530"/>
      <c r="I1657" s="531"/>
      <c r="J1657" s="537"/>
      <c r="K1657" s="111"/>
      <c r="L1657" s="81"/>
      <c r="M1657" s="111"/>
    </row>
    <row r="1658" spans="1:13">
      <c r="A1658" s="81"/>
      <c r="B1658" s="111"/>
      <c r="C1658" s="112"/>
      <c r="D1658" s="533"/>
      <c r="E1658" s="534"/>
      <c r="F1658" s="113"/>
      <c r="G1658" s="539"/>
      <c r="H1658" s="81"/>
      <c r="I1658" s="585">
        <f>SUM(I1656:I1657)</f>
        <v>3</v>
      </c>
      <c r="J1658" s="537" t="s">
        <v>114</v>
      </c>
      <c r="K1658" s="12">
        <f>'Ele Data 2024-25'!I247</f>
        <v>293.83999999999997</v>
      </c>
      <c r="L1658" s="12" t="s">
        <v>268</v>
      </c>
      <c r="M1658" s="11">
        <f>ROUND(I1658*K1658,0)</f>
        <v>882</v>
      </c>
    </row>
    <row r="1659" spans="1:13" ht="43.5" hidden="1" customHeight="1">
      <c r="A1659" s="81">
        <v>15</v>
      </c>
      <c r="B1659" s="910" t="s">
        <v>890</v>
      </c>
      <c r="C1659" s="910"/>
      <c r="D1659" s="910"/>
      <c r="E1659" s="910"/>
      <c r="F1659" s="910"/>
      <c r="G1659" s="910"/>
      <c r="H1659" s="910"/>
      <c r="I1659" s="515"/>
      <c r="J1659" s="516"/>
      <c r="K1659" s="81"/>
      <c r="L1659" s="81"/>
      <c r="M1659" s="110"/>
    </row>
    <row r="1660" spans="1:13" s="525" customFormat="1" ht="16.5" hidden="1" customHeight="1">
      <c r="A1660" s="81"/>
      <c r="B1660" s="558"/>
      <c r="C1660" s="527">
        <v>1</v>
      </c>
      <c r="D1660" s="528" t="s">
        <v>265</v>
      </c>
      <c r="E1660" s="529">
        <v>2</v>
      </c>
      <c r="F1660" s="530">
        <v>0</v>
      </c>
      <c r="G1660" s="530">
        <v>0</v>
      </c>
      <c r="H1660" s="530">
        <v>0</v>
      </c>
      <c r="I1660" s="585">
        <f t="shared" ref="I1660" si="117">ROUND(IF(AND(F1660:H1660),C1660*E1660*F1660*G1660*H1660,IF(AND(F1660,G1660),C1660*E1660*F1660*G1660,IF(AND(F1660,H1660),C1660*E1660*F1660*H1660,IF(AND(G1660,H1660),C1660*E1660*G1660*H1660,IF(F1660,C1660*E1660*F1660,IF(G1660,C1660*E1660*G1660,IF(H1660,C1660*E1660*H1660,C1660*E1660))))))),2)</f>
        <v>2</v>
      </c>
      <c r="J1660" s="537" t="s">
        <v>114</v>
      </c>
      <c r="K1660" s="111"/>
      <c r="L1660" s="81"/>
      <c r="M1660" s="111"/>
    </row>
    <row r="1661" spans="1:13" s="525" customFormat="1" ht="16.5" hidden="1" customHeight="1">
      <c r="A1661" s="81"/>
      <c r="B1661" s="558"/>
      <c r="C1661" s="527"/>
      <c r="D1661" s="528"/>
      <c r="E1661" s="529"/>
      <c r="F1661" s="530"/>
      <c r="G1661" s="530"/>
      <c r="H1661" s="530"/>
      <c r="I1661" s="585"/>
      <c r="J1661" s="537"/>
      <c r="K1661" s="111"/>
      <c r="L1661" s="81"/>
      <c r="M1661" s="111"/>
    </row>
    <row r="1662" spans="1:13" hidden="1">
      <c r="A1662" s="81"/>
      <c r="B1662" s="111"/>
      <c r="C1662" s="112"/>
      <c r="D1662" s="533"/>
      <c r="E1662" s="534"/>
      <c r="F1662" s="113"/>
      <c r="G1662" s="539"/>
      <c r="H1662" s="81"/>
      <c r="I1662" s="585"/>
      <c r="J1662" s="537" t="s">
        <v>114</v>
      </c>
      <c r="K1662" s="12">
        <f>'Ele Data 2024-25'!I223</f>
        <v>2933.04</v>
      </c>
      <c r="L1662" s="12" t="s">
        <v>268</v>
      </c>
      <c r="M1662" s="11">
        <f>ROUND(I1662*K1662,0)</f>
        <v>0</v>
      </c>
    </row>
    <row r="1663" spans="1:13" ht="30.75" hidden="1" customHeight="1">
      <c r="A1663" s="81">
        <v>13</v>
      </c>
      <c r="B1663" s="910" t="s">
        <v>891</v>
      </c>
      <c r="C1663" s="910"/>
      <c r="D1663" s="910"/>
      <c r="E1663" s="910"/>
      <c r="F1663" s="910"/>
      <c r="G1663" s="910"/>
      <c r="H1663" s="910"/>
      <c r="I1663" s="585"/>
      <c r="J1663" s="516"/>
      <c r="K1663" s="81"/>
      <c r="L1663" s="81"/>
      <c r="M1663" s="110"/>
    </row>
    <row r="1664" spans="1:13" s="525" customFormat="1" ht="16.5" hidden="1" customHeight="1">
      <c r="A1664" s="81"/>
      <c r="B1664" s="111" t="s">
        <v>1394</v>
      </c>
      <c r="C1664" s="547"/>
      <c r="D1664" s="548"/>
      <c r="E1664" s="549"/>
      <c r="F1664" s="550"/>
      <c r="G1664" s="550"/>
      <c r="H1664" s="551"/>
      <c r="I1664" s="552"/>
      <c r="J1664" s="537"/>
      <c r="K1664" s="111"/>
      <c r="L1664" s="81"/>
      <c r="M1664" s="111"/>
    </row>
    <row r="1665" spans="1:13" s="525" customFormat="1" ht="16.5" hidden="1" customHeight="1">
      <c r="A1665" s="81"/>
      <c r="B1665" s="558" t="s">
        <v>645</v>
      </c>
      <c r="C1665" s="527">
        <v>1</v>
      </c>
      <c r="D1665" s="528" t="s">
        <v>265</v>
      </c>
      <c r="E1665" s="529">
        <v>2</v>
      </c>
      <c r="F1665" s="530">
        <v>0</v>
      </c>
      <c r="G1665" s="530">
        <v>0</v>
      </c>
      <c r="H1665" s="530">
        <v>0</v>
      </c>
      <c r="I1665" s="585">
        <f t="shared" ref="I1665:I1673" si="118">ROUND(IF(AND(F1665:H1665),C1665*E1665*F1665*G1665*H1665,IF(AND(F1665,G1665),C1665*E1665*F1665*G1665,IF(AND(F1665,H1665),C1665*E1665*F1665*H1665,IF(AND(G1665,H1665),C1665*E1665*G1665*H1665,IF(F1665,C1665*E1665*F1665,IF(G1665,C1665*E1665*G1665,IF(H1665,C1665*E1665*H1665,C1665*E1665))))))),2)</f>
        <v>2</v>
      </c>
      <c r="J1665" s="537" t="s">
        <v>114</v>
      </c>
      <c r="K1665" s="111"/>
      <c r="L1665" s="81"/>
      <c r="M1665" s="111"/>
    </row>
    <row r="1666" spans="1:13" s="525" customFormat="1" ht="16.5" hidden="1" customHeight="1">
      <c r="A1666" s="81"/>
      <c r="B1666" s="558" t="s">
        <v>634</v>
      </c>
      <c r="C1666" s="527">
        <v>1</v>
      </c>
      <c r="D1666" s="528" t="s">
        <v>265</v>
      </c>
      <c r="E1666" s="529">
        <v>1</v>
      </c>
      <c r="F1666" s="530">
        <v>0</v>
      </c>
      <c r="G1666" s="530">
        <v>0</v>
      </c>
      <c r="H1666" s="530">
        <v>0</v>
      </c>
      <c r="I1666" s="585">
        <f t="shared" si="118"/>
        <v>1</v>
      </c>
      <c r="J1666" s="537" t="s">
        <v>114</v>
      </c>
      <c r="K1666" s="111"/>
      <c r="L1666" s="81"/>
      <c r="M1666" s="111"/>
    </row>
    <row r="1667" spans="1:13" s="525" customFormat="1" ht="16.5" hidden="1" customHeight="1">
      <c r="A1667" s="81"/>
      <c r="B1667" s="558" t="s">
        <v>1368</v>
      </c>
      <c r="C1667" s="527">
        <v>1</v>
      </c>
      <c r="D1667" s="528" t="s">
        <v>265</v>
      </c>
      <c r="E1667" s="529">
        <v>1</v>
      </c>
      <c r="F1667" s="530">
        <v>0</v>
      </c>
      <c r="G1667" s="530">
        <v>0</v>
      </c>
      <c r="H1667" s="530">
        <v>0</v>
      </c>
      <c r="I1667" s="585">
        <f t="shared" si="118"/>
        <v>1</v>
      </c>
      <c r="J1667" s="537" t="s">
        <v>114</v>
      </c>
      <c r="K1667" s="111"/>
      <c r="L1667" s="81"/>
      <c r="M1667" s="111"/>
    </row>
    <row r="1668" spans="1:13" s="525" customFormat="1" ht="16.5" hidden="1" customHeight="1">
      <c r="A1668" s="81"/>
      <c r="B1668" s="558" t="s">
        <v>228</v>
      </c>
      <c r="C1668" s="527">
        <v>1</v>
      </c>
      <c r="D1668" s="528" t="s">
        <v>265</v>
      </c>
      <c r="E1668" s="529">
        <v>4</v>
      </c>
      <c r="F1668" s="530">
        <v>0</v>
      </c>
      <c r="G1668" s="530">
        <v>0</v>
      </c>
      <c r="H1668" s="530">
        <v>0</v>
      </c>
      <c r="I1668" s="585">
        <f t="shared" si="118"/>
        <v>4</v>
      </c>
      <c r="J1668" s="537" t="s">
        <v>114</v>
      </c>
      <c r="K1668" s="111"/>
      <c r="L1668" s="81"/>
      <c r="M1668" s="111"/>
    </row>
    <row r="1669" spans="1:13" s="525" customFormat="1" ht="16.5" hidden="1" customHeight="1">
      <c r="A1669" s="81"/>
      <c r="B1669" s="558" t="s">
        <v>1025</v>
      </c>
      <c r="C1669" s="527">
        <v>1</v>
      </c>
      <c r="D1669" s="528" t="s">
        <v>265</v>
      </c>
      <c r="E1669" s="529">
        <v>1</v>
      </c>
      <c r="F1669" s="530">
        <v>0</v>
      </c>
      <c r="G1669" s="530">
        <v>0</v>
      </c>
      <c r="H1669" s="530">
        <v>0</v>
      </c>
      <c r="I1669" s="585">
        <f t="shared" si="118"/>
        <v>1</v>
      </c>
      <c r="J1669" s="537" t="s">
        <v>114</v>
      </c>
      <c r="K1669" s="111"/>
      <c r="L1669" s="81"/>
      <c r="M1669" s="111"/>
    </row>
    <row r="1670" spans="1:13" s="525" customFormat="1" ht="16.5" hidden="1" customHeight="1">
      <c r="A1670" s="81"/>
      <c r="B1670" s="558" t="s">
        <v>1024</v>
      </c>
      <c r="C1670" s="527">
        <v>1</v>
      </c>
      <c r="D1670" s="528" t="s">
        <v>265</v>
      </c>
      <c r="E1670" s="529">
        <v>1</v>
      </c>
      <c r="F1670" s="530">
        <v>0</v>
      </c>
      <c r="G1670" s="530">
        <v>0</v>
      </c>
      <c r="H1670" s="530">
        <v>0</v>
      </c>
      <c r="I1670" s="585">
        <f t="shared" si="118"/>
        <v>1</v>
      </c>
      <c r="J1670" s="537" t="s">
        <v>114</v>
      </c>
      <c r="K1670" s="111"/>
      <c r="L1670" s="81"/>
      <c r="M1670" s="111"/>
    </row>
    <row r="1671" spans="1:13" s="525" customFormat="1" ht="16.5" hidden="1" customHeight="1">
      <c r="A1671" s="81"/>
      <c r="B1671" s="558" t="s">
        <v>1369</v>
      </c>
      <c r="C1671" s="527">
        <v>1</v>
      </c>
      <c r="D1671" s="528" t="s">
        <v>265</v>
      </c>
      <c r="E1671" s="529">
        <v>1</v>
      </c>
      <c r="F1671" s="530">
        <v>0</v>
      </c>
      <c r="G1671" s="530">
        <v>0</v>
      </c>
      <c r="H1671" s="530">
        <v>0</v>
      </c>
      <c r="I1671" s="585">
        <f t="shared" si="118"/>
        <v>1</v>
      </c>
      <c r="J1671" s="537" t="s">
        <v>114</v>
      </c>
      <c r="K1671" s="111"/>
      <c r="L1671" s="81"/>
      <c r="M1671" s="111"/>
    </row>
    <row r="1672" spans="1:13" s="525" customFormat="1" ht="16.5" hidden="1" customHeight="1">
      <c r="A1672" s="81"/>
      <c r="B1672" s="558" t="s">
        <v>228</v>
      </c>
      <c r="C1672" s="527">
        <v>1</v>
      </c>
      <c r="D1672" s="528" t="s">
        <v>265</v>
      </c>
      <c r="E1672" s="529">
        <v>4</v>
      </c>
      <c r="F1672" s="530">
        <v>0</v>
      </c>
      <c r="G1672" s="530">
        <v>0</v>
      </c>
      <c r="H1672" s="530">
        <v>0</v>
      </c>
      <c r="I1672" s="585">
        <f t="shared" si="118"/>
        <v>4</v>
      </c>
      <c r="J1672" s="537" t="s">
        <v>114</v>
      </c>
      <c r="K1672" s="111"/>
      <c r="L1672" s="81"/>
      <c r="M1672" s="111"/>
    </row>
    <row r="1673" spans="1:13" s="525" customFormat="1" ht="16.5" hidden="1" customHeight="1">
      <c r="A1673" s="81"/>
      <c r="B1673" s="558" t="s">
        <v>888</v>
      </c>
      <c r="C1673" s="527">
        <v>1</v>
      </c>
      <c r="D1673" s="528" t="s">
        <v>265</v>
      </c>
      <c r="E1673" s="529">
        <v>1</v>
      </c>
      <c r="F1673" s="530">
        <v>0</v>
      </c>
      <c r="G1673" s="530">
        <v>0</v>
      </c>
      <c r="H1673" s="530">
        <v>0</v>
      </c>
      <c r="I1673" s="585">
        <f t="shared" si="118"/>
        <v>1</v>
      </c>
      <c r="J1673" s="537" t="s">
        <v>114</v>
      </c>
      <c r="K1673" s="111"/>
      <c r="L1673" s="81"/>
      <c r="M1673" s="111"/>
    </row>
    <row r="1674" spans="1:13" s="525" customFormat="1" ht="16.5" hidden="1" customHeight="1">
      <c r="A1674" s="81"/>
      <c r="B1674" s="558"/>
      <c r="C1674" s="527"/>
      <c r="D1674" s="528"/>
      <c r="E1674" s="529"/>
      <c r="F1674" s="530"/>
      <c r="G1674" s="530"/>
      <c r="H1674" s="530"/>
      <c r="I1674" s="585"/>
      <c r="J1674" s="537"/>
      <c r="K1674" s="111"/>
      <c r="L1674" s="81"/>
      <c r="M1674" s="111"/>
    </row>
    <row r="1675" spans="1:13" hidden="1">
      <c r="A1675" s="81"/>
      <c r="B1675" s="111"/>
      <c r="C1675" s="112"/>
      <c r="D1675" s="533"/>
      <c r="E1675" s="534"/>
      <c r="F1675" s="113"/>
      <c r="G1675" s="539"/>
      <c r="H1675" s="81"/>
      <c r="I1675" s="585"/>
      <c r="J1675" s="537" t="s">
        <v>114</v>
      </c>
      <c r="K1675" s="12">
        <f>'Ele Data 2024-25'!I228</f>
        <v>287</v>
      </c>
      <c r="L1675" s="12" t="s">
        <v>268</v>
      </c>
      <c r="M1675" s="11">
        <f>ROUND(I1675*K1675,0)</f>
        <v>0</v>
      </c>
    </row>
    <row r="1676" spans="1:13" ht="30.75" hidden="1" customHeight="1">
      <c r="A1676" s="81">
        <v>16</v>
      </c>
      <c r="B1676" s="910" t="s">
        <v>892</v>
      </c>
      <c r="C1676" s="910"/>
      <c r="D1676" s="910"/>
      <c r="E1676" s="910"/>
      <c r="F1676" s="910"/>
      <c r="G1676" s="910"/>
      <c r="H1676" s="910"/>
      <c r="I1676" s="515"/>
      <c r="J1676" s="516"/>
      <c r="K1676" s="81"/>
      <c r="L1676" s="81"/>
      <c r="M1676" s="110"/>
    </row>
    <row r="1677" spans="1:13" s="525" customFormat="1" ht="16.5" hidden="1" customHeight="1">
      <c r="A1677" s="81"/>
      <c r="B1677" s="558"/>
      <c r="C1677" s="527">
        <v>1</v>
      </c>
      <c r="D1677" s="528" t="s">
        <v>265</v>
      </c>
      <c r="E1677" s="529">
        <v>2</v>
      </c>
      <c r="F1677" s="530">
        <v>0</v>
      </c>
      <c r="G1677" s="530">
        <v>0</v>
      </c>
      <c r="H1677" s="530">
        <v>0</v>
      </c>
      <c r="I1677" s="585">
        <f t="shared" ref="I1677" si="119">ROUND(IF(AND(F1677:H1677),C1677*E1677*F1677*G1677*H1677,IF(AND(F1677,G1677),C1677*E1677*F1677*G1677,IF(AND(F1677,H1677),C1677*E1677*F1677*H1677,IF(AND(G1677,H1677),C1677*E1677*G1677*H1677,IF(F1677,C1677*E1677*F1677,IF(G1677,C1677*E1677*G1677,IF(H1677,C1677*E1677*H1677,C1677*E1677))))))),2)</f>
        <v>2</v>
      </c>
      <c r="J1677" s="537" t="s">
        <v>114</v>
      </c>
      <c r="K1677" s="111"/>
      <c r="L1677" s="81"/>
      <c r="M1677" s="111"/>
    </row>
    <row r="1678" spans="1:13" s="525" customFormat="1" ht="16.5" hidden="1" customHeight="1">
      <c r="A1678" s="81"/>
      <c r="B1678" s="558"/>
      <c r="C1678" s="527"/>
      <c r="D1678" s="528"/>
      <c r="E1678" s="529"/>
      <c r="F1678" s="530"/>
      <c r="G1678" s="530"/>
      <c r="H1678" s="530"/>
      <c r="I1678" s="585"/>
      <c r="J1678" s="537"/>
      <c r="K1678" s="111"/>
      <c r="L1678" s="81"/>
      <c r="M1678" s="111"/>
    </row>
    <row r="1679" spans="1:13" hidden="1">
      <c r="A1679" s="81"/>
      <c r="B1679" s="111"/>
      <c r="C1679" s="112"/>
      <c r="D1679" s="533"/>
      <c r="E1679" s="534"/>
      <c r="F1679" s="113"/>
      <c r="G1679" s="539"/>
      <c r="H1679" s="81"/>
      <c r="I1679" s="585"/>
      <c r="J1679" s="537" t="s">
        <v>114</v>
      </c>
      <c r="K1679" s="12">
        <f>'Ele Data 2024-25'!I235</f>
        <v>186.01</v>
      </c>
      <c r="L1679" s="12" t="s">
        <v>268</v>
      </c>
      <c r="M1679" s="11">
        <f>ROUND(I1679*K1679,0)</f>
        <v>0</v>
      </c>
    </row>
    <row r="1680" spans="1:13" ht="30.75" hidden="1" customHeight="1">
      <c r="A1680" s="81">
        <v>35</v>
      </c>
      <c r="B1680" s="910" t="s">
        <v>893</v>
      </c>
      <c r="C1680" s="910"/>
      <c r="D1680" s="910"/>
      <c r="E1680" s="910"/>
      <c r="F1680" s="910"/>
      <c r="G1680" s="910"/>
      <c r="H1680" s="910"/>
      <c r="I1680" s="515"/>
      <c r="J1680" s="516"/>
      <c r="K1680" s="81"/>
      <c r="L1680" s="81"/>
      <c r="M1680" s="110"/>
    </row>
    <row r="1681" spans="1:13" s="525" customFormat="1" ht="16.5" hidden="1" customHeight="1">
      <c r="A1681" s="81"/>
      <c r="B1681" s="558" t="s">
        <v>1840</v>
      </c>
      <c r="C1681" s="527">
        <v>1</v>
      </c>
      <c r="D1681" s="528" t="s">
        <v>265</v>
      </c>
      <c r="E1681" s="529">
        <v>1</v>
      </c>
      <c r="F1681" s="530">
        <v>0</v>
      </c>
      <c r="G1681" s="530">
        <v>0</v>
      </c>
      <c r="H1681" s="530">
        <v>0</v>
      </c>
      <c r="I1681" s="585">
        <f t="shared" ref="I1681:I1683" si="120">ROUND(IF(AND(F1681:H1681),C1681*E1681*F1681*G1681*H1681,IF(AND(F1681,G1681),C1681*E1681*F1681*G1681,IF(AND(F1681,H1681),C1681*E1681*F1681*H1681,IF(AND(G1681,H1681),C1681*E1681*G1681*H1681,IF(F1681,C1681*E1681*F1681,IF(G1681,C1681*E1681*G1681,IF(H1681,C1681*E1681*H1681,C1681*E1681))))))),2)</f>
        <v>1</v>
      </c>
      <c r="J1681" s="537" t="s">
        <v>114</v>
      </c>
      <c r="K1681" s="111"/>
      <c r="L1681" s="81"/>
      <c r="M1681" s="111"/>
    </row>
    <row r="1682" spans="1:13" s="525" customFormat="1" ht="16.5" hidden="1" customHeight="1">
      <c r="A1682" s="81"/>
      <c r="B1682" s="558" t="s">
        <v>1884</v>
      </c>
      <c r="C1682" s="527">
        <v>1</v>
      </c>
      <c r="D1682" s="528" t="s">
        <v>265</v>
      </c>
      <c r="E1682" s="529">
        <v>2</v>
      </c>
      <c r="F1682" s="530">
        <v>0</v>
      </c>
      <c r="G1682" s="530">
        <v>0</v>
      </c>
      <c r="H1682" s="530">
        <v>0</v>
      </c>
      <c r="I1682" s="585">
        <f t="shared" si="120"/>
        <v>2</v>
      </c>
      <c r="J1682" s="537" t="s">
        <v>114</v>
      </c>
      <c r="K1682" s="111"/>
      <c r="L1682" s="81"/>
      <c r="M1682" s="111"/>
    </row>
    <row r="1683" spans="1:13" s="525" customFormat="1" ht="16.5" hidden="1" customHeight="1">
      <c r="A1683" s="81"/>
      <c r="B1683" s="558" t="s">
        <v>741</v>
      </c>
      <c r="C1683" s="527">
        <v>1</v>
      </c>
      <c r="D1683" s="528" t="s">
        <v>265</v>
      </c>
      <c r="E1683" s="529">
        <v>1</v>
      </c>
      <c r="F1683" s="530">
        <v>0</v>
      </c>
      <c r="G1683" s="530">
        <v>0</v>
      </c>
      <c r="H1683" s="530">
        <v>0</v>
      </c>
      <c r="I1683" s="585">
        <f t="shared" si="120"/>
        <v>1</v>
      </c>
      <c r="J1683" s="537" t="s">
        <v>114</v>
      </c>
      <c r="K1683" s="111"/>
      <c r="L1683" s="81"/>
      <c r="M1683" s="111"/>
    </row>
    <row r="1684" spans="1:13" s="525" customFormat="1" ht="16.5" hidden="1" customHeight="1">
      <c r="A1684" s="81"/>
      <c r="B1684" s="558"/>
      <c r="C1684" s="527"/>
      <c r="D1684" s="528"/>
      <c r="E1684" s="529"/>
      <c r="F1684" s="530"/>
      <c r="G1684" s="530"/>
      <c r="H1684" s="530"/>
      <c r="I1684" s="585"/>
      <c r="J1684" s="537"/>
      <c r="K1684" s="111"/>
      <c r="L1684" s="81"/>
      <c r="M1684" s="111"/>
    </row>
    <row r="1685" spans="1:13" hidden="1">
      <c r="A1685" s="81"/>
      <c r="B1685" s="111"/>
      <c r="C1685" s="112"/>
      <c r="D1685" s="533"/>
      <c r="E1685" s="534"/>
      <c r="F1685" s="113"/>
      <c r="G1685" s="539"/>
      <c r="H1685" s="81"/>
      <c r="I1685" s="585"/>
      <c r="J1685" s="537" t="s">
        <v>114</v>
      </c>
      <c r="K1685" s="12">
        <f>'Ele Data 2024-25'!I241</f>
        <v>178.5</v>
      </c>
      <c r="L1685" s="12" t="s">
        <v>268</v>
      </c>
      <c r="M1685" s="11">
        <f>ROUND(I1685*K1685,0)</f>
        <v>0</v>
      </c>
    </row>
    <row r="1686" spans="1:13" ht="43.5" customHeight="1">
      <c r="A1686" s="81">
        <v>33</v>
      </c>
      <c r="B1686" s="910" t="s">
        <v>432</v>
      </c>
      <c r="C1686" s="910"/>
      <c r="D1686" s="910"/>
      <c r="E1686" s="910"/>
      <c r="F1686" s="910"/>
      <c r="G1686" s="910"/>
      <c r="H1686" s="910"/>
      <c r="I1686" s="515"/>
      <c r="J1686" s="516"/>
      <c r="K1686" s="81"/>
      <c r="L1686" s="81"/>
      <c r="M1686" s="110"/>
    </row>
    <row r="1687" spans="1:13" s="525" customFormat="1" ht="16.5" customHeight="1">
      <c r="A1687" s="81"/>
      <c r="B1687" s="558"/>
      <c r="C1687" s="527">
        <v>1</v>
      </c>
      <c r="D1687" s="528" t="s">
        <v>265</v>
      </c>
      <c r="E1687" s="529">
        <v>3</v>
      </c>
      <c r="F1687" s="530">
        <v>0</v>
      </c>
      <c r="G1687" s="530">
        <v>0</v>
      </c>
      <c r="H1687" s="530">
        <v>0</v>
      </c>
      <c r="I1687" s="585">
        <f>ROUND(IF(AND(F1687:H1687),C1687*E1687*F1687*G1687*H1687,IF(AND(F1687,G1687),C1687*E1687*F1687*G1687,IF(AND(F1687,H1687),C1687*E1687*F1687*H1687,IF(AND(G1687,H1687),C1687*E1687*G1687*H1687,IF(F1687,C1687*E1687*F1687,IF(G1687,C1687*E1687*G1687,IF(H1687,C1687*E1687*H1687,C1687*E1687))))))),2)</f>
        <v>3</v>
      </c>
      <c r="J1687" s="537" t="s">
        <v>114</v>
      </c>
      <c r="K1687" s="111"/>
      <c r="L1687" s="81"/>
      <c r="M1687" s="111"/>
    </row>
    <row r="1688" spans="1:13" s="525" customFormat="1" ht="16.5" customHeight="1">
      <c r="A1688" s="81"/>
      <c r="B1688" s="558"/>
      <c r="C1688" s="527"/>
      <c r="D1688" s="528"/>
      <c r="E1688" s="529"/>
      <c r="F1688" s="530"/>
      <c r="G1688" s="530"/>
      <c r="H1688" s="530"/>
      <c r="I1688" s="585"/>
      <c r="J1688" s="537"/>
      <c r="K1688" s="111"/>
      <c r="L1688" s="81"/>
      <c r="M1688" s="111"/>
    </row>
    <row r="1689" spans="1:13">
      <c r="A1689" s="81"/>
      <c r="B1689" s="111"/>
      <c r="C1689" s="112"/>
      <c r="D1689" s="533"/>
      <c r="E1689" s="534"/>
      <c r="F1689" s="113"/>
      <c r="G1689" s="539"/>
      <c r="H1689" s="81"/>
      <c r="I1689" s="585">
        <f>SUM(I1687:I1688)</f>
        <v>3</v>
      </c>
      <c r="J1689" s="537" t="s">
        <v>114</v>
      </c>
      <c r="K1689" s="12">
        <f>'Ele Data 2024-25'!I256</f>
        <v>458.87</v>
      </c>
      <c r="L1689" s="12" t="s">
        <v>268</v>
      </c>
      <c r="M1689" s="11">
        <f>ROUND(I1689*K1689,0)</f>
        <v>1377</v>
      </c>
    </row>
    <row r="1690" spans="1:13" ht="66.75" hidden="1" customHeight="1">
      <c r="A1690" s="81">
        <v>29</v>
      </c>
      <c r="B1690" s="910" t="s">
        <v>895</v>
      </c>
      <c r="C1690" s="910"/>
      <c r="D1690" s="910"/>
      <c r="E1690" s="910"/>
      <c r="F1690" s="910"/>
      <c r="G1690" s="910"/>
      <c r="H1690" s="910"/>
      <c r="I1690" s="515"/>
      <c r="J1690" s="516"/>
      <c r="K1690" s="81"/>
      <c r="L1690" s="81"/>
      <c r="M1690" s="110"/>
    </row>
    <row r="1691" spans="1:13" s="525" customFormat="1" ht="16.5" hidden="1" customHeight="1">
      <c r="A1691" s="81"/>
      <c r="B1691" s="558"/>
      <c r="C1691" s="527">
        <v>1</v>
      </c>
      <c r="D1691" s="528" t="s">
        <v>265</v>
      </c>
      <c r="E1691" s="529">
        <v>1</v>
      </c>
      <c r="F1691" s="530">
        <v>0</v>
      </c>
      <c r="G1691" s="530">
        <v>0</v>
      </c>
      <c r="H1691" s="530">
        <v>0</v>
      </c>
      <c r="I1691" s="585">
        <f>ROUND(IF(AND(F1691:H1691),C1691*E1691*F1691*G1691*H1691,IF(AND(F1691,G1691),C1691*E1691*F1691*G1691,IF(AND(F1691,H1691),C1691*E1691*F1691*H1691,IF(AND(G1691,H1691),C1691*E1691*G1691*H1691,IF(F1691,C1691*E1691*F1691,IF(G1691,C1691*E1691*G1691,IF(H1691,C1691*E1691*H1691,C1691*E1691))))))),2)</f>
        <v>1</v>
      </c>
      <c r="J1691" s="537" t="s">
        <v>114</v>
      </c>
      <c r="K1691" s="111"/>
      <c r="L1691" s="81"/>
      <c r="M1691" s="111"/>
    </row>
    <row r="1692" spans="1:13" hidden="1">
      <c r="A1692" s="81"/>
      <c r="B1692" s="111"/>
      <c r="C1692" s="112"/>
      <c r="D1692" s="533"/>
      <c r="E1692" s="534"/>
      <c r="F1692" s="113"/>
      <c r="G1692" s="539"/>
      <c r="H1692" s="81"/>
      <c r="I1692" s="585"/>
      <c r="J1692" s="537" t="s">
        <v>114</v>
      </c>
      <c r="K1692" s="12">
        <f>'Ele Data 2024-25'!I301</f>
        <v>4543</v>
      </c>
      <c r="L1692" s="12" t="s">
        <v>268</v>
      </c>
      <c r="M1692" s="11">
        <f>ROUND(I1692*K1692,0)</f>
        <v>0</v>
      </c>
    </row>
    <row r="1693" spans="1:13" ht="43.5" hidden="1" customHeight="1">
      <c r="A1693" s="81">
        <v>16</v>
      </c>
      <c r="B1693" s="910" t="s">
        <v>736</v>
      </c>
      <c r="C1693" s="910"/>
      <c r="D1693" s="910"/>
      <c r="E1693" s="910"/>
      <c r="F1693" s="910"/>
      <c r="G1693" s="910"/>
      <c r="H1693" s="910"/>
      <c r="I1693" s="515"/>
      <c r="J1693" s="516"/>
      <c r="K1693" s="81"/>
      <c r="L1693" s="81"/>
      <c r="M1693" s="110"/>
    </row>
    <row r="1694" spans="1:13" s="525" customFormat="1" ht="16.5" hidden="1" customHeight="1">
      <c r="A1694" s="81"/>
      <c r="B1694" s="558" t="s">
        <v>412</v>
      </c>
      <c r="C1694" s="547"/>
      <c r="D1694" s="548"/>
      <c r="E1694" s="549"/>
      <c r="F1694" s="550"/>
      <c r="G1694" s="550"/>
      <c r="H1694" s="551"/>
      <c r="I1694" s="552"/>
      <c r="J1694" s="537"/>
      <c r="K1694" s="111"/>
      <c r="L1694" s="81"/>
      <c r="M1694" s="111"/>
    </row>
    <row r="1695" spans="1:13" s="525" customFormat="1" ht="16.5" hidden="1" customHeight="1">
      <c r="A1695" s="81"/>
      <c r="B1695" s="558"/>
      <c r="C1695" s="527">
        <v>1</v>
      </c>
      <c r="D1695" s="528" t="s">
        <v>265</v>
      </c>
      <c r="E1695" s="529">
        <v>1</v>
      </c>
      <c r="F1695" s="530">
        <v>0</v>
      </c>
      <c r="G1695" s="530">
        <v>0</v>
      </c>
      <c r="H1695" s="530">
        <v>0</v>
      </c>
      <c r="I1695" s="531">
        <f>ROUND(IF(AND(F1695:H1695),C1695*E1695*F1695*G1695*H1695,IF(AND(F1695,G1695),C1695*E1695*F1695*G1695,IF(AND(F1695,H1695),C1695*E1695*F1695*H1695,IF(AND(G1695,H1695),C1695*E1695*G1695*H1695,IF(F1695,C1695*E1695*F1695,IF(G1695,C1695*E1695*G1695,IF(H1695,C1695*E1695*H1695,C1695*E1695))))))),2)</f>
        <v>1</v>
      </c>
      <c r="J1695" s="537" t="s">
        <v>114</v>
      </c>
      <c r="K1695" s="111"/>
      <c r="L1695" s="81"/>
      <c r="M1695" s="111"/>
    </row>
    <row r="1696" spans="1:13" hidden="1">
      <c r="A1696" s="81"/>
      <c r="B1696" s="111"/>
      <c r="C1696" s="112"/>
      <c r="D1696" s="533"/>
      <c r="E1696" s="534"/>
      <c r="F1696" s="113"/>
      <c r="G1696" s="539"/>
      <c r="H1696" s="81"/>
      <c r="I1696" s="531"/>
      <c r="J1696" s="537" t="s">
        <v>114</v>
      </c>
      <c r="K1696" s="12">
        <f>'Ele Data 2024-25'!I90</f>
        <v>1552</v>
      </c>
      <c r="L1696" s="12" t="s">
        <v>268</v>
      </c>
      <c r="M1696" s="11">
        <f>ROUND(I1696*K1696,0)</f>
        <v>0</v>
      </c>
    </row>
    <row r="1697" spans="1:13" ht="66" customHeight="1">
      <c r="A1697" s="81">
        <v>34</v>
      </c>
      <c r="B1697" s="910" t="s">
        <v>685</v>
      </c>
      <c r="C1697" s="910"/>
      <c r="D1697" s="910"/>
      <c r="E1697" s="910"/>
      <c r="F1697" s="910"/>
      <c r="G1697" s="910"/>
      <c r="H1697" s="910"/>
      <c r="I1697" s="515"/>
      <c r="J1697" s="516"/>
      <c r="K1697" s="81"/>
      <c r="L1697" s="81"/>
      <c r="M1697" s="110"/>
    </row>
    <row r="1698" spans="1:13" s="525" customFormat="1" ht="16.5" customHeight="1">
      <c r="A1698" s="81"/>
      <c r="B1698" s="558"/>
      <c r="C1698" s="527">
        <v>1</v>
      </c>
      <c r="D1698" s="528" t="s">
        <v>265</v>
      </c>
      <c r="E1698" s="529">
        <v>1</v>
      </c>
      <c r="F1698" s="530">
        <v>0</v>
      </c>
      <c r="G1698" s="530">
        <v>0</v>
      </c>
      <c r="H1698" s="530">
        <v>0</v>
      </c>
      <c r="I1698" s="585">
        <f>ROUND(IF(AND(F1698:H1698),C1698*E1698*F1698*G1698*H1698,IF(AND(F1698,G1698),C1698*E1698*F1698*G1698,IF(AND(F1698,H1698),C1698*E1698*F1698*H1698,IF(AND(G1698,H1698),C1698*E1698*G1698*H1698,IF(F1698,C1698*E1698*F1698,IF(G1698,C1698*E1698*G1698,IF(H1698,C1698*E1698*H1698,C1698*E1698))))))),2)</f>
        <v>1</v>
      </c>
      <c r="J1698" s="537" t="s">
        <v>114</v>
      </c>
      <c r="K1698" s="111"/>
      <c r="L1698" s="81"/>
      <c r="M1698" s="111"/>
    </row>
    <row r="1699" spans="1:13" s="525" customFormat="1" ht="16.5" customHeight="1">
      <c r="A1699" s="81"/>
      <c r="B1699" s="558"/>
      <c r="C1699" s="527"/>
      <c r="D1699" s="528"/>
      <c r="E1699" s="529"/>
      <c r="F1699" s="530"/>
      <c r="G1699" s="530"/>
      <c r="H1699" s="530"/>
      <c r="I1699" s="585"/>
      <c r="J1699" s="537"/>
      <c r="K1699" s="111"/>
      <c r="L1699" s="81"/>
      <c r="M1699" s="111"/>
    </row>
    <row r="1700" spans="1:13">
      <c r="A1700" s="81"/>
      <c r="B1700" s="111"/>
      <c r="C1700" s="112"/>
      <c r="D1700" s="533"/>
      <c r="E1700" s="534"/>
      <c r="F1700" s="113"/>
      <c r="G1700" s="539"/>
      <c r="H1700" s="81"/>
      <c r="I1700" s="585">
        <f>SUM(I1698:I1699)</f>
        <v>1</v>
      </c>
      <c r="J1700" s="537" t="s">
        <v>114</v>
      </c>
      <c r="K1700" s="12">
        <f>'Ele Data 2024-25'!I268</f>
        <v>4270.79</v>
      </c>
      <c r="L1700" s="12" t="s">
        <v>268</v>
      </c>
      <c r="M1700" s="11">
        <f>ROUND(I1700*K1700,0)</f>
        <v>4271</v>
      </c>
    </row>
    <row r="1701" spans="1:13" ht="44.25" customHeight="1">
      <c r="A1701" s="81">
        <v>35</v>
      </c>
      <c r="B1701" s="910" t="s">
        <v>885</v>
      </c>
      <c r="C1701" s="910"/>
      <c r="D1701" s="910"/>
      <c r="E1701" s="910"/>
      <c r="F1701" s="910"/>
      <c r="G1701" s="910"/>
      <c r="H1701" s="910"/>
      <c r="I1701" s="515"/>
      <c r="J1701" s="516"/>
      <c r="K1701" s="81"/>
      <c r="L1701" s="81"/>
      <c r="M1701" s="110"/>
    </row>
    <row r="1702" spans="1:13" s="525" customFormat="1" ht="16.5" customHeight="1">
      <c r="A1702" s="81"/>
      <c r="B1702" s="558"/>
      <c r="C1702" s="527">
        <v>1</v>
      </c>
      <c r="D1702" s="528" t="s">
        <v>265</v>
      </c>
      <c r="E1702" s="529">
        <v>1</v>
      </c>
      <c r="F1702" s="530">
        <v>0</v>
      </c>
      <c r="G1702" s="530">
        <v>0</v>
      </c>
      <c r="H1702" s="530">
        <v>0</v>
      </c>
      <c r="I1702" s="585">
        <f>ROUND(IF(AND(F1702:H1702),C1702*E1702*F1702*G1702*H1702,IF(AND(F1702,G1702),C1702*E1702*F1702*G1702,IF(AND(F1702,H1702),C1702*E1702*F1702*H1702,IF(AND(G1702,H1702),C1702*E1702*G1702*H1702,IF(F1702,C1702*E1702*F1702,IF(G1702,C1702*E1702*G1702,IF(H1702,C1702*E1702*H1702,C1702*E1702))))))),2)</f>
        <v>1</v>
      </c>
      <c r="J1702" s="537" t="s">
        <v>114</v>
      </c>
      <c r="K1702" s="111"/>
      <c r="L1702" s="81"/>
      <c r="M1702" s="111"/>
    </row>
    <row r="1703" spans="1:13" s="525" customFormat="1" ht="16.5" customHeight="1">
      <c r="A1703" s="81"/>
      <c r="B1703" s="558"/>
      <c r="C1703" s="527"/>
      <c r="D1703" s="528"/>
      <c r="E1703" s="529"/>
      <c r="F1703" s="530"/>
      <c r="G1703" s="530"/>
      <c r="H1703" s="530"/>
      <c r="I1703" s="585"/>
      <c r="J1703" s="537"/>
      <c r="K1703" s="111"/>
      <c r="L1703" s="81"/>
      <c r="M1703" s="111"/>
    </row>
    <row r="1704" spans="1:13">
      <c r="A1704" s="81"/>
      <c r="B1704" s="111"/>
      <c r="C1704" s="112"/>
      <c r="D1704" s="533"/>
      <c r="E1704" s="534"/>
      <c r="F1704" s="113"/>
      <c r="G1704" s="539"/>
      <c r="H1704" s="81"/>
      <c r="I1704" s="585">
        <f>SUM(I1702:I1703)</f>
        <v>1</v>
      </c>
      <c r="J1704" s="537" t="s">
        <v>114</v>
      </c>
      <c r="K1704" s="12">
        <f>'Ele Data 2024-25'!I279</f>
        <v>1140.29</v>
      </c>
      <c r="L1704" s="12" t="s">
        <v>268</v>
      </c>
      <c r="M1704" s="11">
        <f>ROUND(I1704*K1704,0)</f>
        <v>1140</v>
      </c>
    </row>
    <row r="1705" spans="1:13" ht="78" customHeight="1">
      <c r="A1705" s="81">
        <v>36</v>
      </c>
      <c r="B1705" s="910" t="s">
        <v>439</v>
      </c>
      <c r="C1705" s="910"/>
      <c r="D1705" s="910"/>
      <c r="E1705" s="910"/>
      <c r="F1705" s="910"/>
      <c r="G1705" s="910"/>
      <c r="H1705" s="910"/>
      <c r="I1705" s="515"/>
      <c r="J1705" s="516"/>
      <c r="K1705" s="81"/>
      <c r="L1705" s="81"/>
      <c r="M1705" s="110"/>
    </row>
    <row r="1706" spans="1:13" s="525" customFormat="1" ht="16.5" customHeight="1">
      <c r="A1706" s="81"/>
      <c r="B1706" s="558"/>
      <c r="C1706" s="527">
        <v>1</v>
      </c>
      <c r="D1706" s="528" t="s">
        <v>265</v>
      </c>
      <c r="E1706" s="529">
        <v>1</v>
      </c>
      <c r="F1706" s="530">
        <v>0</v>
      </c>
      <c r="G1706" s="530">
        <v>0</v>
      </c>
      <c r="H1706" s="530">
        <v>0</v>
      </c>
      <c r="I1706" s="585">
        <f>ROUND(IF(AND(F1706:H1706),C1706*E1706*F1706*G1706*H1706,IF(AND(F1706,G1706),C1706*E1706*F1706*G1706,IF(AND(F1706,H1706),C1706*E1706*F1706*H1706,IF(AND(G1706,H1706),C1706*E1706*G1706*H1706,IF(F1706,C1706*E1706*F1706,IF(G1706,C1706*E1706*G1706,IF(H1706,C1706*E1706*H1706,C1706*E1706))))))),2)</f>
        <v>1</v>
      </c>
      <c r="J1706" s="537" t="s">
        <v>114</v>
      </c>
      <c r="K1706" s="111"/>
      <c r="L1706" s="81"/>
      <c r="M1706" s="111"/>
    </row>
    <row r="1707" spans="1:13">
      <c r="A1707" s="81"/>
      <c r="B1707" s="111"/>
      <c r="C1707" s="112"/>
      <c r="D1707" s="533"/>
      <c r="E1707" s="534"/>
      <c r="F1707" s="113"/>
      <c r="G1707" s="539"/>
      <c r="H1707" s="81"/>
      <c r="I1707" s="585">
        <f>SUM(I1706)</f>
        <v>1</v>
      </c>
      <c r="J1707" s="537" t="s">
        <v>114</v>
      </c>
      <c r="K1707" s="12">
        <f>'Ele Data 2024-25'!I298</f>
        <v>5311.59</v>
      </c>
      <c r="L1707" s="12" t="s">
        <v>268</v>
      </c>
      <c r="M1707" s="11">
        <f>ROUND(I1707*K1707,0)</f>
        <v>5312</v>
      </c>
    </row>
    <row r="1708" spans="1:13" ht="31.5" hidden="1" customHeight="1">
      <c r="A1708" s="81">
        <v>31</v>
      </c>
      <c r="B1708" s="910" t="s">
        <v>2178</v>
      </c>
      <c r="C1708" s="910"/>
      <c r="D1708" s="910"/>
      <c r="E1708" s="910"/>
      <c r="F1708" s="910"/>
      <c r="G1708" s="910"/>
      <c r="H1708" s="910"/>
      <c r="I1708" s="515"/>
      <c r="J1708" s="516"/>
      <c r="K1708" s="81"/>
      <c r="L1708" s="81"/>
      <c r="M1708" s="11"/>
    </row>
    <row r="1709" spans="1:13" ht="15" customHeight="1">
      <c r="A1709" s="81">
        <v>37</v>
      </c>
      <c r="B1709" s="910" t="s">
        <v>2353</v>
      </c>
      <c r="C1709" s="910"/>
      <c r="D1709" s="910"/>
      <c r="E1709" s="910"/>
      <c r="F1709" s="910"/>
      <c r="G1709" s="910"/>
      <c r="H1709" s="910"/>
      <c r="I1709" s="515"/>
      <c r="J1709" s="516"/>
      <c r="K1709" s="81"/>
      <c r="L1709" s="81"/>
      <c r="M1709" s="11">
        <v>80000</v>
      </c>
    </row>
    <row r="1710" spans="1:13" ht="15" customHeight="1">
      <c r="A1710" s="81">
        <v>38</v>
      </c>
      <c r="B1710" s="910" t="s">
        <v>2362</v>
      </c>
      <c r="C1710" s="910"/>
      <c r="D1710" s="910"/>
      <c r="E1710" s="910"/>
      <c r="F1710" s="910"/>
      <c r="G1710" s="910"/>
      <c r="H1710" s="910"/>
      <c r="I1710" s="515"/>
      <c r="J1710" s="516"/>
      <c r="K1710" s="81"/>
      <c r="L1710" s="81"/>
      <c r="M1710" s="11">
        <v>120000</v>
      </c>
    </row>
    <row r="1711" spans="1:13" ht="15" customHeight="1">
      <c r="A1711" s="81">
        <v>39</v>
      </c>
      <c r="B1711" s="910" t="s">
        <v>2360</v>
      </c>
      <c r="C1711" s="910"/>
      <c r="D1711" s="910"/>
      <c r="E1711" s="910"/>
      <c r="F1711" s="910"/>
      <c r="G1711" s="910"/>
      <c r="H1711" s="910"/>
      <c r="I1711" s="515"/>
      <c r="J1711" s="516"/>
      <c r="K1711" s="81"/>
      <c r="L1711" s="81"/>
      <c r="M1711" s="11">
        <v>0</v>
      </c>
    </row>
    <row r="1712" spans="1:13">
      <c r="A1712" s="81"/>
      <c r="B1712" s="111"/>
      <c r="C1712" s="112"/>
      <c r="D1712" s="533"/>
      <c r="E1712" s="534"/>
      <c r="F1712" s="113"/>
      <c r="G1712" s="539"/>
      <c r="H1712" s="81"/>
      <c r="I1712" s="865"/>
      <c r="J1712" s="532"/>
      <c r="K1712" s="12"/>
      <c r="L1712" s="517"/>
      <c r="M1712" s="11"/>
    </row>
    <row r="1713" spans="1:15">
      <c r="A1713" s="81"/>
      <c r="B1713" s="473"/>
      <c r="C1713" s="513"/>
      <c r="D1713" s="566"/>
      <c r="E1713" s="866"/>
      <c r="F1713" s="867"/>
      <c r="G1713" s="867"/>
      <c r="H1713" s="473"/>
      <c r="I1713" s="531"/>
      <c r="J1713" s="868"/>
      <c r="K1713" s="12"/>
      <c r="L1713" s="517"/>
      <c r="M1713" s="869">
        <f>SUM(M8:M1712)</f>
        <v>1229511</v>
      </c>
      <c r="N1713" s="19"/>
      <c r="O1713" s="19"/>
    </row>
    <row r="1714" spans="1:15" s="874" customFormat="1" ht="20.25" customHeight="1">
      <c r="A1714" s="870">
        <v>43</v>
      </c>
      <c r="B1714" s="915" t="s">
        <v>1835</v>
      </c>
      <c r="C1714" s="915"/>
      <c r="D1714" s="915"/>
      <c r="E1714" s="915"/>
      <c r="F1714" s="915"/>
      <c r="G1714" s="915"/>
      <c r="H1714" s="915"/>
      <c r="I1714" s="579"/>
      <c r="J1714" s="872"/>
      <c r="K1714" s="870"/>
      <c r="L1714" s="870"/>
      <c r="M1714" s="873">
        <f>Seigneorage!H49</f>
        <v>2427</v>
      </c>
    </row>
    <row r="1715" spans="1:15" s="874" customFormat="1" ht="20.25" customHeight="1">
      <c r="A1715" s="870"/>
      <c r="B1715" s="871"/>
      <c r="C1715" s="871"/>
      <c r="D1715" s="871"/>
      <c r="E1715" s="871"/>
      <c r="F1715" s="871"/>
      <c r="G1715" s="871"/>
      <c r="H1715" s="871"/>
      <c r="I1715" s="579"/>
      <c r="J1715" s="872"/>
      <c r="K1715" s="870"/>
      <c r="L1715" s="870"/>
      <c r="M1715" s="875">
        <f>SUBTOTAL(9,M1713:M1714)</f>
        <v>1231938</v>
      </c>
    </row>
    <row r="1716" spans="1:15" s="874" customFormat="1" ht="20.25" customHeight="1">
      <c r="A1716" s="870">
        <v>44</v>
      </c>
      <c r="B1716" s="915" t="s">
        <v>1833</v>
      </c>
      <c r="C1716" s="915"/>
      <c r="D1716" s="915"/>
      <c r="E1716" s="915"/>
      <c r="F1716" s="915"/>
      <c r="G1716" s="915"/>
      <c r="H1716" s="915"/>
      <c r="I1716" s="876">
        <f>M1713</f>
        <v>1229511</v>
      </c>
      <c r="J1716" s="872"/>
      <c r="K1716" s="870"/>
      <c r="L1716" s="870"/>
      <c r="M1716" s="873">
        <f>ROUND(M1713*0.5%,0)</f>
        <v>6148</v>
      </c>
    </row>
    <row r="1717" spans="1:15" s="874" customFormat="1" ht="20.25" customHeight="1">
      <c r="A1717" s="870">
        <v>45</v>
      </c>
      <c r="B1717" s="915" t="s">
        <v>1886</v>
      </c>
      <c r="C1717" s="915"/>
      <c r="D1717" s="915"/>
      <c r="E1717" s="915"/>
      <c r="F1717" s="915"/>
      <c r="G1717" s="915"/>
      <c r="H1717" s="915"/>
      <c r="I1717" s="876">
        <f>M1715</f>
        <v>1231938</v>
      </c>
      <c r="J1717" s="872"/>
      <c r="K1717" s="870"/>
      <c r="L1717" s="870"/>
      <c r="M1717" s="873">
        <f>ROUND(I1717*18%,0)</f>
        <v>221749</v>
      </c>
    </row>
    <row r="1718" spans="1:15" s="874" customFormat="1" ht="20.25" customHeight="1">
      <c r="A1718" s="870">
        <v>46</v>
      </c>
      <c r="B1718" s="915" t="s">
        <v>287</v>
      </c>
      <c r="C1718" s="915"/>
      <c r="D1718" s="915"/>
      <c r="E1718" s="915"/>
      <c r="F1718" s="915"/>
      <c r="G1718" s="915"/>
      <c r="H1718" s="915"/>
      <c r="I1718" s="579"/>
      <c r="J1718" s="872"/>
      <c r="K1718" s="870"/>
      <c r="L1718" s="870"/>
      <c r="M1718" s="873">
        <f>N1718</f>
        <v>40165</v>
      </c>
      <c r="N1718" s="877">
        <f>N1720-M1713-M1716-M1717-M1714</f>
        <v>40165</v>
      </c>
    </row>
    <row r="1719" spans="1:15" s="874" customFormat="1" ht="20.25" customHeight="1">
      <c r="A1719" s="870"/>
      <c r="B1719" s="871"/>
      <c r="C1719" s="871"/>
      <c r="D1719" s="871"/>
      <c r="E1719" s="871"/>
      <c r="F1719" s="871"/>
      <c r="G1719" s="871"/>
      <c r="H1719" s="871"/>
      <c r="I1719" s="579"/>
      <c r="J1719" s="872"/>
      <c r="K1719" s="870"/>
      <c r="L1719" s="870"/>
      <c r="M1719" s="873"/>
      <c r="N1719" s="877"/>
    </row>
    <row r="1720" spans="1:15" s="874" customFormat="1" ht="20.25" customHeight="1">
      <c r="A1720" s="870"/>
      <c r="B1720" s="912" t="s">
        <v>115</v>
      </c>
      <c r="C1720" s="913"/>
      <c r="D1720" s="913"/>
      <c r="E1720" s="913"/>
      <c r="F1720" s="913"/>
      <c r="G1720" s="913"/>
      <c r="H1720" s="914"/>
      <c r="I1720" s="579"/>
      <c r="J1720" s="872"/>
      <c r="K1720" s="870"/>
      <c r="L1720" s="870"/>
      <c r="M1720" s="875">
        <f>SUM(M1715:M1718)</f>
        <v>1500000</v>
      </c>
      <c r="N1720" s="874">
        <v>1500000</v>
      </c>
    </row>
    <row r="1721" spans="1:15">
      <c r="M1721" s="882"/>
    </row>
    <row r="1722" spans="1:15">
      <c r="H1722" s="10"/>
      <c r="I1722" s="10"/>
      <c r="J1722" s="10"/>
      <c r="M1722" s="19"/>
    </row>
    <row r="1723" spans="1:15">
      <c r="H1723" s="10"/>
      <c r="I1723" s="10"/>
      <c r="J1723" s="10"/>
      <c r="M1723" s="19"/>
    </row>
    <row r="1724" spans="1:15">
      <c r="H1724" s="10"/>
      <c r="I1724" s="10"/>
      <c r="J1724" s="10"/>
      <c r="M1724" s="19"/>
    </row>
    <row r="1725" spans="1:15">
      <c r="H1725" s="135" t="str">
        <f>'lead 24-25'!$H$32</f>
        <v>Deputy Executive Engineer</v>
      </c>
      <c r="I1725" s="883"/>
      <c r="J1725" s="883"/>
      <c r="K1725" s="884"/>
      <c r="L1725" s="885" t="str">
        <f>'lead 24-25'!$K$32</f>
        <v>Assistant  Engineer</v>
      </c>
    </row>
    <row r="1726" spans="1:15">
      <c r="H1726" s="135" t="str">
        <f>'lead 24-25'!$H$33</f>
        <v>PRI Sub Division</v>
      </c>
      <c r="I1726" s="883"/>
      <c r="J1726" s="883"/>
      <c r="K1726" s="884"/>
      <c r="L1726" s="885" t="str">
        <f>'lead 24-25'!$K$33</f>
        <v>Mandal Praja parishad</v>
      </c>
    </row>
    <row r="1727" spans="1:15">
      <c r="H1727" s="135" t="str">
        <f>'lead 24-25'!$H$34</f>
        <v>Kanigiri</v>
      </c>
      <c r="I1727" s="20"/>
      <c r="J1727" s="20"/>
      <c r="K1727" s="136"/>
      <c r="L1727" s="885" t="str">
        <f>'lead 24-25'!$K$34</f>
        <v>P.C.Palli</v>
      </c>
    </row>
    <row r="1733" spans="3:12" s="21" customFormat="1">
      <c r="C1733" s="10"/>
      <c r="E1733" s="878"/>
      <c r="F1733" s="879"/>
      <c r="G1733" s="880"/>
      <c r="H1733" s="20"/>
      <c r="K1733" s="886"/>
      <c r="L1733" s="881"/>
    </row>
  </sheetData>
  <autoFilter ref="A6:M1711" xr:uid="{00000000-0009-0000-0000-000003000000}">
    <filterColumn colId="0">
      <colorFilter dxfId="4"/>
    </filterColumn>
    <filterColumn colId="2" showButton="0"/>
    <filterColumn colId="3" showButton="0"/>
  </autoFilter>
  <mergeCells count="248">
    <mergeCell ref="B1710:H1710"/>
    <mergeCell ref="B1709:H1709"/>
    <mergeCell ref="A1:M1"/>
    <mergeCell ref="A2:B2"/>
    <mergeCell ref="C2:M2"/>
    <mergeCell ref="B3:G3"/>
    <mergeCell ref="I3:K3"/>
    <mergeCell ref="L3:M3"/>
    <mergeCell ref="B524:H524"/>
    <mergeCell ref="B240:H240"/>
    <mergeCell ref="B257:H257"/>
    <mergeCell ref="B176:H176"/>
    <mergeCell ref="B227:H227"/>
    <mergeCell ref="B393:H393"/>
    <mergeCell ref="B519:H519"/>
    <mergeCell ref="B500:H500"/>
    <mergeCell ref="B404:H404"/>
    <mergeCell ref="B439:H439"/>
    <mergeCell ref="B475:H475"/>
    <mergeCell ref="B387:H387"/>
    <mergeCell ref="B512:H512"/>
    <mergeCell ref="B516:H516"/>
    <mergeCell ref="M4:M5"/>
    <mergeCell ref="B132:H132"/>
    <mergeCell ref="B347:H347"/>
    <mergeCell ref="L4:L5"/>
    <mergeCell ref="K4:K5"/>
    <mergeCell ref="B107:H107"/>
    <mergeCell ref="B63:H63"/>
    <mergeCell ref="B13:H13"/>
    <mergeCell ref="B20:H20"/>
    <mergeCell ref="A4:A5"/>
    <mergeCell ref="B4:B5"/>
    <mergeCell ref="C4:E5"/>
    <mergeCell ref="F4:H4"/>
    <mergeCell ref="B114:H114"/>
    <mergeCell ref="B122:H122"/>
    <mergeCell ref="B128:H128"/>
    <mergeCell ref="B92:H92"/>
    <mergeCell ref="I4:J5"/>
    <mergeCell ref="C6:E6"/>
    <mergeCell ref="B8:H8"/>
    <mergeCell ref="B34:H34"/>
    <mergeCell ref="B27:H27"/>
    <mergeCell ref="B334:H334"/>
    <mergeCell ref="B97:H97"/>
    <mergeCell ref="B101:H101"/>
    <mergeCell ref="B82:H82"/>
    <mergeCell ref="B46:H46"/>
    <mergeCell ref="B213:H213"/>
    <mergeCell ref="B154:H154"/>
    <mergeCell ref="B57:H57"/>
    <mergeCell ref="B73:H73"/>
    <mergeCell ref="B278:H278"/>
    <mergeCell ref="B161:H161"/>
    <mergeCell ref="B186:H186"/>
    <mergeCell ref="B137:H137"/>
    <mergeCell ref="B308:H308"/>
    <mergeCell ref="B291:H291"/>
    <mergeCell ref="B325:H325"/>
    <mergeCell ref="B166:H166"/>
    <mergeCell ref="B170:H170"/>
    <mergeCell ref="B143:H143"/>
    <mergeCell ref="B273:H273"/>
    <mergeCell ref="B235:H235"/>
    <mergeCell ref="B221:H221"/>
    <mergeCell ref="B449:H449"/>
    <mergeCell ref="B589:H589"/>
    <mergeCell ref="B595:H595"/>
    <mergeCell ref="B492:H492"/>
    <mergeCell ref="B496:H496"/>
    <mergeCell ref="B354:H354"/>
    <mergeCell ref="B509:H509"/>
    <mergeCell ref="B369:H369"/>
    <mergeCell ref="B373:H373"/>
    <mergeCell ref="B361:H361"/>
    <mergeCell ref="B505:H505"/>
    <mergeCell ref="B398:H398"/>
    <mergeCell ref="B383:H383"/>
    <mergeCell ref="B607:H607"/>
    <mergeCell ref="B632:H632"/>
    <mergeCell ref="B659:H659"/>
    <mergeCell ref="B583:H583"/>
    <mergeCell ref="B529:H529"/>
    <mergeCell ref="B535:H535"/>
    <mergeCell ref="B543:H543"/>
    <mergeCell ref="B547:H547"/>
    <mergeCell ref="B552:H552"/>
    <mergeCell ref="B563:H563"/>
    <mergeCell ref="B574:H574"/>
    <mergeCell ref="B579:H579"/>
    <mergeCell ref="B777:H777"/>
    <mergeCell ref="B670:H670"/>
    <mergeCell ref="B676:H676"/>
    <mergeCell ref="B684:H684"/>
    <mergeCell ref="B694:H694"/>
    <mergeCell ref="B702:H702"/>
    <mergeCell ref="B727:H727"/>
    <mergeCell ref="B735:H735"/>
    <mergeCell ref="B741:H741"/>
    <mergeCell ref="B749:H749"/>
    <mergeCell ref="B764:H764"/>
    <mergeCell ref="B771:H771"/>
    <mergeCell ref="B940:H940"/>
    <mergeCell ref="B929:H929"/>
    <mergeCell ref="B934:H934"/>
    <mergeCell ref="B1035:H1035"/>
    <mergeCell ref="B948:H948"/>
    <mergeCell ref="B953:H953"/>
    <mergeCell ref="B958:H958"/>
    <mergeCell ref="B969:H969"/>
    <mergeCell ref="B980:H980"/>
    <mergeCell ref="B988:H988"/>
    <mergeCell ref="B993:H993"/>
    <mergeCell ref="B998:H998"/>
    <mergeCell ref="B1004:H1004"/>
    <mergeCell ref="B1021:H1021"/>
    <mergeCell ref="B1030:H1030"/>
    <mergeCell ref="B923:H923"/>
    <mergeCell ref="B878:H878"/>
    <mergeCell ref="B909:H909"/>
    <mergeCell ref="B792:H792"/>
    <mergeCell ref="B802:H802"/>
    <mergeCell ref="B807:H807"/>
    <mergeCell ref="B813:H813"/>
    <mergeCell ref="B821:H821"/>
    <mergeCell ref="B856:H856"/>
    <mergeCell ref="B917:H917"/>
    <mergeCell ref="B1118:H1118"/>
    <mergeCell ref="B1124:H1124"/>
    <mergeCell ref="B1134:H1134"/>
    <mergeCell ref="B1046:H1046"/>
    <mergeCell ref="B1056:H1056"/>
    <mergeCell ref="B1097:H1097"/>
    <mergeCell ref="B1102:H1102"/>
    <mergeCell ref="B1109:H1109"/>
    <mergeCell ref="B1440:H1440"/>
    <mergeCell ref="B1267:H1267"/>
    <mergeCell ref="B1280:H1280"/>
    <mergeCell ref="B1291:H1291"/>
    <mergeCell ref="B1297:H1297"/>
    <mergeCell ref="B1329:H1329"/>
    <mergeCell ref="B1450:H1450"/>
    <mergeCell ref="B1374:H1374"/>
    <mergeCell ref="B1370:H1370"/>
    <mergeCell ref="B1366:H1366"/>
    <mergeCell ref="B1338:H1338"/>
    <mergeCell ref="B1361:H1361"/>
    <mergeCell ref="B1143:H1143"/>
    <mergeCell ref="B1154:H1154"/>
    <mergeCell ref="B1178:H1178"/>
    <mergeCell ref="B1188:H1188"/>
    <mergeCell ref="B1202:H1202"/>
    <mergeCell ref="B1208:H1208"/>
    <mergeCell ref="B1163:H1163"/>
    <mergeCell ref="B1216:H1216"/>
    <mergeCell ref="B1251:H1251"/>
    <mergeCell ref="B1309:H1309"/>
    <mergeCell ref="B1317:H1317"/>
    <mergeCell ref="B1325:H1325"/>
    <mergeCell ref="B1313:H1313"/>
    <mergeCell ref="B1301:H1301"/>
    <mergeCell ref="B1305:H1305"/>
    <mergeCell ref="B1321:H1321"/>
    <mergeCell ref="B1342:H1342"/>
    <mergeCell ref="B1507:H1507"/>
    <mergeCell ref="B1512:H1512"/>
    <mergeCell ref="B1496:H1496"/>
    <mergeCell ref="B1484:H1484"/>
    <mergeCell ref="B1454:H1454"/>
    <mergeCell ref="B1471:H1471"/>
    <mergeCell ref="B1466:H1466"/>
    <mergeCell ref="B1479:H1479"/>
    <mergeCell ref="B1475:H1475"/>
    <mergeCell ref="B1458:H1458"/>
    <mergeCell ref="B1503:H1503"/>
    <mergeCell ref="B1628:H1628"/>
    <mergeCell ref="B1643:H1643"/>
    <mergeCell ref="B1616:H1616"/>
    <mergeCell ref="B1347:H1347"/>
    <mergeCell ref="B1350:H1350"/>
    <mergeCell ref="B1420:H1420"/>
    <mergeCell ref="B1404:H1404"/>
    <mergeCell ref="B1408:H1408"/>
    <mergeCell ref="B1413:H1413"/>
    <mergeCell ref="B1356:H1356"/>
    <mergeCell ref="B1432:H1432"/>
    <mergeCell ref="B1436:H1436"/>
    <mergeCell ref="B1536:H1536"/>
    <mergeCell ref="B1515:H1515"/>
    <mergeCell ref="B1518:H1518"/>
    <mergeCell ref="B1521:H1521"/>
    <mergeCell ref="B1524:H1524"/>
    <mergeCell ref="B1527:H1527"/>
    <mergeCell ref="B1530:H1530"/>
    <mergeCell ref="B1500:H1500"/>
    <mergeCell ref="B1378:H1378"/>
    <mergeCell ref="B1391:H1391"/>
    <mergeCell ref="B1396:H1396"/>
    <mergeCell ref="B1400:H1400"/>
    <mergeCell ref="B1690:H1690"/>
    <mergeCell ref="B1663:H1663"/>
    <mergeCell ref="B1632:H1632"/>
    <mergeCell ref="B1462:H1462"/>
    <mergeCell ref="B1333:H1333"/>
    <mergeCell ref="B1446:H1446"/>
    <mergeCell ref="B1697:H1697"/>
    <mergeCell ref="B1676:H1676"/>
    <mergeCell ref="B1488:H1488"/>
    <mergeCell ref="B1571:H1571"/>
    <mergeCell ref="B1655:H1655"/>
    <mergeCell ref="B1559:H1559"/>
    <mergeCell ref="B1545:H1545"/>
    <mergeCell ref="B1551:H1551"/>
    <mergeCell ref="B1540:H1540"/>
    <mergeCell ref="B1686:H1686"/>
    <mergeCell ref="B1586:H1586"/>
    <mergeCell ref="B1589:H1589"/>
    <mergeCell ref="B1597:H1597"/>
    <mergeCell ref="B1601:H1601"/>
    <mergeCell ref="B1636:H1636"/>
    <mergeCell ref="B1647:H1647"/>
    <mergeCell ref="B1593:H1593"/>
    <mergeCell ref="B1608:H1608"/>
    <mergeCell ref="B1711:H1711"/>
    <mergeCell ref="B1708:H1708"/>
    <mergeCell ref="B1705:H1705"/>
    <mergeCell ref="B1651:H1651"/>
    <mergeCell ref="B1492:H1492"/>
    <mergeCell ref="B1533:H1533"/>
    <mergeCell ref="B1720:H1720"/>
    <mergeCell ref="B1716:H1716"/>
    <mergeCell ref="B1717:H1717"/>
    <mergeCell ref="B1714:H1714"/>
    <mergeCell ref="B1718:H1718"/>
    <mergeCell ref="B1701:H1701"/>
    <mergeCell ref="B1693:H1693"/>
    <mergeCell ref="B1563:H1563"/>
    <mergeCell ref="B1578:H1578"/>
    <mergeCell ref="B1612:H1612"/>
    <mergeCell ref="B1620:H1620"/>
    <mergeCell ref="B1640:H1640"/>
    <mergeCell ref="B1567:H1567"/>
    <mergeCell ref="B1624:H1624"/>
    <mergeCell ref="B1582:H1582"/>
    <mergeCell ref="B1605:H1605"/>
    <mergeCell ref="B1659:H1659"/>
    <mergeCell ref="B1680:H1680"/>
  </mergeCells>
  <printOptions horizontalCentered="1"/>
  <pageMargins left="0.15" right="0.1" top="0.2" bottom="0.23" header="0.25" footer="0.08"/>
  <pageSetup paperSize="9" scale="97" pageOrder="overThenDown" orientation="portrait" r:id="rId1"/>
  <headerFooter alignWithMargins="0"/>
  <rowBreaks count="1" manualBreakCount="1">
    <brk id="1716"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rgb="FFFF0000"/>
  </sheetPr>
  <dimension ref="A1:U493"/>
  <sheetViews>
    <sheetView showZeros="0" view="pageBreakPreview" topLeftCell="A36" zoomScaleSheetLayoutView="100" workbookViewId="0">
      <selection activeCell="G36" sqref="G1:G1048576"/>
    </sheetView>
  </sheetViews>
  <sheetFormatPr defaultRowHeight="12.75"/>
  <cols>
    <col min="1" max="1" width="3.28515625" style="145" customWidth="1"/>
    <col min="2" max="2" width="22.28515625" style="145" bestFit="1" customWidth="1"/>
    <col min="3" max="5" width="7.7109375" style="145" customWidth="1"/>
    <col min="6" max="6" width="7.7109375" style="145" bestFit="1" customWidth="1"/>
    <col min="7" max="7" width="3.42578125" style="145" customWidth="1"/>
    <col min="8" max="8" width="8" style="145" customWidth="1"/>
    <col min="9" max="10" width="8.7109375" style="145" customWidth="1"/>
    <col min="11" max="11" width="6.42578125" style="145" bestFit="1" customWidth="1"/>
    <col min="12" max="12" width="7.140625" style="145" customWidth="1"/>
    <col min="13" max="13" width="6.28515625" style="145" customWidth="1"/>
    <col min="14" max="14" width="7.7109375" style="145" customWidth="1"/>
    <col min="15" max="16" width="6.42578125" style="145" customWidth="1"/>
    <col min="17" max="17" width="6" style="145" customWidth="1"/>
    <col min="18" max="18" width="5.42578125" style="145" customWidth="1"/>
    <col min="19" max="19" width="9.140625" style="145" bestFit="1" customWidth="1"/>
    <col min="20" max="20" width="7.7109375" style="145" bestFit="1" customWidth="1"/>
    <col min="21" max="21" width="3.28515625" style="145" bestFit="1" customWidth="1"/>
    <col min="22" max="16384" width="9.140625" style="145"/>
  </cols>
  <sheetData>
    <row r="1" spans="1:21" ht="21">
      <c r="A1" s="930" t="s">
        <v>2204</v>
      </c>
      <c r="B1" s="930"/>
      <c r="C1" s="930"/>
      <c r="D1" s="930"/>
      <c r="E1" s="930"/>
      <c r="F1" s="930"/>
      <c r="G1" s="930"/>
      <c r="H1" s="930"/>
      <c r="I1" s="930"/>
      <c r="J1" s="930"/>
      <c r="K1" s="930"/>
      <c r="L1" s="930"/>
      <c r="M1" s="930"/>
      <c r="N1" s="930"/>
      <c r="O1" s="930"/>
      <c r="P1" s="930"/>
      <c r="Q1" s="930"/>
      <c r="R1" s="930"/>
      <c r="S1" s="930"/>
      <c r="T1" s="930"/>
      <c r="U1" s="930"/>
    </row>
    <row r="2" spans="1:21" ht="15.75" customHeight="1">
      <c r="A2" s="217" t="str">
        <f>'lead 24-25'!B2&amp;'lead 24-25'!C2</f>
        <v>Name of the Work: Completion of incomplete Anganwadi building  in Paletipalli village of P.C.Palli Mandal.</v>
      </c>
      <c r="B2" s="288"/>
      <c r="C2" s="288"/>
      <c r="D2" s="288"/>
      <c r="E2" s="288"/>
      <c r="F2" s="288"/>
      <c r="G2" s="288"/>
      <c r="H2" s="288"/>
      <c r="I2" s="288"/>
      <c r="J2" s="288"/>
      <c r="K2" s="288"/>
      <c r="L2" s="288"/>
      <c r="M2" s="288"/>
      <c r="N2" s="288"/>
      <c r="O2" s="288"/>
      <c r="P2" s="288"/>
      <c r="Q2" s="288"/>
      <c r="R2" s="288"/>
      <c r="S2" s="288"/>
      <c r="T2" s="288"/>
      <c r="U2" s="288"/>
    </row>
    <row r="3" spans="1:21" ht="38.25">
      <c r="A3" s="287" t="s">
        <v>23</v>
      </c>
      <c r="B3" s="287" t="s">
        <v>7</v>
      </c>
      <c r="C3" s="287" t="s">
        <v>225</v>
      </c>
      <c r="D3" s="287" t="s">
        <v>229</v>
      </c>
      <c r="E3" s="287" t="s">
        <v>852</v>
      </c>
      <c r="F3" s="931" t="s">
        <v>230</v>
      </c>
      <c r="G3" s="931"/>
      <c r="H3" s="287" t="s">
        <v>231</v>
      </c>
      <c r="I3" s="287" t="s">
        <v>232</v>
      </c>
      <c r="J3" s="287" t="s">
        <v>233</v>
      </c>
      <c r="K3" s="287" t="s">
        <v>238</v>
      </c>
      <c r="L3" s="179" t="s">
        <v>235</v>
      </c>
      <c r="M3" s="179" t="s">
        <v>234</v>
      </c>
      <c r="N3" s="179" t="s">
        <v>236</v>
      </c>
      <c r="O3" s="179" t="s">
        <v>133</v>
      </c>
      <c r="P3" s="179" t="s">
        <v>958</v>
      </c>
      <c r="Q3" s="287" t="s">
        <v>41</v>
      </c>
      <c r="R3" s="287" t="s">
        <v>649</v>
      </c>
      <c r="S3" s="287" t="s">
        <v>408</v>
      </c>
      <c r="T3" s="287" t="s">
        <v>134</v>
      </c>
      <c r="U3" s="147"/>
    </row>
    <row r="4" spans="1:21" ht="18" hidden="1" customHeight="1">
      <c r="A4" s="218">
        <v>1</v>
      </c>
      <c r="B4" s="147" t="s">
        <v>101</v>
      </c>
      <c r="C4" s="219"/>
      <c r="D4" s="147"/>
      <c r="E4" s="147"/>
      <c r="F4" s="220">
        <f>C4+D4</f>
        <v>0</v>
      </c>
      <c r="G4" s="220" t="s">
        <v>409</v>
      </c>
      <c r="H4" s="218">
        <v>0</v>
      </c>
      <c r="I4" s="218">
        <v>0</v>
      </c>
      <c r="J4" s="218">
        <v>0</v>
      </c>
      <c r="K4" s="218">
        <v>0</v>
      </c>
      <c r="L4" s="218">
        <v>0</v>
      </c>
      <c r="M4" s="218">
        <v>0</v>
      </c>
      <c r="N4" s="218">
        <v>0</v>
      </c>
      <c r="O4" s="221">
        <v>0</v>
      </c>
      <c r="P4" s="221">
        <v>0</v>
      </c>
      <c r="Q4" s="218">
        <v>0</v>
      </c>
      <c r="R4" s="80">
        <f>F4</f>
        <v>0</v>
      </c>
      <c r="S4" s="222">
        <v>0</v>
      </c>
      <c r="T4" s="147">
        <v>0</v>
      </c>
      <c r="U4" s="147"/>
    </row>
    <row r="5" spans="1:21" ht="20.100000000000001" customHeight="1">
      <c r="A5" s="218">
        <v>1</v>
      </c>
      <c r="B5" s="147" t="s">
        <v>133</v>
      </c>
      <c r="C5" s="220">
        <f>ESTIMATE!I81</f>
        <v>1.53</v>
      </c>
      <c r="D5" s="147"/>
      <c r="E5" s="147"/>
      <c r="F5" s="220">
        <f>SUM(C5:E5)</f>
        <v>1.53</v>
      </c>
      <c r="G5" s="220" t="s">
        <v>409</v>
      </c>
      <c r="H5" s="218">
        <v>0</v>
      </c>
      <c r="I5" s="218">
        <v>0</v>
      </c>
      <c r="J5" s="218">
        <v>0</v>
      </c>
      <c r="K5" s="218">
        <v>0</v>
      </c>
      <c r="L5" s="218">
        <v>0</v>
      </c>
      <c r="M5" s="218">
        <v>0</v>
      </c>
      <c r="N5" s="218">
        <v>0</v>
      </c>
      <c r="O5" s="80">
        <f>F5</f>
        <v>1.53</v>
      </c>
      <c r="P5" s="221">
        <v>0</v>
      </c>
      <c r="Q5" s="218">
        <v>0</v>
      </c>
      <c r="R5" s="221">
        <v>0</v>
      </c>
      <c r="S5" s="222">
        <v>0</v>
      </c>
      <c r="T5" s="147">
        <v>0</v>
      </c>
      <c r="U5" s="147"/>
    </row>
    <row r="6" spans="1:21" ht="20.100000000000001" hidden="1" customHeight="1">
      <c r="A6" s="218">
        <v>2</v>
      </c>
      <c r="B6" s="147" t="s">
        <v>1824</v>
      </c>
      <c r="C6" s="220">
        <f>ESTIMATE!I62</f>
        <v>0</v>
      </c>
      <c r="D6" s="147"/>
      <c r="E6" s="147"/>
      <c r="F6" s="220">
        <f t="shared" ref="F6:F43" si="0">SUM(C6:E6)</f>
        <v>0</v>
      </c>
      <c r="G6" s="220" t="s">
        <v>409</v>
      </c>
      <c r="H6" s="218">
        <v>0</v>
      </c>
      <c r="I6" s="218">
        <v>0</v>
      </c>
      <c r="J6" s="218">
        <v>0</v>
      </c>
      <c r="K6" s="218">
        <v>0</v>
      </c>
      <c r="L6" s="218">
        <v>0</v>
      </c>
      <c r="M6" s="218">
        <v>0</v>
      </c>
      <c r="N6" s="218">
        <v>0</v>
      </c>
      <c r="O6" s="221">
        <v>0</v>
      </c>
      <c r="P6" s="80">
        <f>F6</f>
        <v>0</v>
      </c>
      <c r="Q6" s="218">
        <v>0</v>
      </c>
      <c r="R6" s="221">
        <v>0</v>
      </c>
      <c r="S6" s="222">
        <v>0</v>
      </c>
      <c r="T6" s="147">
        <v>0</v>
      </c>
      <c r="U6" s="147"/>
    </row>
    <row r="7" spans="1:21" ht="20.100000000000001" hidden="1" customHeight="1">
      <c r="A7" s="218">
        <v>4</v>
      </c>
      <c r="B7" s="147" t="s">
        <v>648</v>
      </c>
      <c r="C7" s="220">
        <f>ESTIMATE!I72</f>
        <v>0</v>
      </c>
      <c r="D7" s="147"/>
      <c r="E7" s="147"/>
      <c r="F7" s="220">
        <f t="shared" si="0"/>
        <v>0</v>
      </c>
      <c r="G7" s="220" t="s">
        <v>409</v>
      </c>
      <c r="H7" s="218">
        <v>0</v>
      </c>
      <c r="I7" s="218">
        <v>0</v>
      </c>
      <c r="J7" s="218">
        <v>0</v>
      </c>
      <c r="K7" s="218">
        <v>0</v>
      </c>
      <c r="L7" s="218">
        <v>0</v>
      </c>
      <c r="M7" s="218">
        <v>0</v>
      </c>
      <c r="N7" s="218">
        <v>0</v>
      </c>
      <c r="O7" s="221">
        <v>0</v>
      </c>
      <c r="P7" s="80"/>
      <c r="Q7" s="218">
        <v>0</v>
      </c>
      <c r="R7" s="80">
        <f>F7</f>
        <v>0</v>
      </c>
      <c r="S7" s="222">
        <v>0</v>
      </c>
      <c r="T7" s="147">
        <v>0</v>
      </c>
      <c r="U7" s="147"/>
    </row>
    <row r="8" spans="1:21" ht="20.100000000000001" customHeight="1">
      <c r="A8" s="218">
        <v>2</v>
      </c>
      <c r="B8" s="147" t="s">
        <v>239</v>
      </c>
      <c r="C8" s="220">
        <f>ESTIMATE!I45</f>
        <v>5.4499999999999993</v>
      </c>
      <c r="D8" s="147"/>
      <c r="E8" s="147"/>
      <c r="F8" s="220">
        <f t="shared" si="0"/>
        <v>5.4499999999999993</v>
      </c>
      <c r="G8" s="220" t="s">
        <v>409</v>
      </c>
      <c r="H8" s="80">
        <f>ROUND(F8*0.9,2)</f>
        <v>4.91</v>
      </c>
      <c r="I8" s="221">
        <v>0</v>
      </c>
      <c r="J8" s="221">
        <v>0</v>
      </c>
      <c r="K8" s="218">
        <v>0</v>
      </c>
      <c r="L8" s="80">
        <f>ROUND(F8*0.45,2)</f>
        <v>2.4500000000000002</v>
      </c>
      <c r="M8" s="218">
        <v>0</v>
      </c>
      <c r="N8" s="218">
        <v>0</v>
      </c>
      <c r="O8" s="221">
        <v>0</v>
      </c>
      <c r="P8" s="221">
        <v>0</v>
      </c>
      <c r="Q8" s="221">
        <v>0</v>
      </c>
      <c r="R8" s="221">
        <v>0</v>
      </c>
      <c r="S8" s="223">
        <f t="shared" ref="S8:S43" si="1">ROUND(F8*T8/50,2)</f>
        <v>17.66</v>
      </c>
      <c r="T8" s="220">
        <v>162</v>
      </c>
      <c r="U8" s="80" t="s">
        <v>4</v>
      </c>
    </row>
    <row r="9" spans="1:21" ht="20.100000000000001" hidden="1" customHeight="1">
      <c r="A9" s="218">
        <v>4</v>
      </c>
      <c r="B9" s="147" t="s">
        <v>435</v>
      </c>
      <c r="C9" s="220">
        <f>ESTIMATE!I56</f>
        <v>0</v>
      </c>
      <c r="D9" s="147"/>
      <c r="E9" s="147"/>
      <c r="F9" s="220">
        <f t="shared" si="0"/>
        <v>0</v>
      </c>
      <c r="G9" s="220" t="s">
        <v>409</v>
      </c>
      <c r="H9" s="80">
        <f>ROUND(F9*0.9,2)</f>
        <v>0</v>
      </c>
      <c r="I9" s="221">
        <v>0</v>
      </c>
      <c r="J9" s="221">
        <v>0</v>
      </c>
      <c r="K9" s="218">
        <v>0</v>
      </c>
      <c r="L9" s="80">
        <f t="shared" ref="L9:L20" si="2">ROUND(F9*0.45,2)</f>
        <v>0</v>
      </c>
      <c r="M9" s="218">
        <v>0</v>
      </c>
      <c r="N9" s="218">
        <v>0</v>
      </c>
      <c r="O9" s="221">
        <v>0</v>
      </c>
      <c r="P9" s="221">
        <v>0</v>
      </c>
      <c r="Q9" s="221">
        <v>0</v>
      </c>
      <c r="R9" s="221">
        <v>0</v>
      </c>
      <c r="S9" s="223">
        <f t="shared" si="1"/>
        <v>0</v>
      </c>
      <c r="T9" s="220">
        <v>129.6</v>
      </c>
      <c r="U9" s="80" t="s">
        <v>4</v>
      </c>
    </row>
    <row r="10" spans="1:21" ht="20.100000000000001" customHeight="1">
      <c r="A10" s="218">
        <v>3</v>
      </c>
      <c r="B10" s="147" t="s">
        <v>130</v>
      </c>
      <c r="C10" s="220">
        <f>ESTIMATE!I96</f>
        <v>0</v>
      </c>
      <c r="D10" s="147"/>
      <c r="E10" s="147"/>
      <c r="F10" s="220">
        <f t="shared" si="0"/>
        <v>0</v>
      </c>
      <c r="G10" s="220" t="s">
        <v>409</v>
      </c>
      <c r="H10" s="221">
        <v>0</v>
      </c>
      <c r="I10" s="80">
        <f t="shared" ref="I10:I20" si="3">ROUND(F10*0.9,2)</f>
        <v>0</v>
      </c>
      <c r="J10" s="221">
        <v>0</v>
      </c>
      <c r="K10" s="218">
        <v>0</v>
      </c>
      <c r="L10" s="80">
        <f t="shared" si="2"/>
        <v>0</v>
      </c>
      <c r="M10" s="218">
        <v>0</v>
      </c>
      <c r="N10" s="218">
        <v>0</v>
      </c>
      <c r="O10" s="221">
        <v>0</v>
      </c>
      <c r="P10" s="221">
        <v>0</v>
      </c>
      <c r="Q10" s="221">
        <v>0</v>
      </c>
      <c r="R10" s="221">
        <v>0</v>
      </c>
      <c r="S10" s="223">
        <f t="shared" si="1"/>
        <v>0</v>
      </c>
      <c r="T10" s="220">
        <f>'DATA 2024-25'!E139</f>
        <v>330</v>
      </c>
      <c r="U10" s="80" t="s">
        <v>4</v>
      </c>
    </row>
    <row r="11" spans="1:21" ht="20.100000000000001" hidden="1" customHeight="1">
      <c r="A11" s="218">
        <v>4</v>
      </c>
      <c r="B11" s="147" t="s">
        <v>131</v>
      </c>
      <c r="C11" s="220">
        <f>ESTIMATE!I100</f>
        <v>0</v>
      </c>
      <c r="D11" s="147"/>
      <c r="E11" s="147"/>
      <c r="F11" s="220">
        <f t="shared" si="0"/>
        <v>0</v>
      </c>
      <c r="G11" s="220" t="s">
        <v>409</v>
      </c>
      <c r="H11" s="221">
        <v>0</v>
      </c>
      <c r="I11" s="80">
        <f t="shared" si="3"/>
        <v>0</v>
      </c>
      <c r="J11" s="221">
        <v>0</v>
      </c>
      <c r="K11" s="218">
        <v>0</v>
      </c>
      <c r="L11" s="80">
        <f t="shared" si="2"/>
        <v>0</v>
      </c>
      <c r="M11" s="218">
        <v>0</v>
      </c>
      <c r="N11" s="218">
        <v>0</v>
      </c>
      <c r="O11" s="221">
        <v>0</v>
      </c>
      <c r="P11" s="221">
        <v>0</v>
      </c>
      <c r="Q11" s="221">
        <v>0</v>
      </c>
      <c r="R11" s="221">
        <v>0</v>
      </c>
      <c r="S11" s="223">
        <f t="shared" si="1"/>
        <v>0</v>
      </c>
      <c r="T11" s="220">
        <f>$T$10</f>
        <v>330</v>
      </c>
      <c r="U11" s="80" t="s">
        <v>4</v>
      </c>
    </row>
    <row r="12" spans="1:21" ht="20.100000000000001" customHeight="1">
      <c r="A12" s="218">
        <v>4</v>
      </c>
      <c r="B12" s="147" t="s">
        <v>125</v>
      </c>
      <c r="C12" s="220">
        <f>ESTIMATE!I106</f>
        <v>0</v>
      </c>
      <c r="D12" s="220">
        <f>ESTIMATE!I528</f>
        <v>0</v>
      </c>
      <c r="E12" s="220">
        <f>ESTIMATE!I933</f>
        <v>0</v>
      </c>
      <c r="F12" s="220">
        <f t="shared" si="0"/>
        <v>0</v>
      </c>
      <c r="G12" s="220" t="s">
        <v>409</v>
      </c>
      <c r="H12" s="221">
        <v>0</v>
      </c>
      <c r="I12" s="80">
        <f t="shared" si="3"/>
        <v>0</v>
      </c>
      <c r="J12" s="221">
        <v>0</v>
      </c>
      <c r="K12" s="218">
        <v>0</v>
      </c>
      <c r="L12" s="80">
        <f t="shared" si="2"/>
        <v>0</v>
      </c>
      <c r="M12" s="218">
        <v>0</v>
      </c>
      <c r="N12" s="218">
        <v>0</v>
      </c>
      <c r="O12" s="221">
        <v>0</v>
      </c>
      <c r="P12" s="221">
        <v>0</v>
      </c>
      <c r="Q12" s="221">
        <v>0</v>
      </c>
      <c r="R12" s="221">
        <v>0</v>
      </c>
      <c r="S12" s="223">
        <f t="shared" si="1"/>
        <v>0</v>
      </c>
      <c r="T12" s="220">
        <f t="shared" ref="T12:T20" si="4">$T$10</f>
        <v>330</v>
      </c>
      <c r="U12" s="80" t="s">
        <v>4</v>
      </c>
    </row>
    <row r="13" spans="1:21" ht="20.100000000000001" customHeight="1">
      <c r="A13" s="218">
        <v>5</v>
      </c>
      <c r="B13" s="147" t="s">
        <v>126</v>
      </c>
      <c r="C13" s="220">
        <f>ESTIMATE!I113</f>
        <v>0</v>
      </c>
      <c r="D13" s="147"/>
      <c r="E13" s="147"/>
      <c r="F13" s="220">
        <f t="shared" si="0"/>
        <v>0</v>
      </c>
      <c r="G13" s="220" t="s">
        <v>409</v>
      </c>
      <c r="H13" s="221">
        <v>0</v>
      </c>
      <c r="I13" s="80">
        <f t="shared" si="3"/>
        <v>0</v>
      </c>
      <c r="J13" s="221">
        <v>0</v>
      </c>
      <c r="K13" s="218">
        <v>0</v>
      </c>
      <c r="L13" s="80">
        <f t="shared" si="2"/>
        <v>0</v>
      </c>
      <c r="M13" s="218">
        <v>0</v>
      </c>
      <c r="N13" s="218">
        <v>0</v>
      </c>
      <c r="O13" s="221">
        <v>0</v>
      </c>
      <c r="P13" s="221">
        <v>0</v>
      </c>
      <c r="Q13" s="221">
        <v>0</v>
      </c>
      <c r="R13" s="221">
        <v>0</v>
      </c>
      <c r="S13" s="223">
        <f t="shared" si="1"/>
        <v>0</v>
      </c>
      <c r="T13" s="220">
        <f t="shared" si="4"/>
        <v>330</v>
      </c>
      <c r="U13" s="80" t="s">
        <v>4</v>
      </c>
    </row>
    <row r="14" spans="1:21" ht="20.100000000000001" customHeight="1">
      <c r="A14" s="218">
        <v>6</v>
      </c>
      <c r="B14" s="147" t="s">
        <v>129</v>
      </c>
      <c r="C14" s="220">
        <f>ESTIMATE!I121</f>
        <v>3.3499999999999996</v>
      </c>
      <c r="D14" s="220">
        <f>ESTIMATE!I534</f>
        <v>0</v>
      </c>
      <c r="E14" s="220">
        <f>ESTIMATE!I939</f>
        <v>0</v>
      </c>
      <c r="F14" s="220">
        <f t="shared" si="0"/>
        <v>3.3499999999999996</v>
      </c>
      <c r="G14" s="220" t="s">
        <v>409</v>
      </c>
      <c r="H14" s="221">
        <v>0</v>
      </c>
      <c r="I14" s="80">
        <f t="shared" si="3"/>
        <v>3.02</v>
      </c>
      <c r="J14" s="221">
        <v>0</v>
      </c>
      <c r="K14" s="218">
        <v>0</v>
      </c>
      <c r="L14" s="80">
        <f t="shared" si="2"/>
        <v>1.51</v>
      </c>
      <c r="M14" s="218">
        <v>0</v>
      </c>
      <c r="N14" s="218">
        <v>0</v>
      </c>
      <c r="O14" s="221">
        <v>0</v>
      </c>
      <c r="P14" s="221">
        <v>0</v>
      </c>
      <c r="Q14" s="221">
        <v>0</v>
      </c>
      <c r="R14" s="221">
        <v>0</v>
      </c>
      <c r="S14" s="223">
        <f t="shared" si="1"/>
        <v>22.11</v>
      </c>
      <c r="T14" s="220">
        <f t="shared" si="4"/>
        <v>330</v>
      </c>
      <c r="U14" s="80" t="s">
        <v>4</v>
      </c>
    </row>
    <row r="15" spans="1:21" ht="20.100000000000001" hidden="1" customHeight="1">
      <c r="A15" s="218">
        <v>9</v>
      </c>
      <c r="B15" s="224" t="s">
        <v>240</v>
      </c>
      <c r="C15" s="220">
        <f>ROUND(ESTIMATE!I127*0.15,2)</f>
        <v>0</v>
      </c>
      <c r="D15" s="220">
        <f>ROUND(ESTIMATE!I542*0.15,2)</f>
        <v>0</v>
      </c>
      <c r="E15" s="220">
        <f>ROUND(ESTIMATE!I947*0.15,2)</f>
        <v>0</v>
      </c>
      <c r="F15" s="220">
        <f>SUM(C15:E15)</f>
        <v>0</v>
      </c>
      <c r="G15" s="220" t="s">
        <v>410</v>
      </c>
      <c r="H15" s="221">
        <v>0</v>
      </c>
      <c r="I15" s="80">
        <f t="shared" si="3"/>
        <v>0</v>
      </c>
      <c r="J15" s="221">
        <v>0</v>
      </c>
      <c r="K15" s="218">
        <v>0</v>
      </c>
      <c r="L15" s="80">
        <f t="shared" si="2"/>
        <v>0</v>
      </c>
      <c r="M15" s="218">
        <v>0</v>
      </c>
      <c r="N15" s="218">
        <v>0</v>
      </c>
      <c r="O15" s="221">
        <v>0</v>
      </c>
      <c r="P15" s="221">
        <v>0</v>
      </c>
      <c r="Q15" s="221">
        <v>0</v>
      </c>
      <c r="R15" s="221">
        <v>0</v>
      </c>
      <c r="S15" s="223">
        <f>ROUND(F15*T15/50,2)</f>
        <v>0</v>
      </c>
      <c r="T15" s="220">
        <f>ROUND(T14,2)</f>
        <v>330</v>
      </c>
      <c r="U15" s="80" t="s">
        <v>4</v>
      </c>
    </row>
    <row r="16" spans="1:21" ht="20.100000000000001" customHeight="1">
      <c r="A16" s="218">
        <v>7</v>
      </c>
      <c r="B16" s="224" t="s">
        <v>241</v>
      </c>
      <c r="C16" s="220">
        <f>ROUND(ESTIMATE!I131*0.125,2)</f>
        <v>8.65</v>
      </c>
      <c r="D16" s="220">
        <f>ROUND(ESTIMATE!I546*0.125,2)</f>
        <v>0</v>
      </c>
      <c r="E16" s="220">
        <f>ROUND(ESTIMATE!I952*0.125,2)</f>
        <v>0</v>
      </c>
      <c r="F16" s="220">
        <f t="shared" si="0"/>
        <v>8.65</v>
      </c>
      <c r="G16" s="220" t="s">
        <v>410</v>
      </c>
      <c r="H16" s="221">
        <v>0</v>
      </c>
      <c r="I16" s="80">
        <f t="shared" si="3"/>
        <v>7.79</v>
      </c>
      <c r="J16" s="221">
        <v>0</v>
      </c>
      <c r="K16" s="218">
        <v>0</v>
      </c>
      <c r="L16" s="80">
        <f t="shared" si="2"/>
        <v>3.89</v>
      </c>
      <c r="M16" s="218">
        <v>0</v>
      </c>
      <c r="N16" s="218">
        <v>0</v>
      </c>
      <c r="O16" s="221">
        <v>0</v>
      </c>
      <c r="P16" s="221">
        <v>0</v>
      </c>
      <c r="Q16" s="221">
        <v>0</v>
      </c>
      <c r="R16" s="221">
        <v>0</v>
      </c>
      <c r="S16" s="223">
        <f t="shared" si="1"/>
        <v>57.09</v>
      </c>
      <c r="T16" s="220">
        <f>ROUND(T14,2)</f>
        <v>330</v>
      </c>
      <c r="U16" s="80" t="s">
        <v>4</v>
      </c>
    </row>
    <row r="17" spans="1:21" ht="20.100000000000001" hidden="1" customHeight="1">
      <c r="A17" s="218">
        <v>14</v>
      </c>
      <c r="B17" s="224" t="s">
        <v>591</v>
      </c>
      <c r="C17" s="220">
        <f>ROUND(ESTIMATE!I136*0.1,2)</f>
        <v>0</v>
      </c>
      <c r="D17" s="220">
        <f>ROUND(ESTIMATE!I551*0.1,2)</f>
        <v>0</v>
      </c>
      <c r="E17" s="220">
        <f>ROUND(ESTIMATE!I957*0.1,2)</f>
        <v>0</v>
      </c>
      <c r="F17" s="220">
        <f t="shared" si="0"/>
        <v>0</v>
      </c>
      <c r="G17" s="220" t="s">
        <v>410</v>
      </c>
      <c r="H17" s="221">
        <v>0</v>
      </c>
      <c r="I17" s="80">
        <f t="shared" si="3"/>
        <v>0</v>
      </c>
      <c r="J17" s="221">
        <v>0</v>
      </c>
      <c r="K17" s="218">
        <v>0</v>
      </c>
      <c r="L17" s="80">
        <f t="shared" si="2"/>
        <v>0</v>
      </c>
      <c r="M17" s="218">
        <v>0</v>
      </c>
      <c r="N17" s="218">
        <v>0</v>
      </c>
      <c r="O17" s="221">
        <v>0</v>
      </c>
      <c r="P17" s="221">
        <v>0</v>
      </c>
      <c r="Q17" s="221">
        <v>0</v>
      </c>
      <c r="R17" s="221">
        <v>0</v>
      </c>
      <c r="S17" s="223">
        <f t="shared" si="1"/>
        <v>0</v>
      </c>
      <c r="T17" s="220">
        <f>T16</f>
        <v>330</v>
      </c>
      <c r="U17" s="80" t="s">
        <v>4</v>
      </c>
    </row>
    <row r="18" spans="1:21" ht="20.100000000000001" hidden="1" customHeight="1">
      <c r="A18" s="218">
        <v>9</v>
      </c>
      <c r="B18" s="224" t="s">
        <v>1013</v>
      </c>
      <c r="C18" s="220">
        <f>ROUND(ESTIMATE!I142*0.05,2)</f>
        <v>0</v>
      </c>
      <c r="D18" s="220">
        <f>ROUND(ESTIMATE!I562*0.05,2)</f>
        <v>0</v>
      </c>
      <c r="E18" s="220">
        <f>ROUND(ESTIMATE!I968*0.05,2)</f>
        <v>0</v>
      </c>
      <c r="F18" s="220">
        <f t="shared" ref="F18" si="5">SUM(C18:E18)</f>
        <v>0</v>
      </c>
      <c r="G18" s="220" t="s">
        <v>410</v>
      </c>
      <c r="H18" s="221">
        <v>0</v>
      </c>
      <c r="I18" s="80">
        <f t="shared" si="3"/>
        <v>0</v>
      </c>
      <c r="J18" s="221">
        <v>0</v>
      </c>
      <c r="K18" s="218">
        <v>0</v>
      </c>
      <c r="L18" s="80">
        <f t="shared" si="2"/>
        <v>0</v>
      </c>
      <c r="M18" s="218">
        <v>0</v>
      </c>
      <c r="N18" s="218">
        <v>0</v>
      </c>
      <c r="O18" s="221">
        <v>0</v>
      </c>
      <c r="P18" s="221">
        <v>0</v>
      </c>
      <c r="Q18" s="221">
        <v>0</v>
      </c>
      <c r="R18" s="221">
        <v>0</v>
      </c>
      <c r="S18" s="223">
        <f t="shared" ref="S18" si="6">ROUND(F18*T18/50,2)</f>
        <v>0</v>
      </c>
      <c r="T18" s="220">
        <f>T17</f>
        <v>330</v>
      </c>
      <c r="U18" s="80" t="s">
        <v>4</v>
      </c>
    </row>
    <row r="19" spans="1:21" ht="20.100000000000001" hidden="1" customHeight="1">
      <c r="A19" s="218">
        <v>16</v>
      </c>
      <c r="B19" s="224" t="s">
        <v>1225</v>
      </c>
      <c r="C19" s="220">
        <f>ROUND(ESTIMATE!I153*0.025,2)</f>
        <v>0</v>
      </c>
      <c r="D19" s="220">
        <f>ROUND(ESTIMATE!I573*0.025,2)</f>
        <v>0</v>
      </c>
      <c r="E19" s="220">
        <f>ROUND(ESTIMATE!I979*0.025,2)</f>
        <v>0</v>
      </c>
      <c r="F19" s="220">
        <f t="shared" ref="F19" si="7">SUM(C19:E19)</f>
        <v>0</v>
      </c>
      <c r="G19" s="220" t="s">
        <v>410</v>
      </c>
      <c r="H19" s="221">
        <v>0</v>
      </c>
      <c r="I19" s="80">
        <f t="shared" si="3"/>
        <v>0</v>
      </c>
      <c r="J19" s="221">
        <v>0</v>
      </c>
      <c r="K19" s="218">
        <v>0</v>
      </c>
      <c r="L19" s="80">
        <f t="shared" si="2"/>
        <v>0</v>
      </c>
      <c r="M19" s="218">
        <v>0</v>
      </c>
      <c r="N19" s="218">
        <v>0</v>
      </c>
      <c r="O19" s="221">
        <v>0</v>
      </c>
      <c r="P19" s="221">
        <v>0</v>
      </c>
      <c r="Q19" s="221">
        <v>0</v>
      </c>
      <c r="R19" s="221">
        <v>0</v>
      </c>
      <c r="S19" s="223">
        <f t="shared" ref="S19" si="8">ROUND(F19*T19/50,2)</f>
        <v>0</v>
      </c>
      <c r="T19" s="220">
        <f>T18</f>
        <v>330</v>
      </c>
      <c r="U19" s="80" t="s">
        <v>4</v>
      </c>
    </row>
    <row r="20" spans="1:21" ht="20.100000000000001" customHeight="1">
      <c r="A20" s="218">
        <v>8</v>
      </c>
      <c r="B20" s="147" t="s">
        <v>127</v>
      </c>
      <c r="C20" s="220">
        <f>ESTIMATE!I160</f>
        <v>0.6</v>
      </c>
      <c r="D20" s="220">
        <f>ESTIMATE!I578</f>
        <v>0</v>
      </c>
      <c r="E20" s="220">
        <f>ESTIMATE!I987</f>
        <v>0</v>
      </c>
      <c r="F20" s="220">
        <f>SUM(C20:E20)</f>
        <v>0.6</v>
      </c>
      <c r="G20" s="220" t="s">
        <v>409</v>
      </c>
      <c r="H20" s="221">
        <v>0</v>
      </c>
      <c r="I20" s="80">
        <f t="shared" si="3"/>
        <v>0.54</v>
      </c>
      <c r="J20" s="221">
        <v>0</v>
      </c>
      <c r="K20" s="218">
        <v>0</v>
      </c>
      <c r="L20" s="80">
        <f t="shared" si="2"/>
        <v>0.27</v>
      </c>
      <c r="M20" s="218">
        <v>0</v>
      </c>
      <c r="N20" s="218">
        <v>0</v>
      </c>
      <c r="O20" s="221">
        <v>0</v>
      </c>
      <c r="P20" s="221">
        <v>0</v>
      </c>
      <c r="Q20" s="221">
        <v>0</v>
      </c>
      <c r="R20" s="221">
        <v>0</v>
      </c>
      <c r="S20" s="223">
        <f>ROUND(F20*T20/50,2)</f>
        <v>3.96</v>
      </c>
      <c r="T20" s="220">
        <f t="shared" si="4"/>
        <v>330</v>
      </c>
      <c r="U20" s="80" t="s">
        <v>4</v>
      </c>
    </row>
    <row r="21" spans="1:21" ht="20.100000000000001" customHeight="1">
      <c r="A21" s="218">
        <v>9</v>
      </c>
      <c r="B21" s="147" t="s">
        <v>128</v>
      </c>
      <c r="C21" s="220">
        <f>ESTIMATE!I165</f>
        <v>9.6</v>
      </c>
      <c r="D21" s="220">
        <f>ESTIMATE!I582</f>
        <v>0</v>
      </c>
      <c r="E21" s="220">
        <f>ESTIMATE!I992</f>
        <v>0</v>
      </c>
      <c r="F21" s="220">
        <f>SUM(C21:E21)</f>
        <v>9.6</v>
      </c>
      <c r="G21" s="220" t="s">
        <v>82</v>
      </c>
      <c r="H21" s="221">
        <v>0</v>
      </c>
      <c r="I21" s="80">
        <f>ROUND(F21*0.0375*0.9,2)</f>
        <v>0.32</v>
      </c>
      <c r="J21" s="221">
        <v>0</v>
      </c>
      <c r="K21" s="218">
        <v>0</v>
      </c>
      <c r="L21" s="80">
        <f>ROUND(F21*0.0375*0.45,2)</f>
        <v>0.16</v>
      </c>
      <c r="M21" s="218">
        <v>0</v>
      </c>
      <c r="N21" s="218">
        <v>0</v>
      </c>
      <c r="O21" s="221">
        <v>0</v>
      </c>
      <c r="P21" s="221">
        <v>0</v>
      </c>
      <c r="Q21" s="221">
        <v>0</v>
      </c>
      <c r="R21" s="221">
        <v>0</v>
      </c>
      <c r="S21" s="223">
        <f>ROUND(F21*T21/50,2)</f>
        <v>2.38</v>
      </c>
      <c r="T21" s="225">
        <f>T20*0.0375</f>
        <v>12.375</v>
      </c>
      <c r="U21" s="80" t="s">
        <v>4</v>
      </c>
    </row>
    <row r="22" spans="1:21" ht="20.100000000000001" customHeight="1">
      <c r="A22" s="218">
        <v>10</v>
      </c>
      <c r="B22" s="224" t="s">
        <v>1226</v>
      </c>
      <c r="C22" s="220">
        <f>ESTIMATE!I169</f>
        <v>69.19</v>
      </c>
      <c r="D22" s="220">
        <f>ESTIMATE!I588</f>
        <v>0</v>
      </c>
      <c r="E22" s="220">
        <f>ESTIMATE!I997</f>
        <v>0</v>
      </c>
      <c r="F22" s="220">
        <f t="shared" ref="F22" si="9">SUM(C22:E22)</f>
        <v>69.19</v>
      </c>
      <c r="G22" s="220" t="s">
        <v>410</v>
      </c>
      <c r="H22" s="221">
        <v>0</v>
      </c>
      <c r="I22" s="221">
        <v>0</v>
      </c>
      <c r="J22" s="221">
        <v>0</v>
      </c>
      <c r="K22" s="218">
        <v>0</v>
      </c>
      <c r="L22" s="221">
        <v>0</v>
      </c>
      <c r="M22" s="218">
        <v>0</v>
      </c>
      <c r="N22" s="80">
        <f>ROUND(F22*0.015*1.05,2)</f>
        <v>1.0900000000000001</v>
      </c>
      <c r="O22" s="221">
        <v>0</v>
      </c>
      <c r="P22" s="221">
        <v>0</v>
      </c>
      <c r="Q22" s="221">
        <v>0</v>
      </c>
      <c r="R22" s="221">
        <v>0</v>
      </c>
      <c r="S22" s="223">
        <f t="shared" ref="S22" si="10">ROUND(F22*T22/50,2)</f>
        <v>9.9600000000000009</v>
      </c>
      <c r="T22" s="220">
        <v>7.2</v>
      </c>
      <c r="U22" s="80" t="s">
        <v>4</v>
      </c>
    </row>
    <row r="23" spans="1:21" ht="20.100000000000001" hidden="1" customHeight="1">
      <c r="A23" s="218">
        <v>12</v>
      </c>
      <c r="B23" s="224" t="s">
        <v>1004</v>
      </c>
      <c r="C23" s="220">
        <f>ESTIMATE!I175</f>
        <v>0</v>
      </c>
      <c r="D23" s="220">
        <f>ESTIMATE!I594</f>
        <v>0</v>
      </c>
      <c r="E23" s="220">
        <f>ESTIMATE!I1003</f>
        <v>0</v>
      </c>
      <c r="F23" s="220">
        <f>SUM(C23:E23)</f>
        <v>0</v>
      </c>
      <c r="G23" s="220" t="s">
        <v>410</v>
      </c>
      <c r="H23" s="221">
        <v>0</v>
      </c>
      <c r="I23" s="221">
        <v>0</v>
      </c>
      <c r="J23" s="221">
        <v>0</v>
      </c>
      <c r="K23" s="218">
        <v>0</v>
      </c>
      <c r="L23" s="221">
        <v>0</v>
      </c>
      <c r="M23" s="218">
        <v>0</v>
      </c>
      <c r="N23" s="80">
        <f>ROUND(ROUND((0.021*1.05),3)*ROUND(F23,2),2)</f>
        <v>0</v>
      </c>
      <c r="O23" s="221">
        <v>0</v>
      </c>
      <c r="P23" s="221">
        <v>0</v>
      </c>
      <c r="Q23" s="221">
        <v>0</v>
      </c>
      <c r="R23" s="221">
        <v>0</v>
      </c>
      <c r="S23" s="223">
        <f>ROUND(F23*T23/50,2)</f>
        <v>0</v>
      </c>
      <c r="T23" s="220">
        <v>10.08</v>
      </c>
      <c r="U23" s="80" t="s">
        <v>4</v>
      </c>
    </row>
    <row r="24" spans="1:21" ht="20.100000000000001" hidden="1" customHeight="1">
      <c r="A24" s="218">
        <v>12</v>
      </c>
      <c r="B24" s="147" t="s">
        <v>960</v>
      </c>
      <c r="C24" s="220">
        <f>ESTIMATE!I185</f>
        <v>0</v>
      </c>
      <c r="D24" s="220"/>
      <c r="E24" s="220"/>
      <c r="F24" s="220">
        <f t="shared" ref="F24" si="11">SUM(C24:E24)</f>
        <v>0</v>
      </c>
      <c r="G24" s="220" t="s">
        <v>409</v>
      </c>
      <c r="H24" s="221">
        <v>0</v>
      </c>
      <c r="I24" s="221">
        <v>0</v>
      </c>
      <c r="J24" s="221">
        <v>0</v>
      </c>
      <c r="K24" s="80">
        <f>ROUND(F24*1.1,2)</f>
        <v>0</v>
      </c>
      <c r="L24" s="221">
        <v>0</v>
      </c>
      <c r="M24" s="80">
        <f>ROUND(F24*0.33,2)</f>
        <v>0</v>
      </c>
      <c r="N24" s="221">
        <v>0</v>
      </c>
      <c r="O24" s="221">
        <v>0</v>
      </c>
      <c r="P24" s="221">
        <v>0</v>
      </c>
      <c r="Q24" s="80"/>
      <c r="R24" s="221">
        <v>0</v>
      </c>
      <c r="S24" s="223">
        <f t="shared" ref="S24" si="12">ROUND(F24*T24/50,2)</f>
        <v>0</v>
      </c>
      <c r="T24" s="220">
        <v>59.4</v>
      </c>
      <c r="U24" s="80" t="s">
        <v>4</v>
      </c>
    </row>
    <row r="25" spans="1:21" ht="20.100000000000001" customHeight="1">
      <c r="A25" s="218">
        <v>11</v>
      </c>
      <c r="B25" s="147" t="s">
        <v>132</v>
      </c>
      <c r="C25" s="220">
        <f>ESTIMATE!I212</f>
        <v>19.079999999999998</v>
      </c>
      <c r="D25" s="220">
        <f>ESTIMATE!I606</f>
        <v>0</v>
      </c>
      <c r="E25" s="220">
        <f>ESTIMATE!I1020</f>
        <v>0</v>
      </c>
      <c r="F25" s="220">
        <f>SUM(C25:E25)</f>
        <v>19.079999999999998</v>
      </c>
      <c r="G25" s="220" t="s">
        <v>409</v>
      </c>
      <c r="H25" s="221">
        <v>0</v>
      </c>
      <c r="I25" s="221">
        <v>0</v>
      </c>
      <c r="J25" s="221">
        <v>0</v>
      </c>
      <c r="K25" s="218">
        <v>0</v>
      </c>
      <c r="L25" s="221">
        <v>0</v>
      </c>
      <c r="M25" s="80">
        <f>ROUND(F25*0.2,2)</f>
        <v>3.82</v>
      </c>
      <c r="N25" s="221">
        <v>0</v>
      </c>
      <c r="O25" s="221">
        <v>0</v>
      </c>
      <c r="P25" s="221">
        <v>0</v>
      </c>
      <c r="Q25" s="80">
        <f>ROUND(F25*512/1000,2)</f>
        <v>9.77</v>
      </c>
      <c r="R25" s="221">
        <v>0</v>
      </c>
      <c r="S25" s="223">
        <f>ROUND(F25*T25/50,2)</f>
        <v>13.74</v>
      </c>
      <c r="T25" s="220">
        <v>36</v>
      </c>
      <c r="U25" s="80" t="s">
        <v>4</v>
      </c>
    </row>
    <row r="26" spans="1:21" ht="20.100000000000001" customHeight="1">
      <c r="A26" s="218">
        <v>12</v>
      </c>
      <c r="B26" s="147" t="s">
        <v>853</v>
      </c>
      <c r="C26" s="220">
        <f>ESTIMATE!I220</f>
        <v>0</v>
      </c>
      <c r="D26" s="220">
        <f>ESTIMATE!I631</f>
        <v>0</v>
      </c>
      <c r="E26" s="220">
        <f>ESTIMATE!I1029</f>
        <v>0</v>
      </c>
      <c r="F26" s="220">
        <f>SUM(C26:E26)</f>
        <v>0</v>
      </c>
      <c r="G26" s="220" t="s">
        <v>409</v>
      </c>
      <c r="H26" s="221">
        <v>0</v>
      </c>
      <c r="I26" s="221">
        <v>0</v>
      </c>
      <c r="J26" s="221">
        <v>0</v>
      </c>
      <c r="K26" s="218">
        <v>0</v>
      </c>
      <c r="L26" s="221">
        <v>0</v>
      </c>
      <c r="M26" s="80">
        <f>ROUND(F26*0.2,2)</f>
        <v>0</v>
      </c>
      <c r="N26" s="221">
        <v>0</v>
      </c>
      <c r="O26" s="221">
        <v>0</v>
      </c>
      <c r="P26" s="221">
        <v>0</v>
      </c>
      <c r="Q26" s="80">
        <f>ROUND(F26*512/1000,2)</f>
        <v>0</v>
      </c>
      <c r="R26" s="221">
        <v>0</v>
      </c>
      <c r="S26" s="223">
        <f>ROUND(F26*T26/50,2)</f>
        <v>0</v>
      </c>
      <c r="T26" s="220">
        <v>48</v>
      </c>
      <c r="U26" s="80" t="s">
        <v>4</v>
      </c>
    </row>
    <row r="27" spans="1:21" ht="20.100000000000001" hidden="1" customHeight="1">
      <c r="A27" s="218">
        <v>16</v>
      </c>
      <c r="B27" s="147" t="s">
        <v>854</v>
      </c>
      <c r="C27" s="220">
        <f>ESTIMATE!I226</f>
        <v>0</v>
      </c>
      <c r="D27" s="220">
        <f>ESTIMATE!I658</f>
        <v>0</v>
      </c>
      <c r="E27" s="220">
        <f>ESTIMATE!I1034</f>
        <v>0</v>
      </c>
      <c r="F27" s="220">
        <f>SUM(C27:E27)</f>
        <v>0</v>
      </c>
      <c r="G27" s="220" t="s">
        <v>410</v>
      </c>
      <c r="H27" s="221">
        <v>0</v>
      </c>
      <c r="I27" s="221">
        <v>0</v>
      </c>
      <c r="J27" s="221">
        <v>0</v>
      </c>
      <c r="K27" s="218">
        <v>0</v>
      </c>
      <c r="L27" s="221">
        <v>0</v>
      </c>
      <c r="M27" s="80">
        <f>ROUND(F27*0.022,2)</f>
        <v>0</v>
      </c>
      <c r="N27" s="221">
        <v>0</v>
      </c>
      <c r="O27" s="221">
        <v>0</v>
      </c>
      <c r="P27" s="221">
        <v>0</v>
      </c>
      <c r="Q27" s="80">
        <f>ROUND(F27*512*0.1/1000,2)</f>
        <v>0</v>
      </c>
      <c r="R27" s="221">
        <v>0</v>
      </c>
      <c r="S27" s="223">
        <f>ROUND(F27*T27/50,2)</f>
        <v>0</v>
      </c>
      <c r="T27" s="220">
        <v>10.6</v>
      </c>
      <c r="U27" s="80" t="s">
        <v>4</v>
      </c>
    </row>
    <row r="28" spans="1:21" ht="20.100000000000001" hidden="1" customHeight="1">
      <c r="A28" s="218">
        <v>16</v>
      </c>
      <c r="B28" s="147" t="s">
        <v>980</v>
      </c>
      <c r="C28" s="220">
        <f>ESTIMATE!I234</f>
        <v>0</v>
      </c>
      <c r="D28" s="220">
        <f>ESTIMATE!I669</f>
        <v>0</v>
      </c>
      <c r="E28" s="220">
        <f>ESTIMATE!I1045</f>
        <v>0</v>
      </c>
      <c r="F28" s="220">
        <f t="shared" ref="F28" si="13">SUM(C28:E28)</f>
        <v>0</v>
      </c>
      <c r="G28" s="220" t="s">
        <v>409</v>
      </c>
      <c r="H28" s="221">
        <v>0</v>
      </c>
      <c r="I28" s="221">
        <v>0</v>
      </c>
      <c r="J28" s="221">
        <v>0</v>
      </c>
      <c r="K28" s="218">
        <v>0</v>
      </c>
      <c r="L28" s="221">
        <v>0</v>
      </c>
      <c r="M28" s="80">
        <f>ROUND(F28*0.1*1.05,2)</f>
        <v>0</v>
      </c>
      <c r="N28" s="221">
        <v>0</v>
      </c>
      <c r="O28" s="221">
        <v>0</v>
      </c>
      <c r="P28" s="221">
        <v>0</v>
      </c>
      <c r="Q28" s="80">
        <f>ROUND(F28*110/1000,2)</f>
        <v>0</v>
      </c>
      <c r="R28" s="221">
        <v>0</v>
      </c>
      <c r="S28" s="223">
        <f>ROUND(F28*T28/50,2)</f>
        <v>0</v>
      </c>
      <c r="T28" s="220">
        <v>24</v>
      </c>
      <c r="U28" s="80" t="s">
        <v>4</v>
      </c>
    </row>
    <row r="29" spans="1:21" ht="20.100000000000001" hidden="1" customHeight="1">
      <c r="A29" s="218">
        <v>26</v>
      </c>
      <c r="B29" s="224" t="s">
        <v>981</v>
      </c>
      <c r="C29" s="220">
        <f>ESTIMATE!I239</f>
        <v>0</v>
      </c>
      <c r="D29" s="220">
        <f>ESTIMATE!I675</f>
        <v>0</v>
      </c>
      <c r="E29" s="220"/>
      <c r="F29" s="220">
        <f t="shared" ref="F29" si="14">SUM(C29:E29)</f>
        <v>0</v>
      </c>
      <c r="G29" s="220" t="s">
        <v>410</v>
      </c>
      <c r="H29" s="221">
        <v>0</v>
      </c>
      <c r="I29" s="221">
        <v>0</v>
      </c>
      <c r="J29" s="221">
        <v>0</v>
      </c>
      <c r="K29" s="218">
        <v>0</v>
      </c>
      <c r="L29" s="221">
        <v>0</v>
      </c>
      <c r="M29" s="221">
        <v>0</v>
      </c>
      <c r="N29" s="80">
        <f>ROUND(F29*((0.015*1.05)+(0.025*1.05)),2)</f>
        <v>0</v>
      </c>
      <c r="O29" s="221">
        <v>0</v>
      </c>
      <c r="P29" s="221">
        <v>0</v>
      </c>
      <c r="Q29" s="221">
        <v>0</v>
      </c>
      <c r="R29" s="221">
        <v>0</v>
      </c>
      <c r="S29" s="223">
        <f t="shared" ref="S29" si="15">ROUND(F29*T29/50,2)</f>
        <v>0</v>
      </c>
      <c r="T29" s="220">
        <v>20.89</v>
      </c>
      <c r="U29" s="80" t="s">
        <v>4</v>
      </c>
    </row>
    <row r="30" spans="1:21" ht="20.100000000000001" customHeight="1">
      <c r="A30" s="218">
        <v>13</v>
      </c>
      <c r="B30" s="224" t="s">
        <v>135</v>
      </c>
      <c r="C30" s="220">
        <f>ESTIMATE!I256</f>
        <v>79.63</v>
      </c>
      <c r="D30" s="220">
        <f>ESTIMATE!I683</f>
        <v>0</v>
      </c>
      <c r="E30" s="220">
        <f>ESTIMATE!I1055</f>
        <v>0</v>
      </c>
      <c r="F30" s="220">
        <f t="shared" si="0"/>
        <v>79.63</v>
      </c>
      <c r="G30" s="220" t="s">
        <v>410</v>
      </c>
      <c r="H30" s="221">
        <v>0</v>
      </c>
      <c r="I30" s="221">
        <v>0</v>
      </c>
      <c r="J30" s="221">
        <v>0</v>
      </c>
      <c r="K30" s="218">
        <v>0</v>
      </c>
      <c r="L30" s="221">
        <v>0</v>
      </c>
      <c r="M30" s="221">
        <v>0</v>
      </c>
      <c r="N30" s="80">
        <f>ROUND(F30*0.015*1.05,2)</f>
        <v>1.25</v>
      </c>
      <c r="O30" s="221">
        <v>0</v>
      </c>
      <c r="P30" s="221">
        <v>0</v>
      </c>
      <c r="Q30" s="221">
        <v>0</v>
      </c>
      <c r="R30" s="221">
        <v>0</v>
      </c>
      <c r="S30" s="223">
        <f t="shared" si="1"/>
        <v>11.47</v>
      </c>
      <c r="T30" s="220">
        <v>7.2</v>
      </c>
      <c r="U30" s="80" t="s">
        <v>4</v>
      </c>
    </row>
    <row r="31" spans="1:21" ht="20.100000000000001" hidden="1" customHeight="1">
      <c r="A31" s="218">
        <v>4</v>
      </c>
      <c r="B31" s="224" t="s">
        <v>242</v>
      </c>
      <c r="C31" s="220">
        <f>ESTIMATE!I272</f>
        <v>0</v>
      </c>
      <c r="D31" s="220">
        <f>ESTIMATE!I693</f>
        <v>0</v>
      </c>
      <c r="E31" s="220">
        <f>ESTIMATE!I1096</f>
        <v>0</v>
      </c>
      <c r="F31" s="220">
        <f t="shared" si="0"/>
        <v>0</v>
      </c>
      <c r="G31" s="220" t="s">
        <v>410</v>
      </c>
      <c r="H31" s="221">
        <v>0</v>
      </c>
      <c r="I31" s="221">
        <v>0</v>
      </c>
      <c r="J31" s="221">
        <v>0</v>
      </c>
      <c r="K31" s="218">
        <v>0</v>
      </c>
      <c r="L31" s="221">
        <v>0</v>
      </c>
      <c r="M31" s="221">
        <v>0</v>
      </c>
      <c r="N31" s="80">
        <f>ROUND(ROUND((0.015*1.05),3)*ROUND(F31,2),2)</f>
        <v>0</v>
      </c>
      <c r="O31" s="221">
        <v>0</v>
      </c>
      <c r="P31" s="221">
        <v>0</v>
      </c>
      <c r="Q31" s="221">
        <v>0</v>
      </c>
      <c r="R31" s="221">
        <v>0</v>
      </c>
      <c r="S31" s="223">
        <f t="shared" si="1"/>
        <v>0</v>
      </c>
      <c r="T31" s="220">
        <v>4.32</v>
      </c>
      <c r="U31" s="80" t="s">
        <v>4</v>
      </c>
    </row>
    <row r="32" spans="1:21" ht="20.100000000000001" hidden="1" customHeight="1">
      <c r="A32" s="218">
        <v>5</v>
      </c>
      <c r="B32" s="224" t="s">
        <v>590</v>
      </c>
      <c r="C32" s="220">
        <f>ESTIMATE!I277</f>
        <v>0</v>
      </c>
      <c r="D32" s="220">
        <f>ESTIMATE!I701</f>
        <v>0</v>
      </c>
      <c r="E32" s="220">
        <f>ESTIMATE!I1101</f>
        <v>0</v>
      </c>
      <c r="F32" s="220">
        <f>SUM(C32:E32)</f>
        <v>0</v>
      </c>
      <c r="G32" s="220" t="s">
        <v>410</v>
      </c>
      <c r="H32" s="221">
        <v>0</v>
      </c>
      <c r="I32" s="221">
        <v>0</v>
      </c>
      <c r="J32" s="221">
        <v>0</v>
      </c>
      <c r="K32" s="218">
        <v>0</v>
      </c>
      <c r="L32" s="221">
        <v>0</v>
      </c>
      <c r="M32" s="221">
        <v>0</v>
      </c>
      <c r="N32" s="80">
        <f>ROUND(ROUND((0.021*1.05),3)*ROUND(F32,2),2)</f>
        <v>0</v>
      </c>
      <c r="O32" s="221">
        <v>0</v>
      </c>
      <c r="P32" s="221">
        <v>0</v>
      </c>
      <c r="Q32" s="221">
        <v>0</v>
      </c>
      <c r="R32" s="221">
        <v>0</v>
      </c>
      <c r="S32" s="223">
        <f>ROUND(F32*T32/50,2)</f>
        <v>0</v>
      </c>
      <c r="T32" s="220">
        <v>6.05</v>
      </c>
      <c r="U32" s="80" t="s">
        <v>4</v>
      </c>
    </row>
    <row r="33" spans="1:21" ht="20.100000000000001" customHeight="1">
      <c r="A33" s="218">
        <v>14</v>
      </c>
      <c r="B33" s="224" t="s">
        <v>851</v>
      </c>
      <c r="C33" s="220">
        <f>ESTIMATE!I290</f>
        <v>100.18</v>
      </c>
      <c r="D33" s="220">
        <f>ESTIMATE!I726</f>
        <v>0</v>
      </c>
      <c r="E33" s="220">
        <f>ESTIMATE!I1108</f>
        <v>0</v>
      </c>
      <c r="F33" s="220">
        <f t="shared" si="0"/>
        <v>100.18</v>
      </c>
      <c r="G33" s="220" t="s">
        <v>410</v>
      </c>
      <c r="H33" s="221">
        <v>0</v>
      </c>
      <c r="I33" s="221">
        <v>0</v>
      </c>
      <c r="J33" s="221">
        <v>0</v>
      </c>
      <c r="K33" s="218">
        <v>0</v>
      </c>
      <c r="L33" s="221">
        <v>0</v>
      </c>
      <c r="M33" s="221">
        <v>0</v>
      </c>
      <c r="N33" s="80">
        <f>ROUND(F33*0.015*1,2)</f>
        <v>1.5</v>
      </c>
      <c r="O33" s="221">
        <v>0</v>
      </c>
      <c r="P33" s="221">
        <v>0</v>
      </c>
      <c r="Q33" s="221">
        <v>0</v>
      </c>
      <c r="R33" s="221">
        <v>0</v>
      </c>
      <c r="S33" s="223">
        <f t="shared" si="1"/>
        <v>10.199999999999999</v>
      </c>
      <c r="T33" s="220">
        <v>5.09</v>
      </c>
      <c r="U33" s="80" t="s">
        <v>4</v>
      </c>
    </row>
    <row r="34" spans="1:21" ht="20.100000000000001" customHeight="1">
      <c r="A34" s="218">
        <v>15</v>
      </c>
      <c r="B34" s="224" t="s">
        <v>589</v>
      </c>
      <c r="C34" s="220">
        <f>ESTIMATE!I307</f>
        <v>119.98</v>
      </c>
      <c r="D34" s="220">
        <f>ESTIMATE!I734</f>
        <v>0</v>
      </c>
      <c r="E34" s="220">
        <f>ESTIMATE!I1117</f>
        <v>0</v>
      </c>
      <c r="F34" s="220">
        <f t="shared" si="0"/>
        <v>119.98</v>
      </c>
      <c r="G34" s="220" t="s">
        <v>410</v>
      </c>
      <c r="H34" s="221">
        <v>0</v>
      </c>
      <c r="I34" s="221">
        <v>0</v>
      </c>
      <c r="J34" s="221">
        <v>0</v>
      </c>
      <c r="K34" s="218">
        <v>0</v>
      </c>
      <c r="L34" s="221">
        <v>0</v>
      </c>
      <c r="M34" s="221">
        <v>0</v>
      </c>
      <c r="N34" s="80">
        <f>ROUND(F34*0.022*1,2)</f>
        <v>2.64</v>
      </c>
      <c r="O34" s="221">
        <v>0</v>
      </c>
      <c r="P34" s="221">
        <v>0</v>
      </c>
      <c r="Q34" s="221">
        <v>0</v>
      </c>
      <c r="R34" s="221">
        <v>0</v>
      </c>
      <c r="S34" s="223">
        <f t="shared" si="1"/>
        <v>13.8</v>
      </c>
      <c r="T34" s="220">
        <v>5.75</v>
      </c>
      <c r="U34" s="80" t="s">
        <v>4</v>
      </c>
    </row>
    <row r="35" spans="1:21" ht="20.100000000000001" hidden="1" customHeight="1">
      <c r="A35" s="218">
        <v>2</v>
      </c>
      <c r="B35" s="147" t="s">
        <v>436</v>
      </c>
      <c r="C35" s="220">
        <f>ESTIMATE!I324</f>
        <v>0</v>
      </c>
      <c r="D35" s="220">
        <f>ESTIMATE!I740</f>
        <v>0</v>
      </c>
      <c r="E35" s="220">
        <f>ESTIMATE!I1123</f>
        <v>0</v>
      </c>
      <c r="F35" s="220">
        <f>SUM(C35:E35)</f>
        <v>0</v>
      </c>
      <c r="G35" s="220" t="s">
        <v>409</v>
      </c>
      <c r="H35" s="221">
        <v>0</v>
      </c>
      <c r="I35" s="80">
        <f>ROUND(F35*0.8,2)</f>
        <v>0</v>
      </c>
      <c r="J35" s="221">
        <v>0</v>
      </c>
      <c r="K35" s="218">
        <v>0</v>
      </c>
      <c r="L35" s="80">
        <f>ROUND(F35*0.4,2)</f>
        <v>0</v>
      </c>
      <c r="M35" s="218">
        <v>0</v>
      </c>
      <c r="N35" s="218">
        <v>0</v>
      </c>
      <c r="O35" s="221">
        <v>0</v>
      </c>
      <c r="P35" s="221">
        <v>0</v>
      </c>
      <c r="Q35" s="221">
        <v>0</v>
      </c>
      <c r="R35" s="221">
        <v>0</v>
      </c>
      <c r="S35" s="223">
        <f>ROUND(F35*T35/50,2)</f>
        <v>0</v>
      </c>
      <c r="T35" s="220">
        <f t="shared" ref="T35" si="16">$T$10</f>
        <v>330</v>
      </c>
      <c r="U35" s="80" t="s">
        <v>4</v>
      </c>
    </row>
    <row r="36" spans="1:21" ht="20.100000000000001" customHeight="1">
      <c r="A36" s="218">
        <v>16</v>
      </c>
      <c r="B36" s="224" t="s">
        <v>245</v>
      </c>
      <c r="C36" s="220">
        <f>ESTIMATE!I333</f>
        <v>50.230000000000004</v>
      </c>
      <c r="D36" s="220">
        <f>ESTIMATE!I748</f>
        <v>0</v>
      </c>
      <c r="E36" s="220">
        <f>ESTIMATE!I1133</f>
        <v>0</v>
      </c>
      <c r="F36" s="220">
        <f t="shared" si="0"/>
        <v>50.230000000000004</v>
      </c>
      <c r="G36" s="220" t="s">
        <v>410</v>
      </c>
      <c r="H36" s="221">
        <v>0</v>
      </c>
      <c r="I36" s="221">
        <v>0</v>
      </c>
      <c r="J36" s="221">
        <v>0</v>
      </c>
      <c r="K36" s="218">
        <v>0</v>
      </c>
      <c r="L36" s="221">
        <v>0</v>
      </c>
      <c r="M36" s="80">
        <f>ROUND(F36*0.014,2)</f>
        <v>0.7</v>
      </c>
      <c r="N36" s="221">
        <v>0</v>
      </c>
      <c r="O36" s="221">
        <v>0</v>
      </c>
      <c r="P36" s="221">
        <v>0</v>
      </c>
      <c r="Q36" s="221">
        <v>0</v>
      </c>
      <c r="R36" s="221">
        <v>0</v>
      </c>
      <c r="S36" s="223">
        <f t="shared" si="1"/>
        <v>6.09</v>
      </c>
      <c r="T36" s="220">
        <v>6.06</v>
      </c>
      <c r="U36" s="80" t="s">
        <v>4</v>
      </c>
    </row>
    <row r="37" spans="1:21" ht="20.100000000000001" customHeight="1">
      <c r="A37" s="218">
        <v>17</v>
      </c>
      <c r="B37" s="224" t="s">
        <v>246</v>
      </c>
      <c r="C37" s="220">
        <f>ESTIMATE!I346</f>
        <v>5.2499999999999991</v>
      </c>
      <c r="D37" s="220">
        <f>ESTIMATE!I763</f>
        <v>0</v>
      </c>
      <c r="E37" s="220">
        <f>ESTIMATE!I1142</f>
        <v>0</v>
      </c>
      <c r="F37" s="220">
        <f t="shared" si="0"/>
        <v>5.2499999999999991</v>
      </c>
      <c r="G37" s="220" t="s">
        <v>410</v>
      </c>
      <c r="H37" s="221">
        <v>0</v>
      </c>
      <c r="I37" s="221">
        <v>0</v>
      </c>
      <c r="J37" s="221">
        <v>0</v>
      </c>
      <c r="K37" s="218">
        <v>0</v>
      </c>
      <c r="L37" s="221">
        <v>0</v>
      </c>
      <c r="M37" s="80">
        <f>ROUND(F37*0.012,2)</f>
        <v>0.06</v>
      </c>
      <c r="N37" s="221">
        <v>0</v>
      </c>
      <c r="O37" s="221">
        <v>0</v>
      </c>
      <c r="P37" s="221">
        <v>0</v>
      </c>
      <c r="Q37" s="221">
        <v>0</v>
      </c>
      <c r="R37" s="221">
        <v>0</v>
      </c>
      <c r="S37" s="223">
        <f t="shared" si="1"/>
        <v>0.71</v>
      </c>
      <c r="T37" s="225">
        <v>6.7560000000000002</v>
      </c>
      <c r="U37" s="80" t="s">
        <v>4</v>
      </c>
    </row>
    <row r="38" spans="1:21" ht="20.100000000000001" hidden="1" customHeight="1">
      <c r="A38" s="218">
        <v>7</v>
      </c>
      <c r="B38" s="224" t="s">
        <v>666</v>
      </c>
      <c r="C38" s="220">
        <f>ESTIMATE!I353</f>
        <v>0</v>
      </c>
      <c r="D38" s="220">
        <f>ESTIMATE!I770</f>
        <v>0</v>
      </c>
      <c r="E38" s="220">
        <f>ESTIMATE!I1153</f>
        <v>0</v>
      </c>
      <c r="F38" s="220">
        <f t="shared" si="0"/>
        <v>0</v>
      </c>
      <c r="G38" s="220" t="s">
        <v>410</v>
      </c>
      <c r="H38" s="221">
        <v>0</v>
      </c>
      <c r="I38" s="221">
        <v>0</v>
      </c>
      <c r="J38" s="221">
        <v>0</v>
      </c>
      <c r="K38" s="218">
        <v>0</v>
      </c>
      <c r="L38" s="221">
        <v>0</v>
      </c>
      <c r="M38" s="80">
        <f>ROUND(F38*0.014,2)</f>
        <v>0</v>
      </c>
      <c r="N38" s="221">
        <v>0</v>
      </c>
      <c r="O38" s="221">
        <v>0</v>
      </c>
      <c r="P38" s="221">
        <v>0</v>
      </c>
      <c r="Q38" s="221">
        <v>0</v>
      </c>
      <c r="R38" s="221">
        <v>0</v>
      </c>
      <c r="S38" s="223">
        <f t="shared" si="1"/>
        <v>0</v>
      </c>
      <c r="T38" s="220">
        <v>7.5</v>
      </c>
      <c r="U38" s="80" t="s">
        <v>4</v>
      </c>
    </row>
    <row r="39" spans="1:21" ht="20.100000000000001" hidden="1" customHeight="1">
      <c r="A39" s="218">
        <v>8</v>
      </c>
      <c r="B39" s="224" t="s">
        <v>667</v>
      </c>
      <c r="C39" s="220">
        <f>ESTIMATE!I360</f>
        <v>0</v>
      </c>
      <c r="D39" s="220">
        <f>ESTIMATE!I776</f>
        <v>0</v>
      </c>
      <c r="E39" s="220">
        <f>ESTIMATE!I1162</f>
        <v>0</v>
      </c>
      <c r="F39" s="220">
        <f t="shared" si="0"/>
        <v>0</v>
      </c>
      <c r="G39" s="220" t="s">
        <v>410</v>
      </c>
      <c r="H39" s="221">
        <v>0</v>
      </c>
      <c r="I39" s="221">
        <v>0</v>
      </c>
      <c r="J39" s="221">
        <v>0</v>
      </c>
      <c r="K39" s="218">
        <v>0</v>
      </c>
      <c r="L39" s="221">
        <v>0</v>
      </c>
      <c r="M39" s="80">
        <f>ROUND(F39*0.012,2)</f>
        <v>0</v>
      </c>
      <c r="N39" s="221">
        <v>0</v>
      </c>
      <c r="O39" s="221">
        <v>0</v>
      </c>
      <c r="P39" s="221">
        <v>0</v>
      </c>
      <c r="Q39" s="221">
        <v>0</v>
      </c>
      <c r="R39" s="221">
        <v>0</v>
      </c>
      <c r="S39" s="223">
        <f t="shared" si="1"/>
        <v>0</v>
      </c>
      <c r="T39" s="225">
        <v>9.06</v>
      </c>
      <c r="U39" s="80" t="s">
        <v>4</v>
      </c>
    </row>
    <row r="40" spans="1:21" ht="20.100000000000001" hidden="1" customHeight="1">
      <c r="A40" s="218">
        <v>5</v>
      </c>
      <c r="B40" s="224" t="s">
        <v>668</v>
      </c>
      <c r="C40" s="220">
        <f>ESTIMATE!I372</f>
        <v>0</v>
      </c>
      <c r="D40" s="220">
        <f>ESTIMATE!I791</f>
        <v>0</v>
      </c>
      <c r="E40" s="220">
        <f>ESTIMATE!I1177</f>
        <v>0</v>
      </c>
      <c r="F40" s="220">
        <f t="shared" si="0"/>
        <v>0</v>
      </c>
      <c r="G40" s="220" t="s">
        <v>410</v>
      </c>
      <c r="H40" s="221">
        <v>0</v>
      </c>
      <c r="I40" s="221">
        <v>0</v>
      </c>
      <c r="J40" s="221">
        <v>0</v>
      </c>
      <c r="K40" s="218">
        <v>0</v>
      </c>
      <c r="L40" s="221">
        <v>0</v>
      </c>
      <c r="M40" s="80">
        <f>ROUND(F40*0.014,2)</f>
        <v>0</v>
      </c>
      <c r="N40" s="221">
        <v>0</v>
      </c>
      <c r="O40" s="221">
        <v>0</v>
      </c>
      <c r="P40" s="221">
        <v>0</v>
      </c>
      <c r="Q40" s="221">
        <v>0</v>
      </c>
      <c r="R40" s="221">
        <v>0</v>
      </c>
      <c r="S40" s="223">
        <f t="shared" si="1"/>
        <v>0</v>
      </c>
      <c r="T40" s="220">
        <v>7.5</v>
      </c>
      <c r="U40" s="80" t="s">
        <v>4</v>
      </c>
    </row>
    <row r="41" spans="1:21" ht="20.100000000000001" hidden="1" customHeight="1">
      <c r="A41" s="218">
        <v>38</v>
      </c>
      <c r="B41" s="224" t="s">
        <v>669</v>
      </c>
      <c r="C41" s="220">
        <f>ESTIMATE!I382</f>
        <v>0</v>
      </c>
      <c r="D41" s="220">
        <f>ESTIMATE!I801</f>
        <v>0</v>
      </c>
      <c r="E41" s="220">
        <f>ESTIMATE!I1187</f>
        <v>0</v>
      </c>
      <c r="F41" s="220">
        <f t="shared" si="0"/>
        <v>0</v>
      </c>
      <c r="G41" s="220" t="s">
        <v>410</v>
      </c>
      <c r="H41" s="221">
        <v>0</v>
      </c>
      <c r="I41" s="221">
        <v>0</v>
      </c>
      <c r="J41" s="221">
        <v>0</v>
      </c>
      <c r="K41" s="218">
        <v>0</v>
      </c>
      <c r="L41" s="221">
        <v>0</v>
      </c>
      <c r="M41" s="80">
        <f>ROUND(F41*0.012,2)</f>
        <v>0</v>
      </c>
      <c r="N41" s="221">
        <v>0</v>
      </c>
      <c r="O41" s="221">
        <v>0</v>
      </c>
      <c r="P41" s="221">
        <v>0</v>
      </c>
      <c r="Q41" s="221">
        <v>0</v>
      </c>
      <c r="R41" s="221">
        <v>0</v>
      </c>
      <c r="S41" s="223">
        <f t="shared" si="1"/>
        <v>0</v>
      </c>
      <c r="T41" s="225">
        <v>6.7560000000000002</v>
      </c>
      <c r="U41" s="80" t="s">
        <v>4</v>
      </c>
    </row>
    <row r="42" spans="1:21" ht="20.100000000000001" hidden="1" customHeight="1">
      <c r="A42" s="218">
        <v>4</v>
      </c>
      <c r="B42" s="224" t="s">
        <v>243</v>
      </c>
      <c r="C42" s="220">
        <f>ESTIMATE!I386</f>
        <v>0</v>
      </c>
      <c r="D42" s="220">
        <f>ESTIMATE!I806</f>
        <v>0</v>
      </c>
      <c r="E42" s="220">
        <f>ESTIMATE!I1201</f>
        <v>0</v>
      </c>
      <c r="F42" s="220">
        <f t="shared" si="0"/>
        <v>0</v>
      </c>
      <c r="G42" s="220" t="s">
        <v>410</v>
      </c>
      <c r="H42" s="221">
        <v>0</v>
      </c>
      <c r="I42" s="221">
        <v>0</v>
      </c>
      <c r="J42" s="221">
        <v>0</v>
      </c>
      <c r="K42" s="218">
        <v>0</v>
      </c>
      <c r="L42" s="221">
        <v>0</v>
      </c>
      <c r="M42" s="80">
        <f>ROUND(F42*0.012,2)</f>
        <v>0</v>
      </c>
      <c r="N42" s="221">
        <v>0</v>
      </c>
      <c r="O42" s="221">
        <v>0</v>
      </c>
      <c r="P42" s="221">
        <v>0</v>
      </c>
      <c r="Q42" s="221">
        <v>0</v>
      </c>
      <c r="R42" s="221">
        <v>0</v>
      </c>
      <c r="S42" s="223">
        <f t="shared" si="1"/>
        <v>0</v>
      </c>
      <c r="T42" s="220">
        <v>5.46</v>
      </c>
      <c r="U42" s="80" t="s">
        <v>4</v>
      </c>
    </row>
    <row r="43" spans="1:21" ht="20.100000000000001" hidden="1" customHeight="1">
      <c r="A43" s="218">
        <v>5</v>
      </c>
      <c r="B43" s="224" t="s">
        <v>244</v>
      </c>
      <c r="C43" s="220">
        <f>ESTIMATE!I392</f>
        <v>0</v>
      </c>
      <c r="D43" s="220">
        <f>ESTIMATE!I812</f>
        <v>0</v>
      </c>
      <c r="E43" s="220">
        <f>ESTIMATE!I1207</f>
        <v>0</v>
      </c>
      <c r="F43" s="220">
        <f t="shared" si="0"/>
        <v>0</v>
      </c>
      <c r="G43" s="220" t="s">
        <v>410</v>
      </c>
      <c r="H43" s="221">
        <v>0</v>
      </c>
      <c r="I43" s="221">
        <v>0</v>
      </c>
      <c r="J43" s="221">
        <v>0</v>
      </c>
      <c r="K43" s="218">
        <v>0</v>
      </c>
      <c r="L43" s="221">
        <v>0</v>
      </c>
      <c r="M43" s="80">
        <f>ROUND(F43*0.012,2)</f>
        <v>0</v>
      </c>
      <c r="N43" s="221">
        <v>0</v>
      </c>
      <c r="O43" s="221">
        <v>0</v>
      </c>
      <c r="P43" s="221">
        <v>0</v>
      </c>
      <c r="Q43" s="221">
        <v>0</v>
      </c>
      <c r="R43" s="221">
        <v>0</v>
      </c>
      <c r="S43" s="223">
        <f t="shared" si="1"/>
        <v>0</v>
      </c>
      <c r="T43" s="220">
        <v>9.06</v>
      </c>
      <c r="U43" s="80" t="s">
        <v>4</v>
      </c>
    </row>
    <row r="44" spans="1:21" ht="20.100000000000001" hidden="1" customHeight="1">
      <c r="A44" s="218">
        <v>3</v>
      </c>
      <c r="B44" s="224" t="s">
        <v>982</v>
      </c>
      <c r="C44" s="220">
        <f>ESTIMATE!I397</f>
        <v>0</v>
      </c>
      <c r="D44" s="220">
        <f>ESTIMATE!I820</f>
        <v>0</v>
      </c>
      <c r="E44" s="220">
        <f>ESTIMATE!I1215</f>
        <v>0</v>
      </c>
      <c r="F44" s="220">
        <f t="shared" ref="F44" si="17">SUM(C44:E44)</f>
        <v>0</v>
      </c>
      <c r="G44" s="220" t="s">
        <v>410</v>
      </c>
      <c r="H44" s="221">
        <v>0</v>
      </c>
      <c r="I44" s="221">
        <v>0</v>
      </c>
      <c r="J44" s="221">
        <v>0</v>
      </c>
      <c r="K44" s="218">
        <v>0</v>
      </c>
      <c r="L44" s="221">
        <v>0</v>
      </c>
      <c r="M44" s="80">
        <f>ROUND(F44*0.008*1,2)</f>
        <v>0</v>
      </c>
      <c r="N44" s="221">
        <v>0</v>
      </c>
      <c r="O44" s="221">
        <v>0</v>
      </c>
      <c r="P44" s="221">
        <v>0</v>
      </c>
      <c r="Q44" s="221">
        <v>0</v>
      </c>
      <c r="R44" s="221">
        <v>0</v>
      </c>
      <c r="S44" s="223">
        <f t="shared" ref="S44" si="18">ROUND(F44*T44/50,2)</f>
        <v>0</v>
      </c>
      <c r="T44" s="220">
        <v>2.76</v>
      </c>
      <c r="U44" s="80" t="s">
        <v>4</v>
      </c>
    </row>
    <row r="45" spans="1:21" ht="18" customHeight="1">
      <c r="A45" s="218"/>
      <c r="B45" s="224"/>
      <c r="C45" s="224"/>
      <c r="D45" s="224"/>
      <c r="E45" s="224"/>
      <c r="F45" s="220"/>
      <c r="G45" s="220"/>
      <c r="H45" s="80"/>
      <c r="I45" s="80"/>
      <c r="J45" s="80"/>
      <c r="K45" s="80"/>
      <c r="L45" s="80"/>
      <c r="M45" s="80"/>
      <c r="N45" s="221"/>
      <c r="O45" s="80"/>
      <c r="P45" s="80"/>
      <c r="Q45" s="221"/>
      <c r="R45" s="80"/>
      <c r="S45" s="80"/>
      <c r="T45" s="220"/>
      <c r="U45" s="80"/>
    </row>
    <row r="46" spans="1:21" ht="25.5">
      <c r="A46" s="147"/>
      <c r="B46" s="147"/>
      <c r="C46" s="147"/>
      <c r="D46" s="147"/>
      <c r="E46" s="147"/>
      <c r="F46" s="146" t="s">
        <v>103</v>
      </c>
      <c r="G46" s="147"/>
      <c r="H46" s="149">
        <f t="shared" ref="H46:S46" si="19">SUM(H4:H45)</f>
        <v>4.91</v>
      </c>
      <c r="I46" s="149">
        <f t="shared" si="19"/>
        <v>11.670000000000002</v>
      </c>
      <c r="J46" s="149">
        <f t="shared" si="19"/>
        <v>0</v>
      </c>
      <c r="K46" s="149">
        <f t="shared" si="19"/>
        <v>0</v>
      </c>
      <c r="L46" s="149">
        <f t="shared" si="19"/>
        <v>8.2799999999999994</v>
      </c>
      <c r="M46" s="149">
        <f t="shared" si="19"/>
        <v>4.5799999999999992</v>
      </c>
      <c r="N46" s="149">
        <f t="shared" si="19"/>
        <v>6.48</v>
      </c>
      <c r="O46" s="149">
        <f t="shared" si="19"/>
        <v>1.53</v>
      </c>
      <c r="P46" s="149">
        <f t="shared" si="19"/>
        <v>0</v>
      </c>
      <c r="Q46" s="149">
        <f t="shared" si="19"/>
        <v>9.77</v>
      </c>
      <c r="R46" s="149">
        <f t="shared" si="19"/>
        <v>0</v>
      </c>
      <c r="S46" s="149">
        <f t="shared" si="19"/>
        <v>169.17000000000002</v>
      </c>
      <c r="T46" s="226" t="s">
        <v>140</v>
      </c>
      <c r="U46" s="147"/>
    </row>
    <row r="47" spans="1:21" ht="27.75">
      <c r="A47" s="147"/>
      <c r="B47" s="147"/>
      <c r="C47" s="147"/>
      <c r="D47" s="147"/>
      <c r="E47" s="147"/>
      <c r="F47" s="146" t="s">
        <v>411</v>
      </c>
      <c r="G47" s="147"/>
      <c r="H47" s="227">
        <v>90</v>
      </c>
      <c r="I47" s="227">
        <v>90</v>
      </c>
      <c r="J47" s="227">
        <v>90</v>
      </c>
      <c r="K47" s="227">
        <v>90</v>
      </c>
      <c r="L47" s="227">
        <v>100</v>
      </c>
      <c r="M47" s="227">
        <v>100</v>
      </c>
      <c r="N47" s="227">
        <v>100</v>
      </c>
      <c r="O47" s="227">
        <v>100</v>
      </c>
      <c r="P47" s="227">
        <v>45</v>
      </c>
      <c r="Q47" s="227">
        <v>80</v>
      </c>
      <c r="R47" s="227">
        <v>45</v>
      </c>
      <c r="S47" s="228">
        <f>ROUND((S46*50)/1000,2)</f>
        <v>8.4600000000000009</v>
      </c>
      <c r="T47" s="226" t="s">
        <v>29</v>
      </c>
      <c r="U47" s="147"/>
    </row>
    <row r="48" spans="1:21" ht="20.100000000000001" customHeight="1">
      <c r="A48" s="147"/>
      <c r="B48" s="147"/>
      <c r="C48" s="147"/>
      <c r="D48" s="147"/>
      <c r="E48" s="147"/>
      <c r="F48" s="147"/>
      <c r="G48" s="146" t="s">
        <v>104</v>
      </c>
      <c r="H48" s="148">
        <f t="shared" ref="H48:P48" si="20">ROUND(H46*H47,0)</f>
        <v>442</v>
      </c>
      <c r="I48" s="148">
        <f t="shared" si="20"/>
        <v>1050</v>
      </c>
      <c r="J48" s="148">
        <f t="shared" si="20"/>
        <v>0</v>
      </c>
      <c r="K48" s="148">
        <f t="shared" si="20"/>
        <v>0</v>
      </c>
      <c r="L48" s="148"/>
      <c r="M48" s="148"/>
      <c r="N48" s="148"/>
      <c r="O48" s="148">
        <f t="shared" si="20"/>
        <v>153</v>
      </c>
      <c r="P48" s="148">
        <f t="shared" si="20"/>
        <v>0</v>
      </c>
      <c r="Q48" s="148">
        <f>ROUND(Q46*Q47/1,0)</f>
        <v>782</v>
      </c>
      <c r="R48" s="148">
        <f t="shared" ref="R48" si="21">ROUND(R46*R47,0)</f>
        <v>0</v>
      </c>
      <c r="S48" s="228"/>
      <c r="T48" s="226"/>
      <c r="U48" s="147"/>
    </row>
    <row r="49" spans="1:21">
      <c r="A49" s="147"/>
      <c r="B49" s="147"/>
      <c r="C49" s="147"/>
      <c r="D49" s="147"/>
      <c r="E49" s="147"/>
      <c r="F49" s="226" t="s">
        <v>138</v>
      </c>
      <c r="G49" s="229" t="s">
        <v>104</v>
      </c>
      <c r="H49" s="230">
        <f>SUM(H48:R48)</f>
        <v>2427</v>
      </c>
      <c r="I49" s="230"/>
      <c r="J49" s="230"/>
      <c r="K49" s="230"/>
      <c r="L49" s="147"/>
      <c r="M49" s="147"/>
      <c r="N49" s="147"/>
      <c r="O49" s="147"/>
      <c r="P49" s="147"/>
      <c r="Q49" s="147"/>
      <c r="R49" s="147"/>
      <c r="S49" s="231"/>
      <c r="T49" s="232"/>
      <c r="U49" s="147"/>
    </row>
    <row r="52" spans="1:21">
      <c r="N52" s="150"/>
      <c r="O52" s="150"/>
      <c r="P52" s="150"/>
      <c r="Q52" s="150"/>
      <c r="R52" s="150"/>
      <c r="S52" s="150"/>
      <c r="T52" s="150"/>
      <c r="U52" s="150"/>
    </row>
    <row r="53" spans="1:21">
      <c r="M53" s="135" t="str">
        <f>'lead 24-25'!$H$32</f>
        <v>Deputy Executive Engineer</v>
      </c>
      <c r="R53" s="135" t="str">
        <f>'lead 24-25'!$K$32</f>
        <v>Assistant  Engineer</v>
      </c>
    </row>
    <row r="54" spans="1:21">
      <c r="M54" s="135" t="str">
        <f>'lead 24-25'!$H$33</f>
        <v>PRI Sub Division</v>
      </c>
      <c r="N54" s="150"/>
      <c r="O54" s="150"/>
      <c r="P54" s="150"/>
      <c r="Q54" s="150"/>
      <c r="R54" s="135" t="str">
        <f>'lead 24-25'!$K$33</f>
        <v>Mandal Praja parishad</v>
      </c>
      <c r="S54" s="150"/>
      <c r="T54" s="150"/>
      <c r="U54" s="150"/>
    </row>
    <row r="55" spans="1:21">
      <c r="M55" s="135" t="str">
        <f>'lead 24-25'!$H$34</f>
        <v>Kanigiri</v>
      </c>
      <c r="N55" s="150"/>
      <c r="O55" s="150"/>
      <c r="P55" s="150"/>
      <c r="Q55" s="150"/>
      <c r="R55" s="135" t="str">
        <f>'lead 24-25'!$K$34</f>
        <v>P.C.Palli</v>
      </c>
      <c r="S55" s="150"/>
      <c r="T55" s="150"/>
      <c r="U55" s="150"/>
    </row>
    <row r="493" spans="16:16">
      <c r="P493" s="145" t="s">
        <v>0</v>
      </c>
    </row>
  </sheetData>
  <autoFilter ref="A3:U44" xr:uid="{00000000-0009-0000-0000-000004000000}">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71"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O36"/>
  <sheetViews>
    <sheetView view="pageBreakPreview" zoomScale="130" zoomScaleNormal="130" zoomScaleSheetLayoutView="130" workbookViewId="0">
      <selection activeCell="L4" sqref="L4"/>
    </sheetView>
  </sheetViews>
  <sheetFormatPr defaultRowHeight="12.75"/>
  <cols>
    <col min="1" max="1" width="5.7109375" style="166" customWidth="1"/>
    <col min="2" max="2" width="31.5703125" style="158" customWidth="1"/>
    <col min="3" max="3" width="5.7109375" style="166" customWidth="1"/>
    <col min="4" max="4" width="14.140625" style="166" customWidth="1"/>
    <col min="5" max="5" width="6.7109375" style="158" bestFit="1" customWidth="1"/>
    <col min="6" max="6" width="7.28515625" style="158" customWidth="1"/>
    <col min="7" max="7" width="8.140625" style="158" customWidth="1"/>
    <col min="8" max="8" width="7.5703125" style="158" customWidth="1"/>
    <col min="9" max="9" width="8.140625" style="158" customWidth="1"/>
    <col min="10" max="10" width="8.28515625" style="158" customWidth="1"/>
    <col min="11" max="11" width="8.42578125" style="158" customWidth="1"/>
    <col min="12" max="12" width="8.7109375" style="158" customWidth="1"/>
    <col min="13" max="17" width="9.140625" style="158" customWidth="1"/>
    <col min="18" max="16384" width="9.140625" style="158"/>
  </cols>
  <sheetData>
    <row r="1" spans="1:15" s="137" customFormat="1" ht="20.100000000000001" customHeight="1">
      <c r="A1" s="932" t="s">
        <v>2261</v>
      </c>
      <c r="B1" s="933"/>
      <c r="C1" s="933"/>
      <c r="D1" s="933"/>
      <c r="E1" s="933"/>
      <c r="F1" s="933"/>
      <c r="G1" s="933"/>
      <c r="H1" s="933"/>
      <c r="I1" s="933"/>
      <c r="J1" s="933"/>
      <c r="K1" s="933"/>
      <c r="L1" s="933"/>
    </row>
    <row r="2" spans="1:15" s="137" customFormat="1" ht="27.75" customHeight="1">
      <c r="A2" s="138"/>
      <c r="B2" s="139" t="s">
        <v>790</v>
      </c>
      <c r="C2" s="936" t="s">
        <v>2366</v>
      </c>
      <c r="D2" s="936"/>
      <c r="E2" s="936"/>
      <c r="F2" s="936"/>
      <c r="G2" s="936"/>
      <c r="H2" s="936"/>
      <c r="I2" s="936"/>
      <c r="J2" s="936"/>
      <c r="K2" s="936"/>
      <c r="L2" s="936"/>
    </row>
    <row r="3" spans="1:15" s="137" customFormat="1" ht="20.100000000000001" customHeight="1">
      <c r="A3" s="140"/>
      <c r="B3" s="141"/>
      <c r="C3" s="142"/>
      <c r="D3" s="140"/>
      <c r="E3" s="143"/>
      <c r="F3" s="143"/>
      <c r="G3" s="143"/>
      <c r="H3" s="143"/>
      <c r="I3" s="143"/>
      <c r="J3" s="141"/>
      <c r="K3" s="141"/>
      <c r="L3" s="143"/>
      <c r="M3" s="137" t="s">
        <v>791</v>
      </c>
      <c r="N3" s="153">
        <v>72</v>
      </c>
    </row>
    <row r="4" spans="1:15" ht="15" customHeight="1">
      <c r="A4" s="154"/>
      <c r="B4" s="167"/>
      <c r="C4" s="216"/>
      <c r="D4" s="154"/>
      <c r="E4" s="155"/>
      <c r="F4" s="154"/>
      <c r="G4" s="155"/>
      <c r="H4" s="155"/>
      <c r="I4" s="155"/>
      <c r="J4" s="156" t="s">
        <v>792</v>
      </c>
      <c r="K4" s="157" t="s">
        <v>2370</v>
      </c>
      <c r="L4" s="154"/>
      <c r="M4" s="158" t="s">
        <v>137</v>
      </c>
      <c r="N4" s="153">
        <v>67</v>
      </c>
    </row>
    <row r="5" spans="1:15" s="159" customFormat="1" ht="31.5" customHeight="1">
      <c r="A5" s="934" t="s">
        <v>793</v>
      </c>
      <c r="B5" s="934" t="s">
        <v>313</v>
      </c>
      <c r="C5" s="934" t="s">
        <v>794</v>
      </c>
      <c r="D5" s="934" t="s">
        <v>795</v>
      </c>
      <c r="E5" s="934" t="s">
        <v>247</v>
      </c>
      <c r="F5" s="934" t="s">
        <v>796</v>
      </c>
      <c r="G5" s="934" t="s">
        <v>797</v>
      </c>
      <c r="H5" s="934" t="s">
        <v>17</v>
      </c>
      <c r="I5" s="934" t="s">
        <v>798</v>
      </c>
      <c r="J5" s="934" t="s">
        <v>1110</v>
      </c>
      <c r="K5" s="935" t="s">
        <v>1112</v>
      </c>
      <c r="L5" s="935" t="s">
        <v>115</v>
      </c>
      <c r="M5" s="159" t="s">
        <v>799</v>
      </c>
      <c r="N5" s="153">
        <v>30</v>
      </c>
    </row>
    <row r="6" spans="1:15" s="159" customFormat="1" ht="18" customHeight="1">
      <c r="A6" s="934"/>
      <c r="B6" s="934"/>
      <c r="C6" s="934"/>
      <c r="D6" s="934"/>
      <c r="E6" s="934"/>
      <c r="F6" s="934"/>
      <c r="G6" s="934"/>
      <c r="H6" s="934"/>
      <c r="I6" s="934"/>
      <c r="J6" s="934"/>
      <c r="K6" s="935"/>
      <c r="L6" s="935"/>
      <c r="M6" s="159" t="s">
        <v>1280</v>
      </c>
      <c r="N6" s="159">
        <v>89</v>
      </c>
      <c r="O6" s="160"/>
    </row>
    <row r="7" spans="1:15" s="161" customFormat="1" ht="15" customHeight="1">
      <c r="A7" s="168">
        <v>1</v>
      </c>
      <c r="B7" s="168">
        <v>2</v>
      </c>
      <c r="C7" s="168">
        <v>3</v>
      </c>
      <c r="D7" s="168">
        <v>4</v>
      </c>
      <c r="E7" s="168">
        <v>5</v>
      </c>
      <c r="F7" s="168">
        <v>6</v>
      </c>
      <c r="G7" s="168">
        <v>7</v>
      </c>
      <c r="H7" s="168">
        <v>8</v>
      </c>
      <c r="I7" s="168">
        <v>9</v>
      </c>
      <c r="J7" s="168">
        <v>10</v>
      </c>
      <c r="K7" s="168">
        <v>11</v>
      </c>
      <c r="L7" s="168">
        <v>13</v>
      </c>
    </row>
    <row r="8" spans="1:15" s="162" customFormat="1">
      <c r="A8" s="169">
        <v>1</v>
      </c>
      <c r="B8" s="170" t="s">
        <v>800</v>
      </c>
      <c r="C8" s="171" t="s">
        <v>29</v>
      </c>
      <c r="D8" s="172" t="s">
        <v>3</v>
      </c>
      <c r="E8" s="173" t="s">
        <v>15</v>
      </c>
      <c r="F8" s="173">
        <v>0</v>
      </c>
      <c r="G8" s="173">
        <v>4218.8</v>
      </c>
      <c r="H8" s="173"/>
      <c r="I8" s="173"/>
      <c r="J8" s="173"/>
      <c r="K8" s="173"/>
      <c r="L8" s="212">
        <f t="shared" ref="L8:L26" si="0">SUM(F8:K8)</f>
        <v>4218.8</v>
      </c>
      <c r="O8" s="816">
        <f>ESTIMATE!O27</f>
        <v>40165</v>
      </c>
    </row>
    <row r="9" spans="1:15" s="162" customFormat="1" hidden="1">
      <c r="A9" s="169">
        <v>2</v>
      </c>
      <c r="B9" s="170" t="s">
        <v>1447</v>
      </c>
      <c r="C9" s="171" t="s">
        <v>29</v>
      </c>
      <c r="D9" s="172" t="s">
        <v>3</v>
      </c>
      <c r="E9" s="173" t="s">
        <v>15</v>
      </c>
      <c r="F9" s="173">
        <v>0</v>
      </c>
      <c r="G9" s="173">
        <f>'MINI SSR 2024-25'!C5</f>
        <v>60000</v>
      </c>
      <c r="H9" s="173">
        <f>G9*18%</f>
        <v>10800</v>
      </c>
      <c r="I9" s="173" t="s">
        <v>2295</v>
      </c>
      <c r="J9" s="173"/>
      <c r="K9" s="173"/>
      <c r="L9" s="212">
        <f t="shared" si="0"/>
        <v>70800</v>
      </c>
    </row>
    <row r="10" spans="1:15" s="162" customFormat="1">
      <c r="A10" s="169">
        <v>2</v>
      </c>
      <c r="B10" s="170" t="s">
        <v>1468</v>
      </c>
      <c r="C10" s="171" t="s">
        <v>29</v>
      </c>
      <c r="D10" s="172" t="s">
        <v>3</v>
      </c>
      <c r="E10" s="173" t="s">
        <v>15</v>
      </c>
      <c r="F10" s="173">
        <v>0</v>
      </c>
      <c r="G10" s="173">
        <v>58000</v>
      </c>
      <c r="H10" s="173"/>
      <c r="I10" s="173"/>
      <c r="J10" s="173"/>
      <c r="K10" s="173"/>
      <c r="L10" s="212">
        <f t="shared" ref="L10" si="1">SUM(F10:K10)</f>
        <v>58000</v>
      </c>
    </row>
    <row r="11" spans="1:15" s="162" customFormat="1">
      <c r="A11" s="169">
        <v>3</v>
      </c>
      <c r="B11" s="174" t="s">
        <v>801</v>
      </c>
      <c r="C11" s="171" t="s">
        <v>29</v>
      </c>
      <c r="D11" s="172" t="s">
        <v>3</v>
      </c>
      <c r="E11" s="173"/>
      <c r="F11" s="173"/>
      <c r="G11" s="173">
        <v>60000</v>
      </c>
      <c r="H11" s="173"/>
      <c r="I11" s="173"/>
      <c r="J11" s="173"/>
      <c r="K11" s="173"/>
      <c r="L11" s="212">
        <f t="shared" si="0"/>
        <v>60000</v>
      </c>
    </row>
    <row r="12" spans="1:15" s="162" customFormat="1" hidden="1">
      <c r="A12" s="169">
        <v>5</v>
      </c>
      <c r="B12" s="174" t="s">
        <v>802</v>
      </c>
      <c r="C12" s="171" t="s">
        <v>29</v>
      </c>
      <c r="D12" s="172" t="s">
        <v>3</v>
      </c>
      <c r="E12" s="173"/>
      <c r="F12" s="173"/>
      <c r="G12" s="173">
        <f>'MINI SSR 2024-25'!C8</f>
        <v>57000</v>
      </c>
      <c r="H12" s="173"/>
      <c r="I12" s="173"/>
      <c r="J12" s="173"/>
      <c r="K12" s="173"/>
      <c r="L12" s="212">
        <f t="shared" si="0"/>
        <v>57000</v>
      </c>
    </row>
    <row r="13" spans="1:15" s="162" customFormat="1">
      <c r="A13" s="169">
        <v>4</v>
      </c>
      <c r="B13" s="174" t="s">
        <v>803</v>
      </c>
      <c r="C13" s="171" t="s">
        <v>5</v>
      </c>
      <c r="D13" s="175" t="s">
        <v>2268</v>
      </c>
      <c r="E13" s="176">
        <f>N3</f>
        <v>72</v>
      </c>
      <c r="F13" s="176">
        <f>VLOOKUP(E13,'convey 24-25'!A6:F305,2,FALSE)</f>
        <v>1013.4699999999982</v>
      </c>
      <c r="G13" s="173">
        <v>0</v>
      </c>
      <c r="H13" s="173"/>
      <c r="I13" s="173"/>
      <c r="J13" s="173"/>
      <c r="K13" s="173"/>
      <c r="L13" s="212">
        <f t="shared" si="0"/>
        <v>1013.4699999999982</v>
      </c>
    </row>
    <row r="14" spans="1:15" s="162" customFormat="1">
      <c r="A14" s="169">
        <v>5</v>
      </c>
      <c r="B14" s="174" t="s">
        <v>804</v>
      </c>
      <c r="C14" s="171" t="s">
        <v>5</v>
      </c>
      <c r="D14" s="175" t="str">
        <f>D13</f>
        <v>K.Bitragunta</v>
      </c>
      <c r="E14" s="176">
        <f>E13</f>
        <v>72</v>
      </c>
      <c r="F14" s="176">
        <f>VLOOKUP(E14,'convey 24-25'!A6:F306,2,FALSE)</f>
        <v>1013.4699999999982</v>
      </c>
      <c r="G14" s="173">
        <v>0</v>
      </c>
      <c r="H14" s="173"/>
      <c r="I14" s="173"/>
      <c r="J14" s="173"/>
      <c r="K14" s="173"/>
      <c r="L14" s="212">
        <f t="shared" si="0"/>
        <v>1013.4699999999982</v>
      </c>
    </row>
    <row r="15" spans="1:15" s="162" customFormat="1">
      <c r="A15" s="169">
        <v>6</v>
      </c>
      <c r="B15" s="174" t="s">
        <v>731</v>
      </c>
      <c r="C15" s="171" t="s">
        <v>5</v>
      </c>
      <c r="D15" s="175" t="s">
        <v>3</v>
      </c>
      <c r="E15" s="176">
        <v>5</v>
      </c>
      <c r="F15" s="176">
        <f>VLOOKUP(E15,'convey 24-25'!A6:F307,2,FALSE)</f>
        <v>101.33</v>
      </c>
      <c r="G15" s="173">
        <v>0</v>
      </c>
      <c r="H15" s="173"/>
      <c r="I15" s="173"/>
      <c r="J15" s="173"/>
      <c r="K15" s="173"/>
      <c r="L15" s="212">
        <f t="shared" si="0"/>
        <v>101.33</v>
      </c>
    </row>
    <row r="16" spans="1:15" s="162" customFormat="1">
      <c r="A16" s="169">
        <v>7</v>
      </c>
      <c r="B16" s="174" t="s">
        <v>1109</v>
      </c>
      <c r="C16" s="171" t="s">
        <v>805</v>
      </c>
      <c r="D16" s="175" t="s">
        <v>2293</v>
      </c>
      <c r="E16" s="176">
        <f>N5</f>
        <v>30</v>
      </c>
      <c r="F16" s="176">
        <f>VLOOKUP(E16,'convey 24-25'!A6:F308,4,FALSE)</f>
        <v>771.40000000000032</v>
      </c>
      <c r="G16" s="173">
        <f>'MINI SSR 2024-25'!C12</f>
        <v>8480</v>
      </c>
      <c r="H16" s="173"/>
      <c r="I16" s="173"/>
      <c r="J16" s="173">
        <f>'MINI SSR 2024-25'!D12</f>
        <v>77.58</v>
      </c>
      <c r="K16" s="173">
        <f>'MINI SSR 2024-25'!E12</f>
        <v>77.58</v>
      </c>
      <c r="L16" s="212">
        <f t="shared" si="0"/>
        <v>9406.56</v>
      </c>
    </row>
    <row r="17" spans="1:12" s="162" customFormat="1">
      <c r="A17" s="169">
        <v>8</v>
      </c>
      <c r="B17" s="174" t="s">
        <v>1463</v>
      </c>
      <c r="C17" s="171" t="s">
        <v>5</v>
      </c>
      <c r="D17" s="175" t="s">
        <v>2294</v>
      </c>
      <c r="E17" s="176">
        <f>N4</f>
        <v>67</v>
      </c>
      <c r="F17" s="176">
        <f>VLOOKUP(E17,'convey 24-25'!A6:F309,3,FALSE)</f>
        <v>913.59999999999854</v>
      </c>
      <c r="G17" s="173">
        <f>'MINI SSR 2024-25'!C13</f>
        <v>770</v>
      </c>
      <c r="H17" s="173">
        <v>70</v>
      </c>
      <c r="I17" s="173">
        <f>ROUND(G17*0.25,2)</f>
        <v>192.5</v>
      </c>
      <c r="J17" s="173"/>
      <c r="K17" s="173"/>
      <c r="L17" s="212">
        <f t="shared" si="0"/>
        <v>1946.0999999999985</v>
      </c>
    </row>
    <row r="18" spans="1:12" s="163" customFormat="1">
      <c r="A18" s="169">
        <v>9</v>
      </c>
      <c r="B18" s="174" t="s">
        <v>1464</v>
      </c>
      <c r="C18" s="171" t="s">
        <v>5</v>
      </c>
      <c r="D18" s="175" t="str">
        <f t="shared" ref="D18:D21" si="2">D17</f>
        <v>Ramatherdham</v>
      </c>
      <c r="E18" s="176">
        <f t="shared" ref="E18:E21" si="3">E17</f>
        <v>67</v>
      </c>
      <c r="F18" s="176">
        <f>VLOOKUP(E18,'convey 24-25'!A6:F310,3,FALSE)</f>
        <v>913.59999999999854</v>
      </c>
      <c r="G18" s="173">
        <f>'MINI SSR 2024-25'!C14</f>
        <v>1285</v>
      </c>
      <c r="H18" s="173">
        <v>70</v>
      </c>
      <c r="I18" s="173">
        <f>ROUND(G18*0.25,2)</f>
        <v>321.25</v>
      </c>
      <c r="J18" s="173"/>
      <c r="K18" s="173"/>
      <c r="L18" s="212">
        <f t="shared" si="0"/>
        <v>2589.8499999999985</v>
      </c>
    </row>
    <row r="19" spans="1:12" s="163" customFormat="1" hidden="1">
      <c r="A19" s="169">
        <v>7</v>
      </c>
      <c r="B19" s="174" t="s">
        <v>1465</v>
      </c>
      <c r="C19" s="171" t="s">
        <v>5</v>
      </c>
      <c r="D19" s="175" t="str">
        <f t="shared" si="2"/>
        <v>Ramatherdham</v>
      </c>
      <c r="E19" s="176">
        <f t="shared" si="3"/>
        <v>67</v>
      </c>
      <c r="F19" s="176">
        <f>VLOOKUP(E19,'convey 24-25'!A6:F311,3,FALSE)</f>
        <v>913.59999999999854</v>
      </c>
      <c r="G19" s="173">
        <f>'MINI SSR 2024-25'!C15</f>
        <v>1024</v>
      </c>
      <c r="H19" s="173">
        <v>70</v>
      </c>
      <c r="I19" s="173">
        <f>ROUND(G19*0.25,2)</f>
        <v>256</v>
      </c>
      <c r="J19" s="173"/>
      <c r="K19" s="173"/>
      <c r="L19" s="212">
        <f t="shared" si="0"/>
        <v>2263.5999999999985</v>
      </c>
    </row>
    <row r="20" spans="1:12" s="163" customFormat="1" hidden="1">
      <c r="A20" s="169">
        <v>8</v>
      </c>
      <c r="B20" s="174" t="s">
        <v>1466</v>
      </c>
      <c r="C20" s="171" t="s">
        <v>5</v>
      </c>
      <c r="D20" s="175" t="str">
        <f t="shared" si="2"/>
        <v>Ramatherdham</v>
      </c>
      <c r="E20" s="176">
        <f t="shared" si="3"/>
        <v>67</v>
      </c>
      <c r="F20" s="176">
        <f>VLOOKUP(E20,'convey 24-25'!A6:F312,3,FALSE)</f>
        <v>913.59999999999854</v>
      </c>
      <c r="G20" s="173">
        <f>'MINI SSR 2024-25'!C16</f>
        <v>860</v>
      </c>
      <c r="H20" s="173">
        <v>70</v>
      </c>
      <c r="I20" s="173">
        <f>ROUND(G20*0.25,2)</f>
        <v>215</v>
      </c>
      <c r="J20" s="173"/>
      <c r="K20" s="173"/>
      <c r="L20" s="212">
        <f t="shared" si="0"/>
        <v>2058.5999999999985</v>
      </c>
    </row>
    <row r="21" spans="1:12" s="163" customFormat="1" hidden="1">
      <c r="A21" s="169">
        <v>9</v>
      </c>
      <c r="B21" s="174" t="s">
        <v>1467</v>
      </c>
      <c r="C21" s="171" t="s">
        <v>5</v>
      </c>
      <c r="D21" s="175" t="str">
        <f t="shared" si="2"/>
        <v>Ramatherdham</v>
      </c>
      <c r="E21" s="176">
        <f t="shared" si="3"/>
        <v>67</v>
      </c>
      <c r="F21" s="176">
        <f>VLOOKUP(E21,'convey 24-25'!A6:F313,3,FALSE)</f>
        <v>913.59999999999854</v>
      </c>
      <c r="G21" s="173">
        <f>'MINI SSR 2024-25'!C17</f>
        <v>684</v>
      </c>
      <c r="H21" s="173">
        <v>70</v>
      </c>
      <c r="I21" s="173">
        <f>ROUND(G21*0.25,2)</f>
        <v>171</v>
      </c>
      <c r="J21" s="173"/>
      <c r="K21" s="173"/>
      <c r="L21" s="212">
        <f t="shared" si="0"/>
        <v>1838.5999999999985</v>
      </c>
    </row>
    <row r="22" spans="1:12" s="163" customFormat="1" hidden="1">
      <c r="A22" s="169">
        <v>15</v>
      </c>
      <c r="B22" s="174" t="s">
        <v>960</v>
      </c>
      <c r="C22" s="171" t="s">
        <v>5</v>
      </c>
      <c r="D22" s="175" t="str">
        <f>D21</f>
        <v>Ramatherdham</v>
      </c>
      <c r="E22" s="176">
        <f>E21</f>
        <v>67</v>
      </c>
      <c r="F22" s="176">
        <f>VLOOKUP(E22,'convey 24-25'!A6:F314,3,FALSE)</f>
        <v>913.59999999999854</v>
      </c>
      <c r="G22" s="173">
        <f>'MINI SSR 2024-25'!C18</f>
        <v>315</v>
      </c>
      <c r="H22" s="173">
        <v>70</v>
      </c>
      <c r="I22" s="173"/>
      <c r="J22" s="173"/>
      <c r="K22" s="173"/>
      <c r="L22" s="212">
        <f t="shared" si="0"/>
        <v>1298.5999999999985</v>
      </c>
    </row>
    <row r="23" spans="1:12" s="162" customFormat="1" hidden="1">
      <c r="A23" s="169">
        <v>9</v>
      </c>
      <c r="B23" s="177" t="s">
        <v>1111</v>
      </c>
      <c r="C23" s="171" t="s">
        <v>102</v>
      </c>
      <c r="D23" s="175" t="str">
        <f>D22</f>
        <v>Ramatherdham</v>
      </c>
      <c r="E23" s="176">
        <f>E21</f>
        <v>67</v>
      </c>
      <c r="F23" s="176">
        <f>VLOOKUP(E23,'convey 24-25'!A6:F315,5,FALSE)*0.16</f>
        <v>214.91520000000014</v>
      </c>
      <c r="G23" s="173">
        <f>'MINI SSR 2024-25'!C19</f>
        <v>2152</v>
      </c>
      <c r="H23" s="173"/>
      <c r="I23" s="173"/>
      <c r="J23" s="173"/>
      <c r="K23" s="173"/>
      <c r="L23" s="212">
        <f t="shared" si="0"/>
        <v>2366.9152000000004</v>
      </c>
    </row>
    <row r="24" spans="1:12" s="162" customFormat="1" hidden="1">
      <c r="A24" s="169">
        <v>5</v>
      </c>
      <c r="B24" s="174" t="s">
        <v>975</v>
      </c>
      <c r="C24" s="171"/>
      <c r="D24" s="175" t="s">
        <v>976</v>
      </c>
      <c r="E24" s="176">
        <f>N6</f>
        <v>89</v>
      </c>
      <c r="F24" s="176">
        <f>VLOOKUP(E24,'convey 24-25'!A7:F316,5,FALSE)</f>
        <v>1737.2400000000027</v>
      </c>
      <c r="G24" s="173">
        <f>'MINI SSR 2024-25'!C24</f>
        <v>30000</v>
      </c>
      <c r="H24" s="173"/>
      <c r="I24" s="173"/>
      <c r="J24" s="173"/>
      <c r="K24" s="173"/>
      <c r="L24" s="212">
        <f t="shared" si="0"/>
        <v>31737.24</v>
      </c>
    </row>
    <row r="25" spans="1:12" s="162" customFormat="1" hidden="1">
      <c r="A25" s="169">
        <v>18</v>
      </c>
      <c r="B25" s="174" t="s">
        <v>1824</v>
      </c>
      <c r="C25" s="171" t="s">
        <v>5</v>
      </c>
      <c r="D25" s="175" t="s">
        <v>3</v>
      </c>
      <c r="E25" s="176">
        <v>5</v>
      </c>
      <c r="F25" s="176">
        <f>VLOOKUP(E25,'convey 24-25'!A6:F317,2,FALSE)</f>
        <v>101.33</v>
      </c>
      <c r="G25" s="173">
        <f>'MINI SSR 2024-25'!C25</f>
        <v>144</v>
      </c>
      <c r="H25" s="173"/>
      <c r="I25" s="173"/>
      <c r="J25" s="173"/>
      <c r="K25" s="173"/>
      <c r="L25" s="212">
        <f t="shared" si="0"/>
        <v>245.32999999999998</v>
      </c>
    </row>
    <row r="26" spans="1:12" s="162" customFormat="1" hidden="1">
      <c r="A26" s="169">
        <v>19</v>
      </c>
      <c r="B26" s="174" t="s">
        <v>649</v>
      </c>
      <c r="C26" s="171" t="s">
        <v>5</v>
      </c>
      <c r="D26" s="175" t="s">
        <v>3</v>
      </c>
      <c r="E26" s="176">
        <v>5</v>
      </c>
      <c r="F26" s="176">
        <f>VLOOKUP(E26,'convey 24-25'!A6:F318,2,FALSE)</f>
        <v>101.33</v>
      </c>
      <c r="G26" s="173">
        <f>'MINI SSR 2024-25'!C26</f>
        <v>165</v>
      </c>
      <c r="H26" s="173"/>
      <c r="I26" s="173"/>
      <c r="J26" s="173"/>
      <c r="K26" s="173"/>
      <c r="L26" s="212">
        <f t="shared" si="0"/>
        <v>266.33</v>
      </c>
    </row>
    <row r="27" spans="1:12" s="164" customFormat="1">
      <c r="A27" s="169"/>
      <c r="B27" s="178"/>
      <c r="C27" s="169"/>
      <c r="D27" s="178"/>
      <c r="E27" s="178"/>
      <c r="F27" s="178"/>
      <c r="G27" s="178"/>
      <c r="H27" s="178"/>
      <c r="I27" s="178"/>
      <c r="J27" s="178"/>
      <c r="K27" s="178"/>
      <c r="L27" s="213"/>
    </row>
    <row r="28" spans="1:12" s="164" customFormat="1">
      <c r="A28" s="162"/>
      <c r="C28" s="162"/>
    </row>
    <row r="29" spans="1:12" s="164" customFormat="1">
      <c r="A29" s="162" t="s">
        <v>1238</v>
      </c>
      <c r="B29" s="214" t="s">
        <v>1237</v>
      </c>
      <c r="C29" s="162"/>
    </row>
    <row r="30" spans="1:12" s="164" customFormat="1">
      <c r="A30" s="162" t="s">
        <v>1239</v>
      </c>
      <c r="B30" s="214" t="s">
        <v>2262</v>
      </c>
      <c r="C30" s="162"/>
    </row>
    <row r="31" spans="1:12" s="164" customFormat="1">
      <c r="A31" s="162"/>
      <c r="B31" s="214"/>
      <c r="C31" s="162"/>
    </row>
    <row r="32" spans="1:12" s="10" customFormat="1">
      <c r="B32" s="164"/>
      <c r="C32" s="162"/>
      <c r="D32" s="162"/>
      <c r="E32" s="164"/>
      <c r="F32" s="144"/>
      <c r="H32" s="165" t="s">
        <v>142</v>
      </c>
      <c r="J32" s="144"/>
      <c r="K32" s="165" t="s">
        <v>2310</v>
      </c>
      <c r="L32" s="144"/>
    </row>
    <row r="33" spans="1:12" s="10" customFormat="1">
      <c r="B33" s="164"/>
      <c r="C33" s="162"/>
      <c r="D33" s="162"/>
      <c r="E33" s="164"/>
      <c r="H33" s="165" t="s">
        <v>808</v>
      </c>
      <c r="J33" s="144"/>
      <c r="K33" s="165" t="s">
        <v>809</v>
      </c>
      <c r="L33" s="144"/>
    </row>
    <row r="34" spans="1:12" s="164" customFormat="1">
      <c r="A34" s="162"/>
      <c r="C34" s="162"/>
      <c r="D34" s="162"/>
      <c r="H34" s="165" t="s">
        <v>1885</v>
      </c>
      <c r="K34" s="165" t="s">
        <v>2369</v>
      </c>
    </row>
    <row r="35" spans="1:12" s="164" customFormat="1">
      <c r="A35" s="162"/>
      <c r="C35" s="162"/>
      <c r="D35" s="162"/>
    </row>
    <row r="36" spans="1:12" s="164" customFormat="1">
      <c r="A36" s="162"/>
      <c r="C36" s="162"/>
      <c r="D36" s="162"/>
    </row>
  </sheetData>
  <mergeCells count="14">
    <mergeCell ref="A1:L1"/>
    <mergeCell ref="A5:A6"/>
    <mergeCell ref="B5:B6"/>
    <mergeCell ref="C5:C6"/>
    <mergeCell ref="D5:D6"/>
    <mergeCell ref="E5:E6"/>
    <mergeCell ref="F5:F6"/>
    <mergeCell ref="G5:G6"/>
    <mergeCell ref="H5:H6"/>
    <mergeCell ref="I5:I6"/>
    <mergeCell ref="J5:J6"/>
    <mergeCell ref="K5:K6"/>
    <mergeCell ref="L5:L6"/>
    <mergeCell ref="C2:L2"/>
  </mergeCells>
  <printOptions horizontalCentered="1"/>
  <pageMargins left="0.71" right="0.2" top="0.25" bottom="0.25" header="0.3" footer="0.3"/>
  <pageSetup paperSize="9" orientation="landscape" verticalDpi="300" r:id="rId1"/>
  <rowBreaks count="1" manualBreakCount="1">
    <brk id="35"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tabColor rgb="FFFF0000"/>
  </sheetPr>
  <dimension ref="A1:N1031"/>
  <sheetViews>
    <sheetView view="pageBreakPreview" topLeftCell="A436" zoomScale="145" zoomScaleSheetLayoutView="145" workbookViewId="0">
      <selection activeCell="C6" sqref="C6"/>
    </sheetView>
  </sheetViews>
  <sheetFormatPr defaultRowHeight="12.75"/>
  <cols>
    <col min="1" max="1" width="4.5703125" style="10" customWidth="1"/>
    <col min="2" max="2" width="10.42578125" style="10" customWidth="1"/>
    <col min="3" max="3" width="40.42578125" style="808" customWidth="1"/>
    <col min="4" max="4" width="6.5703125" style="20" bestFit="1" customWidth="1"/>
    <col min="5" max="5" width="8.5703125" style="20" customWidth="1"/>
    <col min="6" max="6" width="9.5703125" style="20" bestFit="1" customWidth="1"/>
    <col min="7" max="7" width="10.5703125" style="10" customWidth="1"/>
    <col min="8" max="8" width="7.5703125" style="21" customWidth="1"/>
    <col min="9" max="9" width="3" style="10" bestFit="1" customWidth="1"/>
    <col min="10" max="10" width="9.140625" style="10"/>
    <col min="11" max="11" width="8.5703125" style="10" bestFit="1" customWidth="1"/>
    <col min="12" max="12" width="55.5703125" style="10" customWidth="1"/>
    <col min="13" max="13" width="10.42578125" style="10" customWidth="1"/>
    <col min="14" max="14" width="5.42578125" style="10" bestFit="1" customWidth="1"/>
    <col min="15" max="16384" width="9.140625" style="10"/>
  </cols>
  <sheetData>
    <row r="1" spans="1:14">
      <c r="A1" s="937" t="s">
        <v>2265</v>
      </c>
      <c r="B1" s="937"/>
      <c r="C1" s="937"/>
      <c r="D1" s="937"/>
      <c r="E1" s="937"/>
      <c r="F1" s="937"/>
      <c r="G1" s="937"/>
    </row>
    <row r="2" spans="1:14" ht="24.75" customHeight="1">
      <c r="A2" s="938" t="str">
        <f>'lead 24-25'!B2&amp;'lead 24-25'!C2</f>
        <v>Name of the Work: Completion of incomplete Anganwadi building  in Paletipalli village of P.C.Palli Mandal.</v>
      </c>
      <c r="B2" s="938"/>
      <c r="C2" s="938"/>
      <c r="D2" s="938"/>
      <c r="E2" s="938"/>
      <c r="F2" s="938"/>
      <c r="G2" s="938"/>
    </row>
    <row r="3" spans="1:14">
      <c r="A3" s="144"/>
      <c r="B3" s="10" t="s">
        <v>2361</v>
      </c>
      <c r="C3" s="815">
        <v>0.13614999999999999</v>
      </c>
      <c r="E3" s="20" t="s">
        <v>262</v>
      </c>
      <c r="F3" s="165" t="str">
        <f>'lead 24-25'!K4</f>
        <v>15.00 Lakhs</v>
      </c>
    </row>
    <row r="4" spans="1:14" ht="3" customHeight="1"/>
    <row r="5" spans="1:14" s="126" customFormat="1" ht="19.5" customHeight="1">
      <c r="A5" s="287" t="s">
        <v>23</v>
      </c>
      <c r="B5" s="287" t="s">
        <v>24</v>
      </c>
      <c r="C5" s="473" t="s">
        <v>25</v>
      </c>
      <c r="D5" s="287" t="s">
        <v>16</v>
      </c>
      <c r="E5" s="287" t="s">
        <v>6</v>
      </c>
      <c r="F5" s="287" t="s">
        <v>8</v>
      </c>
      <c r="G5" s="287" t="s">
        <v>10</v>
      </c>
      <c r="H5" s="167"/>
    </row>
    <row r="6" spans="1:14" ht="25.5">
      <c r="A6" s="128">
        <v>1</v>
      </c>
      <c r="B6" s="128" t="s">
        <v>46</v>
      </c>
      <c r="C6" s="557" t="s">
        <v>43</v>
      </c>
      <c r="D6" s="128"/>
      <c r="E6" s="128"/>
      <c r="F6" s="128"/>
      <c r="G6" s="128"/>
      <c r="K6" s="614" t="s">
        <v>187</v>
      </c>
      <c r="L6" s="615" t="s">
        <v>1058</v>
      </c>
      <c r="M6" s="616">
        <v>625</v>
      </c>
      <c r="N6" s="617" t="s">
        <v>108</v>
      </c>
    </row>
    <row r="7" spans="1:14" ht="15">
      <c r="A7" s="128"/>
      <c r="B7" s="128"/>
      <c r="C7" s="473" t="s">
        <v>44</v>
      </c>
      <c r="D7" s="128" t="s">
        <v>4</v>
      </c>
      <c r="E7" s="208">
        <f>1440/3</f>
        <v>480</v>
      </c>
      <c r="F7" s="208">
        <f>'lead 24-25'!$L$8</f>
        <v>4218.8</v>
      </c>
      <c r="G7" s="125">
        <f>ROUND(E7*F7/1000,2)</f>
        <v>2025.02</v>
      </c>
      <c r="K7" s="614" t="s">
        <v>216</v>
      </c>
      <c r="L7" s="615" t="s">
        <v>1059</v>
      </c>
      <c r="M7" s="616">
        <v>580</v>
      </c>
      <c r="N7" s="617" t="s">
        <v>108</v>
      </c>
    </row>
    <row r="8" spans="1:14">
      <c r="A8" s="128"/>
      <c r="B8" s="128"/>
      <c r="C8" s="473" t="s">
        <v>109</v>
      </c>
      <c r="D8" s="128" t="s">
        <v>35</v>
      </c>
      <c r="E8" s="208">
        <v>1.05</v>
      </c>
      <c r="F8" s="208">
        <f>'lead 24-25'!$L$13</f>
        <v>1013.4699999999982</v>
      </c>
      <c r="G8" s="125">
        <f>ROUND(E8*F8,2)</f>
        <v>1064.1400000000001</v>
      </c>
      <c r="K8" s="614" t="s">
        <v>221</v>
      </c>
      <c r="L8" s="615" t="s">
        <v>149</v>
      </c>
      <c r="M8" s="616">
        <v>575</v>
      </c>
      <c r="N8" s="617" t="s">
        <v>108</v>
      </c>
    </row>
    <row r="9" spans="1:14" ht="15">
      <c r="A9" s="128"/>
      <c r="B9" s="128"/>
      <c r="C9" s="473" t="s">
        <v>45</v>
      </c>
      <c r="D9" s="128" t="s">
        <v>27</v>
      </c>
      <c r="E9" s="208">
        <v>0.2</v>
      </c>
      <c r="F9" s="208">
        <f>'MINI SSR 2024-25'!$H$5</f>
        <v>595</v>
      </c>
      <c r="G9" s="125">
        <f>ROUND(E9*F9,2)</f>
        <v>119</v>
      </c>
      <c r="K9" s="614" t="s">
        <v>157</v>
      </c>
      <c r="L9" s="615" t="s">
        <v>1060</v>
      </c>
      <c r="M9" s="616">
        <v>500</v>
      </c>
      <c r="N9" s="617" t="s">
        <v>108</v>
      </c>
    </row>
    <row r="10" spans="1:14" ht="15">
      <c r="A10" s="128"/>
      <c r="B10" s="128"/>
      <c r="C10" s="473"/>
      <c r="D10" s="128"/>
      <c r="E10" s="128"/>
      <c r="F10" s="128"/>
      <c r="G10" s="204">
        <f>SUM(G7:G9)</f>
        <v>3208.16</v>
      </c>
      <c r="K10" s="614" t="s">
        <v>160</v>
      </c>
      <c r="L10" s="615" t="s">
        <v>1061</v>
      </c>
      <c r="M10" s="616">
        <v>460</v>
      </c>
      <c r="N10" s="617" t="s">
        <v>108</v>
      </c>
    </row>
    <row r="11" spans="1:14" ht="25.5" hidden="1">
      <c r="A11" s="128">
        <v>2</v>
      </c>
      <c r="B11" s="128" t="s">
        <v>51</v>
      </c>
      <c r="C11" s="557" t="s">
        <v>47</v>
      </c>
      <c r="D11" s="128"/>
      <c r="E11" s="128"/>
      <c r="F11" s="128"/>
      <c r="G11" s="128"/>
      <c r="K11" s="614" t="s">
        <v>222</v>
      </c>
      <c r="L11" s="615" t="s">
        <v>150</v>
      </c>
      <c r="M11" s="616">
        <v>471</v>
      </c>
      <c r="N11" s="617" t="s">
        <v>108</v>
      </c>
    </row>
    <row r="12" spans="1:14" hidden="1">
      <c r="A12" s="128"/>
      <c r="B12" s="128"/>
      <c r="C12" s="473" t="s">
        <v>44</v>
      </c>
      <c r="D12" s="128" t="s">
        <v>4</v>
      </c>
      <c r="E12" s="208">
        <f>1440/4</f>
        <v>360</v>
      </c>
      <c r="F12" s="208">
        <f>'lead 24-25'!$L$8</f>
        <v>4218.8</v>
      </c>
      <c r="G12" s="125">
        <f>ROUND(E12*F12/1000,2)</f>
        <v>1518.77</v>
      </c>
      <c r="K12" s="614" t="s">
        <v>152</v>
      </c>
      <c r="L12" s="615" t="s">
        <v>147</v>
      </c>
      <c r="M12" s="616">
        <v>420</v>
      </c>
      <c r="N12" s="617" t="s">
        <v>108</v>
      </c>
    </row>
    <row r="13" spans="1:14" hidden="1">
      <c r="A13" s="128"/>
      <c r="B13" s="128"/>
      <c r="C13" s="473" t="s">
        <v>109</v>
      </c>
      <c r="D13" s="128" t="s">
        <v>35</v>
      </c>
      <c r="E13" s="208">
        <v>1.05</v>
      </c>
      <c r="F13" s="208">
        <f>'lead 24-25'!$L$13</f>
        <v>1013.4699999999982</v>
      </c>
      <c r="G13" s="125">
        <f>ROUND(E13*F13,2)</f>
        <v>1064.1400000000001</v>
      </c>
      <c r="K13" s="614" t="s">
        <v>223</v>
      </c>
      <c r="L13" s="615" t="s">
        <v>151</v>
      </c>
      <c r="M13" s="616">
        <v>471</v>
      </c>
      <c r="N13" s="617" t="s">
        <v>108</v>
      </c>
    </row>
    <row r="14" spans="1:14" hidden="1">
      <c r="A14" s="128"/>
      <c r="B14" s="128"/>
      <c r="C14" s="473" t="s">
        <v>45</v>
      </c>
      <c r="D14" s="128" t="s">
        <v>27</v>
      </c>
      <c r="E14" s="208">
        <v>0.2</v>
      </c>
      <c r="F14" s="208">
        <f>'MINI SSR 2024-25'!$H$5</f>
        <v>595</v>
      </c>
      <c r="G14" s="125">
        <f>ROUND(E14*F14,2)</f>
        <v>119</v>
      </c>
      <c r="K14" s="614" t="s">
        <v>153</v>
      </c>
      <c r="L14" s="615" t="s">
        <v>1062</v>
      </c>
      <c r="M14" s="616">
        <v>80</v>
      </c>
      <c r="N14" s="617" t="s">
        <v>148</v>
      </c>
    </row>
    <row r="15" spans="1:14" hidden="1">
      <c r="A15" s="128"/>
      <c r="B15" s="128"/>
      <c r="C15" s="473"/>
      <c r="D15" s="128"/>
      <c r="E15" s="128"/>
      <c r="F15" s="128"/>
      <c r="G15" s="204">
        <f>SUM(G12:G14)</f>
        <v>2701.91</v>
      </c>
      <c r="K15" s="614" t="s">
        <v>156</v>
      </c>
      <c r="L15" s="615" t="s">
        <v>154</v>
      </c>
      <c r="M15" s="616">
        <v>524.70000000000005</v>
      </c>
      <c r="N15" s="617" t="s">
        <v>155</v>
      </c>
    </row>
    <row r="16" spans="1:14" ht="25.5" hidden="1">
      <c r="A16" s="128">
        <v>2</v>
      </c>
      <c r="B16" s="128" t="s">
        <v>52</v>
      </c>
      <c r="C16" s="557" t="s">
        <v>48</v>
      </c>
      <c r="D16" s="128"/>
      <c r="E16" s="128"/>
      <c r="F16" s="128"/>
      <c r="G16" s="128"/>
      <c r="K16" s="614" t="s">
        <v>162</v>
      </c>
      <c r="L16" s="615" t="s">
        <v>161</v>
      </c>
      <c r="M16" s="616">
        <v>209.1</v>
      </c>
      <c r="N16" s="618" t="s">
        <v>155</v>
      </c>
    </row>
    <row r="17" spans="1:14" hidden="1">
      <c r="A17" s="128"/>
      <c r="B17" s="128"/>
      <c r="C17" s="473" t="s">
        <v>44</v>
      </c>
      <c r="D17" s="128" t="s">
        <v>4</v>
      </c>
      <c r="E17" s="208">
        <f>1440/5</f>
        <v>288</v>
      </c>
      <c r="F17" s="208">
        <f>'lead 24-25'!$L$8</f>
        <v>4218.8</v>
      </c>
      <c r="G17" s="125">
        <f>ROUND(E17*F17/1000,2)</f>
        <v>1215.01</v>
      </c>
      <c r="K17" s="614" t="s">
        <v>224</v>
      </c>
      <c r="L17" s="615" t="s">
        <v>38</v>
      </c>
      <c r="M17" s="616">
        <v>55</v>
      </c>
      <c r="N17" s="618" t="s">
        <v>4</v>
      </c>
    </row>
    <row r="18" spans="1:14" hidden="1">
      <c r="A18" s="128"/>
      <c r="B18" s="128"/>
      <c r="C18" s="473" t="s">
        <v>109</v>
      </c>
      <c r="D18" s="128" t="s">
        <v>35</v>
      </c>
      <c r="E18" s="208">
        <v>1.05</v>
      </c>
      <c r="F18" s="208">
        <f>'lead 24-25'!$L$13</f>
        <v>1013.4699999999982</v>
      </c>
      <c r="G18" s="125">
        <f>ROUND(E18*F18,2)</f>
        <v>1064.1400000000001</v>
      </c>
      <c r="K18" s="614"/>
      <c r="L18" s="615"/>
      <c r="M18" s="616"/>
      <c r="N18" s="617"/>
    </row>
    <row r="19" spans="1:14" hidden="1">
      <c r="A19" s="128"/>
      <c r="B19" s="128"/>
      <c r="C19" s="473" t="s">
        <v>45</v>
      </c>
      <c r="D19" s="128" t="s">
        <v>27</v>
      </c>
      <c r="E19" s="208">
        <v>0.2</v>
      </c>
      <c r="F19" s="208">
        <f>'MINI SSR 2024-25'!$H$5</f>
        <v>595</v>
      </c>
      <c r="G19" s="125">
        <f>ROUND(E19*F19,2)</f>
        <v>119</v>
      </c>
      <c r="K19" s="614"/>
      <c r="L19" s="615"/>
      <c r="M19" s="616"/>
      <c r="N19" s="617"/>
    </row>
    <row r="20" spans="1:14" hidden="1">
      <c r="A20" s="128"/>
      <c r="B20" s="128"/>
      <c r="C20" s="473"/>
      <c r="D20" s="128"/>
      <c r="E20" s="128"/>
      <c r="F20" s="128"/>
      <c r="G20" s="204">
        <f>SUM(G17:G19)</f>
        <v>2398.15</v>
      </c>
      <c r="K20" s="614"/>
      <c r="L20" s="615"/>
      <c r="M20" s="616"/>
      <c r="N20" s="617"/>
    </row>
    <row r="21" spans="1:14" ht="25.5" hidden="1">
      <c r="A21" s="128">
        <v>4</v>
      </c>
      <c r="B21" s="128" t="s">
        <v>53</v>
      </c>
      <c r="C21" s="557" t="s">
        <v>49</v>
      </c>
      <c r="D21" s="128"/>
      <c r="E21" s="128"/>
      <c r="F21" s="128"/>
      <c r="G21" s="128"/>
      <c r="K21" s="614"/>
      <c r="L21" s="615"/>
      <c r="M21" s="616"/>
      <c r="N21" s="617"/>
    </row>
    <row r="22" spans="1:14" hidden="1">
      <c r="A22" s="128"/>
      <c r="B22" s="128"/>
      <c r="C22" s="473" t="s">
        <v>44</v>
      </c>
      <c r="D22" s="128" t="s">
        <v>4</v>
      </c>
      <c r="E22" s="208">
        <f>1440/6</f>
        <v>240</v>
      </c>
      <c r="F22" s="208">
        <f>'lead 24-25'!$L$8</f>
        <v>4218.8</v>
      </c>
      <c r="G22" s="125">
        <f>ROUND(E22*F22/1000,2)</f>
        <v>1012.51</v>
      </c>
      <c r="K22" s="614"/>
      <c r="L22" s="615"/>
      <c r="M22" s="616"/>
      <c r="N22" s="617"/>
    </row>
    <row r="23" spans="1:14" hidden="1">
      <c r="A23" s="128"/>
      <c r="B23" s="128"/>
      <c r="C23" s="473" t="s">
        <v>110</v>
      </c>
      <c r="D23" s="128" t="s">
        <v>35</v>
      </c>
      <c r="E23" s="208">
        <v>1.05</v>
      </c>
      <c r="F23" s="208">
        <f>'lead 24-25'!$L$13</f>
        <v>1013.4699999999982</v>
      </c>
      <c r="G23" s="125">
        <f>ROUND(E23*F23,2)</f>
        <v>1064.1400000000001</v>
      </c>
      <c r="K23" s="614"/>
      <c r="L23" s="615"/>
      <c r="M23" s="616"/>
      <c r="N23" s="617"/>
    </row>
    <row r="24" spans="1:14" hidden="1">
      <c r="A24" s="128"/>
      <c r="B24" s="128"/>
      <c r="C24" s="473" t="s">
        <v>45</v>
      </c>
      <c r="D24" s="128" t="s">
        <v>27</v>
      </c>
      <c r="E24" s="208">
        <v>0.2</v>
      </c>
      <c r="F24" s="208">
        <f>'MINI SSR 2024-25'!$H$5</f>
        <v>595</v>
      </c>
      <c r="G24" s="125">
        <f>ROUND(E24*F24,2)</f>
        <v>119</v>
      </c>
      <c r="K24" s="614"/>
      <c r="L24" s="615"/>
      <c r="M24" s="616"/>
      <c r="N24" s="617"/>
    </row>
    <row r="25" spans="1:14" hidden="1">
      <c r="A25" s="128"/>
      <c r="B25" s="128"/>
      <c r="C25" s="473"/>
      <c r="D25" s="128"/>
      <c r="E25" s="128"/>
      <c r="F25" s="128"/>
      <c r="G25" s="204">
        <f>SUM(G22:G24)</f>
        <v>2195.65</v>
      </c>
    </row>
    <row r="26" spans="1:14" ht="25.5" hidden="1">
      <c r="A26" s="128">
        <v>5</v>
      </c>
      <c r="B26" s="128" t="s">
        <v>54</v>
      </c>
      <c r="C26" s="557" t="s">
        <v>50</v>
      </c>
      <c r="D26" s="128"/>
      <c r="E26" s="128"/>
      <c r="F26" s="128"/>
      <c r="G26" s="128"/>
    </row>
    <row r="27" spans="1:14" hidden="1">
      <c r="A27" s="128"/>
      <c r="B27" s="128"/>
      <c r="C27" s="473" t="s">
        <v>44</v>
      </c>
      <c r="D27" s="128" t="s">
        <v>4</v>
      </c>
      <c r="E27" s="208">
        <f>1440/8</f>
        <v>180</v>
      </c>
      <c r="F27" s="208">
        <f>'lead 24-25'!$L$8</f>
        <v>4218.8</v>
      </c>
      <c r="G27" s="125">
        <f>ROUND(E27*F27/1000,2)</f>
        <v>759.38</v>
      </c>
    </row>
    <row r="28" spans="1:14" hidden="1">
      <c r="A28" s="128"/>
      <c r="B28" s="128"/>
      <c r="C28" s="473" t="s">
        <v>110</v>
      </c>
      <c r="D28" s="128" t="s">
        <v>35</v>
      </c>
      <c r="E28" s="208">
        <v>1.05</v>
      </c>
      <c r="F28" s="208">
        <f>'lead 24-25'!$L$13</f>
        <v>1013.4699999999982</v>
      </c>
      <c r="G28" s="125">
        <f>ROUND(E28*F28,2)</f>
        <v>1064.1400000000001</v>
      </c>
    </row>
    <row r="29" spans="1:14" hidden="1">
      <c r="A29" s="128"/>
      <c r="B29" s="128"/>
      <c r="C29" s="473" t="s">
        <v>45</v>
      </c>
      <c r="D29" s="128" t="s">
        <v>27</v>
      </c>
      <c r="E29" s="208">
        <v>0.2</v>
      </c>
      <c r="F29" s="208">
        <f>'MINI SSR 2024-25'!$H$5</f>
        <v>595</v>
      </c>
      <c r="G29" s="125">
        <f>ROUND(E29*F29,2)</f>
        <v>119</v>
      </c>
    </row>
    <row r="30" spans="1:14" hidden="1">
      <c r="A30" s="128"/>
      <c r="B30" s="128"/>
      <c r="C30" s="473"/>
      <c r="D30" s="128"/>
      <c r="E30" s="128"/>
      <c r="F30" s="128"/>
      <c r="G30" s="204">
        <f>SUM(G27:G29)</f>
        <v>1942.52</v>
      </c>
    </row>
    <row r="31" spans="1:14" ht="25.5" hidden="1">
      <c r="A31" s="128">
        <v>1</v>
      </c>
      <c r="B31" s="128"/>
      <c r="C31" s="473" t="s">
        <v>780</v>
      </c>
      <c r="D31" s="128"/>
      <c r="E31" s="128"/>
      <c r="F31" s="128"/>
      <c r="G31" s="128"/>
    </row>
    <row r="32" spans="1:14" hidden="1">
      <c r="A32" s="128"/>
      <c r="B32" s="128"/>
      <c r="C32" s="473" t="s">
        <v>775</v>
      </c>
      <c r="D32" s="619">
        <v>0.6</v>
      </c>
      <c r="E32" s="619">
        <f>'lead 24-25'!L18</f>
        <v>2589.8499999999985</v>
      </c>
      <c r="F32" s="619">
        <f>ROUND(D32*E32,2)</f>
        <v>1553.91</v>
      </c>
      <c r="G32" s="128"/>
    </row>
    <row r="33" spans="1:7" hidden="1">
      <c r="A33" s="128"/>
      <c r="B33" s="128"/>
      <c r="C33" s="473" t="s">
        <v>776</v>
      </c>
      <c r="D33" s="619">
        <v>0.15</v>
      </c>
      <c r="E33" s="619">
        <f>'lead 24-25'!L19</f>
        <v>2263.5999999999985</v>
      </c>
      <c r="F33" s="619">
        <f>ROUND(D33*E33,2)</f>
        <v>339.54</v>
      </c>
      <c r="G33" s="128"/>
    </row>
    <row r="34" spans="1:7" hidden="1">
      <c r="A34" s="128"/>
      <c r="B34" s="128"/>
      <c r="C34" s="473" t="s">
        <v>777</v>
      </c>
      <c r="D34" s="619">
        <v>0.15</v>
      </c>
      <c r="E34" s="619">
        <f>'lead 24-25'!L20</f>
        <v>2058.5999999999985</v>
      </c>
      <c r="F34" s="619">
        <f>ROUND(D34*E34,2)</f>
        <v>308.79000000000002</v>
      </c>
      <c r="G34" s="128"/>
    </row>
    <row r="35" spans="1:7" hidden="1">
      <c r="A35" s="128"/>
      <c r="B35" s="128"/>
      <c r="C35" s="473" t="s">
        <v>778</v>
      </c>
      <c r="D35" s="619">
        <v>0.1</v>
      </c>
      <c r="E35" s="619">
        <f>'lead 24-25'!L21</f>
        <v>1838.5999999999985</v>
      </c>
      <c r="F35" s="619">
        <f>ROUND(D35*E35,2)</f>
        <v>183.86</v>
      </c>
      <c r="G35" s="128"/>
    </row>
    <row r="36" spans="1:7" hidden="1">
      <c r="A36" s="128"/>
      <c r="B36" s="128"/>
      <c r="C36" s="557" t="s">
        <v>779</v>
      </c>
      <c r="D36" s="128"/>
      <c r="E36" s="128"/>
      <c r="F36" s="210">
        <f>SUM(F32:F35)</f>
        <v>2386.1000000000004</v>
      </c>
      <c r="G36" s="128"/>
    </row>
    <row r="37" spans="1:7" s="624" customFormat="1" ht="89.25" hidden="1">
      <c r="A37" s="620">
        <v>2</v>
      </c>
      <c r="B37" s="621" t="s">
        <v>2270</v>
      </c>
      <c r="C37" s="127" t="s">
        <v>2281</v>
      </c>
      <c r="D37" s="127"/>
      <c r="E37" s="127"/>
      <c r="F37" s="622"/>
      <c r="G37" s="623"/>
    </row>
    <row r="38" spans="1:7" s="132" customFormat="1" hidden="1">
      <c r="A38" s="207"/>
      <c r="B38" s="510"/>
      <c r="C38" s="127" t="s">
        <v>2271</v>
      </c>
      <c r="D38" s="473"/>
      <c r="E38" s="625"/>
      <c r="F38" s="626"/>
      <c r="G38" s="209"/>
    </row>
    <row r="39" spans="1:7" s="132" customFormat="1" hidden="1">
      <c r="A39" s="207"/>
      <c r="B39" s="510"/>
      <c r="C39" s="127" t="s">
        <v>2272</v>
      </c>
      <c r="D39" s="473"/>
      <c r="E39" s="627"/>
      <c r="F39" s="626"/>
      <c r="G39" s="209"/>
    </row>
    <row r="40" spans="1:7" s="132" customFormat="1" hidden="1">
      <c r="A40" s="207"/>
      <c r="B40" s="510"/>
      <c r="C40" s="628" t="s">
        <v>2273</v>
      </c>
      <c r="D40" s="81"/>
      <c r="E40" s="627"/>
      <c r="F40" s="626"/>
      <c r="G40" s="209"/>
    </row>
    <row r="41" spans="1:7" s="132" customFormat="1" hidden="1">
      <c r="A41" s="207"/>
      <c r="B41" s="510"/>
      <c r="C41" s="628" t="s">
        <v>2274</v>
      </c>
      <c r="D41" s="81"/>
      <c r="E41" s="627"/>
      <c r="F41" s="626"/>
      <c r="G41" s="209"/>
    </row>
    <row r="42" spans="1:7" s="132" customFormat="1" hidden="1">
      <c r="A42" s="207"/>
      <c r="B42" s="510"/>
      <c r="C42" s="261" t="s">
        <v>2275</v>
      </c>
      <c r="D42" s="81"/>
      <c r="E42" s="627"/>
      <c r="F42" s="626"/>
      <c r="G42" s="209"/>
    </row>
    <row r="43" spans="1:7" s="132" customFormat="1" hidden="1">
      <c r="A43" s="207"/>
      <c r="B43" s="510"/>
      <c r="C43" s="127" t="s">
        <v>2276</v>
      </c>
      <c r="D43" s="81" t="s">
        <v>27</v>
      </c>
      <c r="E43" s="627" t="s">
        <v>15</v>
      </c>
      <c r="F43" s="626"/>
      <c r="G43" s="209"/>
    </row>
    <row r="44" spans="1:7" s="132" customFormat="1" hidden="1">
      <c r="A44" s="207"/>
      <c r="B44" s="510"/>
      <c r="C44" s="127" t="s">
        <v>1130</v>
      </c>
      <c r="D44" s="81" t="s">
        <v>27</v>
      </c>
      <c r="E44" s="627">
        <v>0.52</v>
      </c>
      <c r="F44" s="626">
        <v>595</v>
      </c>
      <c r="G44" s="204">
        <f>ROUND(F44*E44,2)</f>
        <v>309.39999999999998</v>
      </c>
    </row>
    <row r="45" spans="1:7" s="132" customFormat="1" hidden="1">
      <c r="A45" s="207"/>
      <c r="B45" s="510"/>
      <c r="C45" s="261" t="s">
        <v>2277</v>
      </c>
      <c r="D45" s="81"/>
      <c r="E45" s="627"/>
      <c r="F45" s="626"/>
      <c r="G45" s="209"/>
    </row>
    <row r="46" spans="1:7" s="132" customFormat="1" hidden="1">
      <c r="A46" s="207"/>
      <c r="B46" s="510"/>
      <c r="C46" s="127" t="s">
        <v>2278</v>
      </c>
      <c r="D46" s="81" t="s">
        <v>21</v>
      </c>
      <c r="E46" s="627">
        <v>0.83</v>
      </c>
      <c r="F46" s="626">
        <v>651.58000000000004</v>
      </c>
      <c r="G46" s="204">
        <f>ROUND(F46*E46,2)</f>
        <v>540.80999999999995</v>
      </c>
    </row>
    <row r="47" spans="1:7" s="132" customFormat="1" hidden="1">
      <c r="A47" s="207"/>
      <c r="B47" s="510"/>
      <c r="C47" s="127" t="s">
        <v>2279</v>
      </c>
      <c r="D47" s="81" t="s">
        <v>21</v>
      </c>
      <c r="E47" s="629">
        <v>0.27</v>
      </c>
      <c r="F47" s="626">
        <v>536</v>
      </c>
      <c r="G47" s="204">
        <f>ROUND(F47*E47,2)</f>
        <v>144.72</v>
      </c>
    </row>
    <row r="48" spans="1:7" s="132" customFormat="1" hidden="1">
      <c r="A48" s="207"/>
      <c r="B48" s="510"/>
      <c r="C48" s="127" t="s">
        <v>2280</v>
      </c>
      <c r="D48" s="81"/>
      <c r="E48" s="629"/>
      <c r="F48" s="626"/>
      <c r="G48" s="204">
        <f>SUM(G44:G47)</f>
        <v>994.93</v>
      </c>
    </row>
    <row r="49" spans="1:7" s="132" customFormat="1" hidden="1">
      <c r="A49" s="207"/>
      <c r="B49" s="510"/>
      <c r="C49" s="127" t="s">
        <v>86</v>
      </c>
      <c r="D49" s="630"/>
      <c r="E49" s="631"/>
      <c r="F49" s="626"/>
      <c r="G49" s="209">
        <f>ROUND(G48/1.25,2)</f>
        <v>795.94</v>
      </c>
    </row>
    <row r="50" spans="1:7" s="624" customFormat="1" ht="63.75" hidden="1">
      <c r="A50" s="620">
        <v>2</v>
      </c>
      <c r="B50" s="621" t="s">
        <v>2305</v>
      </c>
      <c r="C50" s="127" t="s">
        <v>2306</v>
      </c>
      <c r="D50" s="127"/>
      <c r="E50" s="127"/>
      <c r="F50" s="622"/>
      <c r="G50" s="623"/>
    </row>
    <row r="51" spans="1:7" s="132" customFormat="1" hidden="1">
      <c r="A51" s="207"/>
      <c r="B51" s="510"/>
      <c r="C51" s="127" t="s">
        <v>2271</v>
      </c>
      <c r="D51" s="473"/>
      <c r="E51" s="625"/>
      <c r="F51" s="626"/>
      <c r="G51" s="209"/>
    </row>
    <row r="52" spans="1:7" s="132" customFormat="1" hidden="1">
      <c r="A52" s="207"/>
      <c r="B52" s="510"/>
      <c r="C52" s="127" t="s">
        <v>2272</v>
      </c>
      <c r="D52" s="473"/>
      <c r="E52" s="627"/>
      <c r="F52" s="626"/>
      <c r="G52" s="209"/>
    </row>
    <row r="53" spans="1:7" s="132" customFormat="1" hidden="1">
      <c r="A53" s="207"/>
      <c r="B53" s="510"/>
      <c r="C53" s="628" t="s">
        <v>2273</v>
      </c>
      <c r="D53" s="81"/>
      <c r="E53" s="627"/>
      <c r="F53" s="626"/>
      <c r="G53" s="209"/>
    </row>
    <row r="54" spans="1:7" s="132" customFormat="1" hidden="1">
      <c r="A54" s="207"/>
      <c r="B54" s="510"/>
      <c r="C54" s="628" t="s">
        <v>2274</v>
      </c>
      <c r="D54" s="81"/>
      <c r="E54" s="627"/>
      <c r="F54" s="626"/>
      <c r="G54" s="209"/>
    </row>
    <row r="55" spans="1:7" s="132" customFormat="1" hidden="1">
      <c r="A55" s="207"/>
      <c r="B55" s="510"/>
      <c r="C55" s="261" t="s">
        <v>2275</v>
      </c>
      <c r="D55" s="81"/>
      <c r="E55" s="627"/>
      <c r="F55" s="626"/>
      <c r="G55" s="209"/>
    </row>
    <row r="56" spans="1:7" s="132" customFormat="1" hidden="1">
      <c r="A56" s="207"/>
      <c r="B56" s="510"/>
      <c r="C56" s="127" t="s">
        <v>2276</v>
      </c>
      <c r="D56" s="81" t="s">
        <v>27</v>
      </c>
      <c r="E56" s="627" t="s">
        <v>15</v>
      </c>
      <c r="F56" s="626"/>
      <c r="G56" s="209"/>
    </row>
    <row r="57" spans="1:7" s="132" customFormat="1" hidden="1">
      <c r="A57" s="207"/>
      <c r="B57" s="510"/>
      <c r="C57" s="127" t="s">
        <v>1130</v>
      </c>
      <c r="D57" s="81" t="s">
        <v>27</v>
      </c>
      <c r="E57" s="627">
        <v>0.78</v>
      </c>
      <c r="F57" s="626">
        <v>595</v>
      </c>
      <c r="G57" s="204">
        <f>ROUND(F57*E57,2)</f>
        <v>464.1</v>
      </c>
    </row>
    <row r="58" spans="1:7" s="132" customFormat="1" hidden="1">
      <c r="A58" s="207"/>
      <c r="B58" s="510"/>
      <c r="C58" s="261" t="s">
        <v>2277</v>
      </c>
      <c r="D58" s="81"/>
      <c r="E58" s="627"/>
      <c r="F58" s="626"/>
      <c r="G58" s="209"/>
    </row>
    <row r="59" spans="1:7" s="132" customFormat="1" hidden="1">
      <c r="A59" s="207"/>
      <c r="B59" s="510"/>
      <c r="C59" s="127" t="s">
        <v>2279</v>
      </c>
      <c r="D59" s="81" t="s">
        <v>21</v>
      </c>
      <c r="E59" s="629">
        <v>0.27</v>
      </c>
      <c r="F59" s="626">
        <v>536</v>
      </c>
      <c r="G59" s="204">
        <f>ROUND(F59*E59,2)</f>
        <v>144.72</v>
      </c>
    </row>
    <row r="60" spans="1:7" s="132" customFormat="1" hidden="1">
      <c r="A60" s="207"/>
      <c r="B60" s="510"/>
      <c r="C60" s="127" t="s">
        <v>2280</v>
      </c>
      <c r="D60" s="81"/>
      <c r="E60" s="629"/>
      <c r="F60" s="626"/>
      <c r="G60" s="204">
        <f>SUM(G57:G59)</f>
        <v>608.82000000000005</v>
      </c>
    </row>
    <row r="61" spans="1:7" s="132" customFormat="1" hidden="1">
      <c r="A61" s="207"/>
      <c r="B61" s="510"/>
      <c r="C61" s="127" t="s">
        <v>86</v>
      </c>
      <c r="D61" s="630"/>
      <c r="E61" s="631"/>
      <c r="F61" s="626"/>
      <c r="G61" s="209">
        <f>ROUND(G60/1.25,2)</f>
        <v>487.06</v>
      </c>
    </row>
    <row r="62" spans="1:7" ht="25.5" hidden="1">
      <c r="A62" s="81">
        <v>6</v>
      </c>
      <c r="B62" s="207"/>
      <c r="C62" s="473" t="s">
        <v>289</v>
      </c>
      <c r="D62" s="128"/>
      <c r="E62" s="128"/>
      <c r="F62" s="128"/>
      <c r="G62" s="111"/>
    </row>
    <row r="63" spans="1:7" hidden="1">
      <c r="A63" s="81"/>
      <c r="B63" s="207"/>
      <c r="C63" s="473" t="s">
        <v>31</v>
      </c>
      <c r="D63" s="128"/>
      <c r="E63" s="128"/>
      <c r="F63" s="128"/>
      <c r="G63" s="111"/>
    </row>
    <row r="64" spans="1:7" hidden="1">
      <c r="A64" s="81"/>
      <c r="B64" s="128"/>
      <c r="C64" s="473" t="s">
        <v>1113</v>
      </c>
      <c r="D64" s="128"/>
      <c r="E64" s="128"/>
      <c r="F64" s="128"/>
      <c r="G64" s="111"/>
    </row>
    <row r="65" spans="1:11" hidden="1">
      <c r="A65" s="81"/>
      <c r="B65" s="632"/>
      <c r="C65" s="473" t="s">
        <v>120</v>
      </c>
      <c r="D65" s="128"/>
      <c r="E65" s="128"/>
      <c r="F65" s="128"/>
      <c r="G65" s="125">
        <f>'MINI SSR 2024-25'!H25</f>
        <v>6.06</v>
      </c>
    </row>
    <row r="66" spans="1:11" hidden="1">
      <c r="A66" s="111"/>
      <c r="B66" s="111"/>
      <c r="C66" s="557" t="s">
        <v>117</v>
      </c>
      <c r="D66" s="81"/>
      <c r="E66" s="81"/>
      <c r="F66" s="81"/>
      <c r="G66" s="131">
        <f>SUM(G65)</f>
        <v>6.06</v>
      </c>
    </row>
    <row r="67" spans="1:11" ht="114.75">
      <c r="A67" s="81">
        <v>2</v>
      </c>
      <c r="B67" s="207" t="s">
        <v>2213</v>
      </c>
      <c r="C67" s="473" t="s">
        <v>2210</v>
      </c>
      <c r="D67" s="128"/>
      <c r="E67" s="128"/>
      <c r="F67" s="128"/>
      <c r="G67" s="111"/>
    </row>
    <row r="68" spans="1:11">
      <c r="A68" s="81"/>
      <c r="B68" s="207"/>
      <c r="C68" s="473" t="s">
        <v>2211</v>
      </c>
      <c r="D68" s="128"/>
      <c r="E68" s="128"/>
      <c r="F68" s="128"/>
      <c r="G68" s="111"/>
    </row>
    <row r="69" spans="1:11">
      <c r="A69" s="81"/>
      <c r="B69" s="632"/>
      <c r="C69" s="473" t="s">
        <v>116</v>
      </c>
      <c r="D69" s="81" t="s">
        <v>27</v>
      </c>
      <c r="E69" s="12">
        <v>3.64</v>
      </c>
      <c r="F69" s="208">
        <f>'MINI SSR 2024-25'!$H$5</f>
        <v>595</v>
      </c>
      <c r="G69" s="125">
        <f>ROUND(E69*F69,2)</f>
        <v>2165.8000000000002</v>
      </c>
    </row>
    <row r="70" spans="1:11">
      <c r="A70" s="128"/>
      <c r="B70" s="128"/>
      <c r="C70" s="473" t="s">
        <v>2194</v>
      </c>
      <c r="D70" s="128"/>
      <c r="E70" s="208"/>
      <c r="F70" s="208"/>
      <c r="G70" s="204">
        <f>ROUND(G69*$C$3,2)</f>
        <v>294.87</v>
      </c>
      <c r="H70" s="10"/>
    </row>
    <row r="71" spans="1:11">
      <c r="A71" s="81"/>
      <c r="B71" s="632"/>
      <c r="C71" s="557" t="s">
        <v>2212</v>
      </c>
      <c r="D71" s="81"/>
      <c r="E71" s="81"/>
      <c r="F71" s="81"/>
      <c r="G71" s="131">
        <f>SUBTOTAL(9,G69:G70)</f>
        <v>2460.67</v>
      </c>
    </row>
    <row r="72" spans="1:11">
      <c r="A72" s="111"/>
      <c r="B72" s="111"/>
      <c r="C72" s="557" t="s">
        <v>117</v>
      </c>
      <c r="D72" s="81"/>
      <c r="E72" s="81"/>
      <c r="F72" s="81"/>
      <c r="G72" s="131">
        <f>ROUND(G71/10,2)</f>
        <v>246.07</v>
      </c>
    </row>
    <row r="73" spans="1:11" ht="89.25">
      <c r="A73" s="81">
        <v>3</v>
      </c>
      <c r="B73" s="207" t="s">
        <v>1116</v>
      </c>
      <c r="C73" s="473" t="s">
        <v>55</v>
      </c>
      <c r="D73" s="128"/>
      <c r="E73" s="128"/>
      <c r="F73" s="128"/>
      <c r="G73" s="207"/>
    </row>
    <row r="74" spans="1:11">
      <c r="A74" s="81"/>
      <c r="B74" s="128"/>
      <c r="C74" s="557" t="s">
        <v>31</v>
      </c>
      <c r="D74" s="128"/>
      <c r="E74" s="128"/>
      <c r="F74" s="128"/>
      <c r="G74" s="111"/>
    </row>
    <row r="75" spans="1:11">
      <c r="A75" s="81"/>
      <c r="B75" s="128"/>
      <c r="C75" s="557" t="s">
        <v>2354</v>
      </c>
      <c r="D75" s="128"/>
      <c r="E75" s="128"/>
      <c r="F75" s="128"/>
      <c r="G75" s="111"/>
    </row>
    <row r="76" spans="1:11">
      <c r="A76" s="81"/>
      <c r="B76" s="632" t="s">
        <v>18</v>
      </c>
      <c r="C76" s="557" t="s">
        <v>26</v>
      </c>
      <c r="D76" s="128"/>
      <c r="E76" s="128"/>
      <c r="F76" s="128"/>
      <c r="G76" s="111"/>
    </row>
    <row r="77" spans="1:11">
      <c r="A77" s="111"/>
      <c r="B77" s="111"/>
      <c r="C77" s="473" t="s">
        <v>116</v>
      </c>
      <c r="D77" s="81" t="s">
        <v>27</v>
      </c>
      <c r="E77" s="12">
        <v>0.31</v>
      </c>
      <c r="F77" s="208">
        <f>'MINI SSR 2024-25'!$H$5</f>
        <v>595</v>
      </c>
      <c r="G77" s="125">
        <f>ROUND(E77*F77,2)</f>
        <v>184.45</v>
      </c>
      <c r="K77" s="19"/>
    </row>
    <row r="78" spans="1:11">
      <c r="A78" s="111"/>
      <c r="B78" s="632" t="s">
        <v>20</v>
      </c>
      <c r="C78" s="557" t="s">
        <v>22</v>
      </c>
      <c r="D78" s="81"/>
      <c r="E78" s="81"/>
      <c r="F78" s="81"/>
      <c r="G78" s="111"/>
    </row>
    <row r="79" spans="1:11">
      <c r="A79" s="111"/>
      <c r="B79" s="111"/>
      <c r="C79" s="473" t="s">
        <v>32</v>
      </c>
      <c r="D79" s="81" t="s">
        <v>5</v>
      </c>
      <c r="E79" s="12">
        <v>6</v>
      </c>
      <c r="F79" s="12">
        <f>'lead 24-25'!L15</f>
        <v>101.33</v>
      </c>
      <c r="G79" s="125">
        <f>ROUND(E79*F79,2)</f>
        <v>607.98</v>
      </c>
    </row>
    <row r="80" spans="1:11">
      <c r="A80" s="111"/>
      <c r="B80" s="111"/>
      <c r="C80" s="473"/>
      <c r="D80" s="81"/>
      <c r="E80" s="12"/>
      <c r="F80" s="12"/>
      <c r="G80" s="125">
        <f>SUBTOTAL(9,G77:G79)</f>
        <v>792.43000000000006</v>
      </c>
    </row>
    <row r="81" spans="1:11">
      <c r="A81" s="111"/>
      <c r="B81" s="111"/>
      <c r="C81" s="473" t="s">
        <v>2194</v>
      </c>
      <c r="D81" s="128"/>
      <c r="E81" s="208"/>
      <c r="F81" s="208"/>
      <c r="G81" s="204">
        <f>ROUND(G80*$C$3,2)</f>
        <v>107.89</v>
      </c>
    </row>
    <row r="82" spans="1:11">
      <c r="A82" s="111"/>
      <c r="B82" s="111"/>
      <c r="C82" s="557" t="s">
        <v>2355</v>
      </c>
      <c r="D82" s="81"/>
      <c r="E82" s="12"/>
      <c r="F82" s="12"/>
      <c r="G82" s="125">
        <f>ROUND(G80+G81,2)</f>
        <v>900.32</v>
      </c>
    </row>
    <row r="83" spans="1:11" ht="13.5" thickBot="1">
      <c r="A83" s="111"/>
      <c r="B83" s="111"/>
      <c r="C83" s="557" t="s">
        <v>28</v>
      </c>
      <c r="D83" s="81"/>
      <c r="E83" s="81"/>
      <c r="F83" s="81"/>
      <c r="G83" s="131">
        <f>ROUND(G82/6,2)</f>
        <v>150.05000000000001</v>
      </c>
      <c r="K83" s="205"/>
    </row>
    <row r="84" spans="1:11" ht="90" hidden="1" thickTop="1">
      <c r="A84" s="81">
        <v>9</v>
      </c>
      <c r="B84" s="207" t="s">
        <v>1115</v>
      </c>
      <c r="C84" s="473" t="s">
        <v>1823</v>
      </c>
      <c r="D84" s="128"/>
      <c r="E84" s="128"/>
      <c r="F84" s="128"/>
      <c r="G84" s="207"/>
    </row>
    <row r="85" spans="1:11" ht="13.5" hidden="1" thickTop="1">
      <c r="A85" s="81"/>
      <c r="B85" s="128"/>
      <c r="C85" s="557" t="s">
        <v>31</v>
      </c>
      <c r="D85" s="128"/>
      <c r="E85" s="128"/>
      <c r="F85" s="128"/>
      <c r="G85" s="111"/>
    </row>
    <row r="86" spans="1:11" ht="13.5" hidden="1" thickTop="1">
      <c r="A86" s="81"/>
      <c r="B86" s="632" t="s">
        <v>18</v>
      </c>
      <c r="C86" s="557" t="s">
        <v>26</v>
      </c>
      <c r="D86" s="128"/>
      <c r="E86" s="128"/>
      <c r="F86" s="128"/>
      <c r="G86" s="111"/>
    </row>
    <row r="87" spans="1:11" ht="13.5" hidden="1" thickTop="1">
      <c r="A87" s="111"/>
      <c r="B87" s="111"/>
      <c r="C87" s="473" t="s">
        <v>116</v>
      </c>
      <c r="D87" s="81" t="s">
        <v>27</v>
      </c>
      <c r="E87" s="12">
        <v>0.31</v>
      </c>
      <c r="F87" s="208">
        <f>'MINI SSR 2024-25'!$H$5</f>
        <v>595</v>
      </c>
      <c r="G87" s="125">
        <f>ROUND(E87*F87,2)</f>
        <v>184.45</v>
      </c>
      <c r="K87" s="19"/>
    </row>
    <row r="88" spans="1:11" ht="13.5" hidden="1" thickTop="1">
      <c r="A88" s="111"/>
      <c r="B88" s="632" t="s">
        <v>20</v>
      </c>
      <c r="C88" s="557" t="s">
        <v>22</v>
      </c>
      <c r="D88" s="81"/>
      <c r="E88" s="81"/>
      <c r="F88" s="81"/>
      <c r="G88" s="111"/>
    </row>
    <row r="89" spans="1:11" ht="13.5" hidden="1" thickTop="1">
      <c r="A89" s="111"/>
      <c r="B89" s="111"/>
      <c r="C89" s="473" t="s">
        <v>1824</v>
      </c>
      <c r="D89" s="81" t="s">
        <v>5</v>
      </c>
      <c r="E89" s="12">
        <v>1</v>
      </c>
      <c r="F89" s="12">
        <f>'lead 24-25'!L25</f>
        <v>245.32999999999998</v>
      </c>
      <c r="G89" s="125">
        <f>ROUND(E89*F89,2)</f>
        <v>245.33</v>
      </c>
    </row>
    <row r="90" spans="1:11" ht="13.5" hidden="1" thickTop="1">
      <c r="A90" s="111"/>
      <c r="B90" s="111"/>
      <c r="C90" s="473" t="s">
        <v>57</v>
      </c>
      <c r="D90" s="81" t="s">
        <v>286</v>
      </c>
      <c r="E90" s="12">
        <v>0.1</v>
      </c>
      <c r="F90" s="12">
        <f>'MINI SSR 2024-25'!$C$29</f>
        <v>105</v>
      </c>
      <c r="G90" s="125">
        <f>ROUND(E90*F90,2)</f>
        <v>10.5</v>
      </c>
    </row>
    <row r="91" spans="1:11" ht="14.25" hidden="1" thickTop="1" thickBot="1">
      <c r="A91" s="111"/>
      <c r="B91" s="111"/>
      <c r="C91" s="557" t="s">
        <v>28</v>
      </c>
      <c r="D91" s="81"/>
      <c r="E91" s="81"/>
      <c r="F91" s="81"/>
      <c r="G91" s="131">
        <f>SUM(G87:G90)</f>
        <v>440.28</v>
      </c>
      <c r="K91" s="205"/>
    </row>
    <row r="92" spans="1:11" ht="90" hidden="1" thickTop="1">
      <c r="A92" s="81">
        <v>10</v>
      </c>
      <c r="B92" s="207" t="s">
        <v>1115</v>
      </c>
      <c r="C92" s="473" t="s">
        <v>647</v>
      </c>
      <c r="D92" s="128"/>
      <c r="E92" s="128"/>
      <c r="F92" s="128"/>
      <c r="G92" s="207"/>
    </row>
    <row r="93" spans="1:11" ht="13.5" hidden="1" thickTop="1">
      <c r="A93" s="81"/>
      <c r="B93" s="128"/>
      <c r="C93" s="557" t="s">
        <v>31</v>
      </c>
      <c r="D93" s="128"/>
      <c r="E93" s="128"/>
      <c r="F93" s="128"/>
      <c r="G93" s="111"/>
    </row>
    <row r="94" spans="1:11" ht="13.5" hidden="1" thickTop="1">
      <c r="A94" s="81"/>
      <c r="B94" s="632" t="s">
        <v>18</v>
      </c>
      <c r="C94" s="557" t="s">
        <v>26</v>
      </c>
      <c r="D94" s="128"/>
      <c r="E94" s="128"/>
      <c r="F94" s="128"/>
      <c r="G94" s="111"/>
    </row>
    <row r="95" spans="1:11" ht="13.5" hidden="1" thickTop="1">
      <c r="A95" s="111"/>
      <c r="B95" s="111"/>
      <c r="C95" s="473" t="s">
        <v>116</v>
      </c>
      <c r="D95" s="81" t="s">
        <v>27</v>
      </c>
      <c r="E95" s="12">
        <v>0.31</v>
      </c>
      <c r="F95" s="208">
        <f>'MINI SSR 2024-25'!$H$5</f>
        <v>595</v>
      </c>
      <c r="G95" s="125">
        <f>ROUND(E95*F95,2)</f>
        <v>184.45</v>
      </c>
      <c r="K95" s="19"/>
    </row>
    <row r="96" spans="1:11" ht="13.5" hidden="1" thickTop="1">
      <c r="A96" s="111"/>
      <c r="B96" s="632" t="s">
        <v>20</v>
      </c>
      <c r="C96" s="557" t="s">
        <v>22</v>
      </c>
      <c r="D96" s="81"/>
      <c r="E96" s="81"/>
      <c r="F96" s="81"/>
      <c r="G96" s="111"/>
    </row>
    <row r="97" spans="1:11" ht="13.5" hidden="1" thickTop="1">
      <c r="A97" s="111"/>
      <c r="B97" s="111"/>
      <c r="C97" s="473" t="s">
        <v>648</v>
      </c>
      <c r="D97" s="81" t="s">
        <v>5</v>
      </c>
      <c r="E97" s="12">
        <v>1</v>
      </c>
      <c r="F97" s="12">
        <f>'lead 24-25'!L26</f>
        <v>266.33</v>
      </c>
      <c r="G97" s="125">
        <f>ROUND(E97*F97,2)</f>
        <v>266.33</v>
      </c>
    </row>
    <row r="98" spans="1:11" ht="13.5" hidden="1" thickTop="1">
      <c r="A98" s="111"/>
      <c r="B98" s="111"/>
      <c r="C98" s="473" t="s">
        <v>57</v>
      </c>
      <c r="D98" s="81" t="s">
        <v>286</v>
      </c>
      <c r="E98" s="12">
        <v>0.1</v>
      </c>
      <c r="F98" s="12">
        <f>'MINI SSR 2024-25'!$C$29</f>
        <v>105</v>
      </c>
      <c r="G98" s="125">
        <f>ROUND(E98*F98,2)</f>
        <v>10.5</v>
      </c>
    </row>
    <row r="99" spans="1:11" ht="14.25" hidden="1" thickTop="1" thickBot="1">
      <c r="A99" s="111"/>
      <c r="B99" s="111"/>
      <c r="C99" s="557" t="s">
        <v>28</v>
      </c>
      <c r="D99" s="81"/>
      <c r="E99" s="81"/>
      <c r="F99" s="81"/>
      <c r="G99" s="131">
        <f>SUM(G95:G98)</f>
        <v>461.28</v>
      </c>
      <c r="K99" s="205"/>
    </row>
    <row r="100" spans="1:11" ht="64.5" thickTop="1">
      <c r="A100" s="81">
        <v>4</v>
      </c>
      <c r="B100" s="207" t="s">
        <v>1114</v>
      </c>
      <c r="C100" s="473" t="s">
        <v>277</v>
      </c>
      <c r="D100" s="128"/>
      <c r="E100" s="128"/>
      <c r="F100" s="128"/>
      <c r="G100" s="207"/>
    </row>
    <row r="101" spans="1:11">
      <c r="A101" s="128"/>
      <c r="B101" s="128"/>
      <c r="C101" s="473" t="s">
        <v>304</v>
      </c>
      <c r="D101" s="128"/>
      <c r="E101" s="208"/>
      <c r="F101" s="208"/>
      <c r="G101" s="125"/>
      <c r="K101" s="19"/>
    </row>
    <row r="102" spans="1:11">
      <c r="A102" s="128"/>
      <c r="B102" s="128"/>
      <c r="C102" s="473" t="s">
        <v>303</v>
      </c>
      <c r="D102" s="128" t="s">
        <v>27</v>
      </c>
      <c r="E102" s="208">
        <v>3.12</v>
      </c>
      <c r="F102" s="208">
        <f>'MINI SSR 2024-25'!$H$5</f>
        <v>595</v>
      </c>
      <c r="G102" s="125">
        <f>ROUND(E102*F102,2)</f>
        <v>1856.4</v>
      </c>
      <c r="K102" s="19"/>
    </row>
    <row r="103" spans="1:11">
      <c r="A103" s="128"/>
      <c r="B103" s="128"/>
      <c r="C103" s="473" t="s">
        <v>57</v>
      </c>
      <c r="D103" s="128" t="s">
        <v>59</v>
      </c>
      <c r="E103" s="208">
        <v>0.72</v>
      </c>
      <c r="F103" s="12">
        <f>'MINI SSR 2024-25'!$C$29</f>
        <v>105</v>
      </c>
      <c r="G103" s="125">
        <f>ROUND(E103*F103,2)</f>
        <v>75.599999999999994</v>
      </c>
      <c r="K103" s="19"/>
    </row>
    <row r="104" spans="1:11">
      <c r="A104" s="128"/>
      <c r="B104" s="128"/>
      <c r="C104" s="473"/>
      <c r="D104" s="81"/>
      <c r="E104" s="12"/>
      <c r="F104" s="12"/>
      <c r="G104" s="125">
        <f>SUBTOTAL(9,G101:G103)</f>
        <v>1932</v>
      </c>
      <c r="K104" s="19"/>
    </row>
    <row r="105" spans="1:11">
      <c r="A105" s="128"/>
      <c r="B105" s="128"/>
      <c r="C105" s="473" t="s">
        <v>2194</v>
      </c>
      <c r="D105" s="128"/>
      <c r="E105" s="208"/>
      <c r="F105" s="208"/>
      <c r="G105" s="204">
        <f>ROUND(G104*$C$3,2)</f>
        <v>263.04000000000002</v>
      </c>
      <c r="K105" s="19"/>
    </row>
    <row r="106" spans="1:11">
      <c r="A106" s="128"/>
      <c r="B106" s="128"/>
      <c r="C106" s="473" t="s">
        <v>305</v>
      </c>
      <c r="D106" s="128"/>
      <c r="E106" s="208"/>
      <c r="F106" s="208"/>
      <c r="G106" s="125">
        <f>SUM(G104:G105)</f>
        <v>2195.04</v>
      </c>
      <c r="K106" s="19"/>
    </row>
    <row r="107" spans="1:11" ht="13.5" thickBot="1">
      <c r="A107" s="128"/>
      <c r="B107" s="128"/>
      <c r="C107" s="473" t="s">
        <v>2356</v>
      </c>
      <c r="D107" s="128"/>
      <c r="E107" s="128"/>
      <c r="F107" s="128"/>
      <c r="G107" s="209">
        <f>ROUND(G106/6,2)</f>
        <v>365.84</v>
      </c>
      <c r="K107" s="205"/>
    </row>
    <row r="108" spans="1:11" ht="90" thickTop="1">
      <c r="A108" s="81">
        <v>5</v>
      </c>
      <c r="B108" s="207" t="s">
        <v>158</v>
      </c>
      <c r="C108" s="473" t="s">
        <v>159</v>
      </c>
      <c r="D108" s="128"/>
      <c r="E108" s="128"/>
      <c r="F108" s="128"/>
      <c r="G108" s="207"/>
    </row>
    <row r="109" spans="1:11">
      <c r="A109" s="81"/>
      <c r="B109" s="207"/>
      <c r="C109" s="557" t="s">
        <v>60</v>
      </c>
      <c r="D109" s="128"/>
      <c r="E109" s="128"/>
      <c r="F109" s="128"/>
      <c r="G109" s="204"/>
    </row>
    <row r="110" spans="1:11">
      <c r="A110" s="128"/>
      <c r="B110" s="128"/>
      <c r="C110" s="473" t="s">
        <v>44</v>
      </c>
      <c r="D110" s="128" t="s">
        <v>4</v>
      </c>
      <c r="E110" s="208">
        <v>162</v>
      </c>
      <c r="F110" s="208">
        <f>'lead 24-25'!L8</f>
        <v>4218.8</v>
      </c>
      <c r="G110" s="125">
        <f>ROUND(E110*F110/1000,2)</f>
        <v>683.45</v>
      </c>
    </row>
    <row r="111" spans="1:11">
      <c r="A111" s="128"/>
      <c r="B111" s="128"/>
      <c r="C111" s="473" t="s">
        <v>56</v>
      </c>
      <c r="D111" s="128" t="s">
        <v>35</v>
      </c>
      <c r="E111" s="208">
        <v>0.9</v>
      </c>
      <c r="F111" s="208">
        <f>'lead 24-25'!L17</f>
        <v>1946.0999999999985</v>
      </c>
      <c r="G111" s="125">
        <f>ROUND(E111*F111,2)</f>
        <v>1751.49</v>
      </c>
    </row>
    <row r="112" spans="1:11">
      <c r="A112" s="128"/>
      <c r="B112" s="128"/>
      <c r="C112" s="473" t="s">
        <v>111</v>
      </c>
      <c r="D112" s="128" t="s">
        <v>35</v>
      </c>
      <c r="E112" s="208">
        <v>0.45</v>
      </c>
      <c r="F112" s="208">
        <f>'lead 24-25'!L14</f>
        <v>1013.4699999999982</v>
      </c>
      <c r="G112" s="125">
        <f>ROUND(E112*F112,2)</f>
        <v>456.06</v>
      </c>
    </row>
    <row r="113" spans="1:11">
      <c r="A113" s="128"/>
      <c r="B113" s="128"/>
      <c r="C113" s="473" t="s">
        <v>57</v>
      </c>
      <c r="D113" s="128" t="s">
        <v>58</v>
      </c>
      <c r="E113" s="208">
        <v>1.2</v>
      </c>
      <c r="F113" s="12">
        <f>'MINI SSR 2024-25'!$C$29</f>
        <v>105</v>
      </c>
      <c r="G113" s="125">
        <f>ROUND(E113*F113,2)</f>
        <v>126</v>
      </c>
    </row>
    <row r="114" spans="1:11">
      <c r="A114" s="128"/>
      <c r="B114" s="128"/>
      <c r="C114" s="557" t="s">
        <v>61</v>
      </c>
      <c r="D114" s="128"/>
      <c r="E114" s="208"/>
      <c r="F114" s="208"/>
      <c r="G114" s="125"/>
    </row>
    <row r="115" spans="1:11">
      <c r="A115" s="128"/>
      <c r="B115" s="128"/>
      <c r="C115" s="473" t="s">
        <v>62</v>
      </c>
      <c r="D115" s="128" t="s">
        <v>21</v>
      </c>
      <c r="E115" s="208">
        <v>1</v>
      </c>
      <c r="F115" s="208">
        <f>'MINI SSR 2024-25'!$C$30</f>
        <v>708.08</v>
      </c>
      <c r="G115" s="125">
        <f>ROUND(E115*F115,2)</f>
        <v>708.08</v>
      </c>
    </row>
    <row r="116" spans="1:11">
      <c r="A116" s="128"/>
      <c r="B116" s="128"/>
      <c r="C116" s="557" t="s">
        <v>63</v>
      </c>
      <c r="D116" s="128"/>
      <c r="E116" s="208"/>
      <c r="F116" s="208"/>
      <c r="G116" s="125"/>
    </row>
    <row r="117" spans="1:11">
      <c r="A117" s="128"/>
      <c r="B117" s="128"/>
      <c r="C117" s="473" t="s">
        <v>64</v>
      </c>
      <c r="D117" s="128" t="s">
        <v>27</v>
      </c>
      <c r="E117" s="208">
        <v>0.1</v>
      </c>
      <c r="F117" s="208">
        <f>'MINI SSR 2024-25'!$H$3</f>
        <v>710</v>
      </c>
      <c r="G117" s="125">
        <f>ROUND(E117*F117,2)</f>
        <v>71</v>
      </c>
      <c r="K117" s="19"/>
    </row>
    <row r="118" spans="1:11">
      <c r="A118" s="128"/>
      <c r="B118" s="128"/>
      <c r="C118" s="473" t="s">
        <v>19</v>
      </c>
      <c r="D118" s="128" t="s">
        <v>27</v>
      </c>
      <c r="E118" s="208">
        <v>1.39</v>
      </c>
      <c r="F118" s="208">
        <f>'MINI SSR 2024-25'!$H$5</f>
        <v>595</v>
      </c>
      <c r="G118" s="125">
        <f>ROUND(E118*F118,2)</f>
        <v>827.05</v>
      </c>
      <c r="K118" s="19"/>
    </row>
    <row r="119" spans="1:11">
      <c r="A119" s="128"/>
      <c r="B119" s="128"/>
      <c r="C119" s="473"/>
      <c r="D119" s="128"/>
      <c r="E119" s="208"/>
      <c r="F119" s="208"/>
      <c r="G119" s="125">
        <f>SUBTOTAL(9,G110:G118)</f>
        <v>4623.13</v>
      </c>
      <c r="K119" s="19"/>
    </row>
    <row r="120" spans="1:11">
      <c r="A120" s="128"/>
      <c r="B120" s="128"/>
      <c r="C120" s="473" t="s">
        <v>2194</v>
      </c>
      <c r="D120" s="128"/>
      <c r="E120" s="208"/>
      <c r="F120" s="208"/>
      <c r="G120" s="204">
        <f>ROUND(G119*$C$3,2)</f>
        <v>629.44000000000005</v>
      </c>
      <c r="H120" s="10"/>
    </row>
    <row r="121" spans="1:11" ht="13.5" thickBot="1">
      <c r="A121" s="128"/>
      <c r="B121" s="128"/>
      <c r="C121" s="473"/>
      <c r="D121" s="128"/>
      <c r="E121" s="128"/>
      <c r="F121" s="128"/>
      <c r="G121" s="209">
        <f>ROUND((G119+G120),2)</f>
        <v>5252.57</v>
      </c>
      <c r="K121" s="205"/>
    </row>
    <row r="122" spans="1:11" ht="90" hidden="1" thickTop="1">
      <c r="A122" s="81">
        <v>12</v>
      </c>
      <c r="B122" s="207" t="s">
        <v>65</v>
      </c>
      <c r="C122" s="473" t="s">
        <v>67</v>
      </c>
      <c r="D122" s="128"/>
      <c r="E122" s="128"/>
      <c r="F122" s="128"/>
      <c r="G122" s="207"/>
    </row>
    <row r="123" spans="1:11" ht="13.5" hidden="1" thickTop="1">
      <c r="A123" s="81"/>
      <c r="B123" s="207"/>
      <c r="C123" s="557" t="s">
        <v>60</v>
      </c>
      <c r="D123" s="128"/>
      <c r="E123" s="128"/>
      <c r="F123" s="128"/>
      <c r="G123" s="204"/>
    </row>
    <row r="124" spans="1:11" ht="13.5" hidden="1" thickTop="1">
      <c r="A124" s="128"/>
      <c r="B124" s="128"/>
      <c r="C124" s="473" t="s">
        <v>44</v>
      </c>
      <c r="D124" s="128" t="s">
        <v>4</v>
      </c>
      <c r="E124" s="208">
        <v>129.6</v>
      </c>
      <c r="F124" s="208">
        <f>F110</f>
        <v>4218.8</v>
      </c>
      <c r="G124" s="125">
        <f>ROUND(E124*F124/1000,2)</f>
        <v>546.76</v>
      </c>
    </row>
    <row r="125" spans="1:11" ht="13.5" hidden="1" thickTop="1">
      <c r="A125" s="128"/>
      <c r="B125" s="128"/>
      <c r="C125" s="473" t="s">
        <v>56</v>
      </c>
      <c r="D125" s="128" t="s">
        <v>35</v>
      </c>
      <c r="E125" s="208">
        <v>0.9</v>
      </c>
      <c r="F125" s="208">
        <f>F111</f>
        <v>1946.0999999999985</v>
      </c>
      <c r="G125" s="125">
        <f>ROUND(E125*F125,2)</f>
        <v>1751.49</v>
      </c>
    </row>
    <row r="126" spans="1:11" ht="13.5" hidden="1" thickTop="1">
      <c r="A126" s="128"/>
      <c r="B126" s="128"/>
      <c r="C126" s="473" t="s">
        <v>111</v>
      </c>
      <c r="D126" s="128" t="s">
        <v>35</v>
      </c>
      <c r="E126" s="208">
        <v>0.45</v>
      </c>
      <c r="F126" s="208">
        <f>F112</f>
        <v>1013.4699999999982</v>
      </c>
      <c r="G126" s="125">
        <f>ROUND(E126*F126,2)</f>
        <v>456.06</v>
      </c>
    </row>
    <row r="127" spans="1:11" ht="13.5" hidden="1" thickTop="1">
      <c r="A127" s="128"/>
      <c r="B127" s="128"/>
      <c r="C127" s="473" t="s">
        <v>57</v>
      </c>
      <c r="D127" s="128" t="s">
        <v>58</v>
      </c>
      <c r="E127" s="208">
        <v>1.2</v>
      </c>
      <c r="F127" s="12">
        <f>'MINI SSR 2024-25'!$C$29</f>
        <v>105</v>
      </c>
      <c r="G127" s="125">
        <f>ROUND(E127*F127,2)</f>
        <v>126</v>
      </c>
    </row>
    <row r="128" spans="1:11" ht="13.5" hidden="1" thickTop="1">
      <c r="A128" s="128"/>
      <c r="B128" s="128"/>
      <c r="C128" s="557" t="s">
        <v>61</v>
      </c>
      <c r="D128" s="128"/>
      <c r="E128" s="208"/>
      <c r="F128" s="208"/>
      <c r="G128" s="125"/>
    </row>
    <row r="129" spans="1:11" ht="13.5" hidden="1" thickTop="1">
      <c r="A129" s="128"/>
      <c r="B129" s="128"/>
      <c r="C129" s="473" t="s">
        <v>62</v>
      </c>
      <c r="D129" s="128" t="s">
        <v>21</v>
      </c>
      <c r="E129" s="208">
        <v>1</v>
      </c>
      <c r="F129" s="208">
        <f>'MINI SSR 2024-25'!$C$30</f>
        <v>708.08</v>
      </c>
      <c r="G129" s="125">
        <f>ROUND(E129*F129,2)</f>
        <v>708.08</v>
      </c>
    </row>
    <row r="130" spans="1:11" ht="13.5" hidden="1" thickTop="1">
      <c r="A130" s="128"/>
      <c r="B130" s="128"/>
      <c r="C130" s="557" t="s">
        <v>63</v>
      </c>
      <c r="D130" s="128"/>
      <c r="E130" s="208"/>
      <c r="F130" s="208"/>
      <c r="G130" s="125"/>
    </row>
    <row r="131" spans="1:11" ht="13.5" hidden="1" thickTop="1">
      <c r="A131" s="128"/>
      <c r="B131" s="128"/>
      <c r="C131" s="473" t="s">
        <v>64</v>
      </c>
      <c r="D131" s="128" t="s">
        <v>27</v>
      </c>
      <c r="E131" s="208">
        <v>0.1</v>
      </c>
      <c r="F131" s="208">
        <f>'MINI SSR 2024-25'!$H$3</f>
        <v>710</v>
      </c>
      <c r="G131" s="125">
        <f>ROUND(E131*F131,2)</f>
        <v>71</v>
      </c>
      <c r="K131" s="19"/>
    </row>
    <row r="132" spans="1:11" ht="13.5" hidden="1" thickTop="1">
      <c r="A132" s="128"/>
      <c r="B132" s="128"/>
      <c r="C132" s="473" t="s">
        <v>19</v>
      </c>
      <c r="D132" s="128" t="s">
        <v>27</v>
      </c>
      <c r="E132" s="208">
        <v>1.39</v>
      </c>
      <c r="F132" s="208">
        <f>'MINI SSR 2024-25'!$H$5</f>
        <v>595</v>
      </c>
      <c r="G132" s="125">
        <f>ROUND(E132*F132,2)</f>
        <v>827.05</v>
      </c>
      <c r="K132" s="19"/>
    </row>
    <row r="133" spans="1:11" ht="14.25" hidden="1" thickTop="1" thickBot="1">
      <c r="A133" s="128"/>
      <c r="B133" s="128"/>
      <c r="C133" s="473"/>
      <c r="D133" s="128"/>
      <c r="E133" s="128"/>
      <c r="F133" s="128"/>
      <c r="G133" s="209">
        <f>SUM(G124:G132)</f>
        <v>4486.4399999999996</v>
      </c>
      <c r="K133" s="205"/>
    </row>
    <row r="134" spans="1:11" ht="179.25" thickTop="1">
      <c r="A134" s="81">
        <v>6</v>
      </c>
      <c r="B134" s="207" t="s">
        <v>66</v>
      </c>
      <c r="C134" s="473" t="s">
        <v>1836</v>
      </c>
      <c r="D134" s="128"/>
      <c r="E134" s="128"/>
      <c r="F134" s="128"/>
      <c r="G134" s="207"/>
    </row>
    <row r="135" spans="1:11">
      <c r="A135" s="81"/>
      <c r="B135" s="207"/>
      <c r="C135" s="557" t="s">
        <v>81</v>
      </c>
      <c r="D135" s="128"/>
      <c r="E135" s="128"/>
      <c r="F135" s="128"/>
      <c r="G135" s="204"/>
    </row>
    <row r="136" spans="1:11">
      <c r="A136" s="81"/>
      <c r="B136" s="207"/>
      <c r="C136" s="557" t="s">
        <v>60</v>
      </c>
      <c r="D136" s="128"/>
      <c r="E136" s="128"/>
      <c r="F136" s="128"/>
      <c r="G136" s="204"/>
    </row>
    <row r="137" spans="1:11">
      <c r="A137" s="81"/>
      <c r="B137" s="207"/>
      <c r="C137" s="473" t="s">
        <v>2192</v>
      </c>
      <c r="D137" s="128" t="s">
        <v>35</v>
      </c>
      <c r="E137" s="208">
        <v>0.9</v>
      </c>
      <c r="F137" s="208">
        <f>'lead 24-25'!L18</f>
        <v>2589.8499999999985</v>
      </c>
      <c r="G137" s="125">
        <f>ROUND(E137*F137,2)</f>
        <v>2330.87</v>
      </c>
    </row>
    <row r="138" spans="1:11">
      <c r="A138" s="81"/>
      <c r="B138" s="207"/>
      <c r="C138" s="473" t="s">
        <v>111</v>
      </c>
      <c r="D138" s="128" t="s">
        <v>35</v>
      </c>
      <c r="E138" s="208">
        <v>0.45</v>
      </c>
      <c r="F138" s="208">
        <f>'lead 24-25'!L14</f>
        <v>1013.4699999999982</v>
      </c>
      <c r="G138" s="125">
        <f>ROUND(E138*F138,2)</f>
        <v>456.06</v>
      </c>
    </row>
    <row r="139" spans="1:11">
      <c r="A139" s="128"/>
      <c r="B139" s="128"/>
      <c r="C139" s="473" t="s">
        <v>33</v>
      </c>
      <c r="D139" s="128" t="s">
        <v>4</v>
      </c>
      <c r="E139" s="208">
        <v>330</v>
      </c>
      <c r="F139" s="208">
        <f>'lead 24-25'!L8</f>
        <v>4218.8</v>
      </c>
      <c r="G139" s="125">
        <f>ROUND(E139*F139/1000,2)</f>
        <v>1392.2</v>
      </c>
    </row>
    <row r="140" spans="1:11">
      <c r="A140" s="128"/>
      <c r="B140" s="128"/>
      <c r="C140" s="557" t="s">
        <v>68</v>
      </c>
      <c r="D140" s="128"/>
      <c r="E140" s="208"/>
      <c r="F140" s="208"/>
      <c r="G140" s="125"/>
    </row>
    <row r="141" spans="1:11">
      <c r="A141" s="128"/>
      <c r="B141" s="128"/>
      <c r="C141" s="473" t="s">
        <v>64</v>
      </c>
      <c r="D141" s="128" t="s">
        <v>27</v>
      </c>
      <c r="E141" s="133">
        <v>0.13300000000000001</v>
      </c>
      <c r="F141" s="208">
        <f>'MINI SSR 2024-25'!$H$3</f>
        <v>710</v>
      </c>
      <c r="G141" s="125">
        <f>ROUND(E141*F141,2)</f>
        <v>94.43</v>
      </c>
      <c r="K141" s="19"/>
    </row>
    <row r="142" spans="1:11">
      <c r="A142" s="128"/>
      <c r="B142" s="128"/>
      <c r="C142" s="473" t="s">
        <v>69</v>
      </c>
      <c r="D142" s="128" t="s">
        <v>27</v>
      </c>
      <c r="E142" s="133">
        <v>0.26700000000000002</v>
      </c>
      <c r="F142" s="208">
        <f>'MINI SSR 2024-25'!$H$4</f>
        <v>640</v>
      </c>
      <c r="G142" s="125">
        <f>ROUND(E142*F142,2)</f>
        <v>170.88</v>
      </c>
      <c r="K142" s="19"/>
    </row>
    <row r="143" spans="1:11">
      <c r="A143" s="128"/>
      <c r="B143" s="128"/>
      <c r="C143" s="473" t="s">
        <v>70</v>
      </c>
      <c r="D143" s="128" t="s">
        <v>27</v>
      </c>
      <c r="E143" s="133">
        <v>3.6</v>
      </c>
      <c r="F143" s="208">
        <f>'MINI SSR 2024-25'!$H$5</f>
        <v>595</v>
      </c>
      <c r="G143" s="125">
        <f>ROUND(E143*F143,2)</f>
        <v>2142</v>
      </c>
      <c r="K143" s="19"/>
    </row>
    <row r="144" spans="1:11">
      <c r="A144" s="128"/>
      <c r="B144" s="128"/>
      <c r="C144" s="557" t="s">
        <v>61</v>
      </c>
      <c r="D144" s="128"/>
      <c r="E144" s="208"/>
      <c r="F144" s="208"/>
      <c r="G144" s="125"/>
    </row>
    <row r="145" spans="1:11">
      <c r="A145" s="128"/>
      <c r="B145" s="128"/>
      <c r="C145" s="473" t="s">
        <v>62</v>
      </c>
      <c r="D145" s="128" t="s">
        <v>21</v>
      </c>
      <c r="E145" s="208">
        <v>1</v>
      </c>
      <c r="F145" s="208">
        <f>'MINI SSR 2024-25'!$C$30</f>
        <v>708.08</v>
      </c>
      <c r="G145" s="125">
        <f>ROUND(E145*F145,2)</f>
        <v>708.08</v>
      </c>
    </row>
    <row r="146" spans="1:11">
      <c r="A146" s="128"/>
      <c r="B146" s="128"/>
      <c r="C146" s="473" t="s">
        <v>161</v>
      </c>
      <c r="D146" s="128" t="s">
        <v>21</v>
      </c>
      <c r="E146" s="208">
        <v>1</v>
      </c>
      <c r="F146" s="208">
        <f>'MINI SSR 2024-25'!$C$31</f>
        <v>288.39</v>
      </c>
      <c r="G146" s="125">
        <f>ROUND(E146*F146,2)</f>
        <v>288.39</v>
      </c>
    </row>
    <row r="147" spans="1:11">
      <c r="A147" s="128"/>
      <c r="B147" s="128"/>
      <c r="C147" s="473" t="s">
        <v>57</v>
      </c>
      <c r="D147" s="128" t="s">
        <v>58</v>
      </c>
      <c r="E147" s="208">
        <v>1.2</v>
      </c>
      <c r="F147" s="208">
        <f>'MINI SSR 2024-25'!$C$29</f>
        <v>105</v>
      </c>
      <c r="G147" s="125">
        <f>ROUND(E147*F147,2)</f>
        <v>126</v>
      </c>
    </row>
    <row r="148" spans="1:11" ht="13.5" thickBot="1">
      <c r="A148" s="128"/>
      <c r="B148" s="128"/>
      <c r="C148" s="557" t="s">
        <v>71</v>
      </c>
      <c r="D148" s="128"/>
      <c r="E148" s="128"/>
      <c r="F148" s="128"/>
      <c r="G148" s="209">
        <f>SUM(G137:G147)</f>
        <v>7708.9100000000008</v>
      </c>
      <c r="K148" s="205"/>
    </row>
    <row r="149" spans="1:11" ht="13.5" thickTop="1">
      <c r="A149" s="128"/>
      <c r="B149" s="128"/>
      <c r="C149" s="557" t="s">
        <v>72</v>
      </c>
      <c r="D149" s="128"/>
      <c r="E149" s="128"/>
      <c r="F149" s="128"/>
      <c r="G149" s="204"/>
    </row>
    <row r="150" spans="1:11">
      <c r="A150" s="128"/>
      <c r="B150" s="128"/>
      <c r="C150" s="473" t="s">
        <v>73</v>
      </c>
      <c r="D150" s="128" t="s">
        <v>35</v>
      </c>
      <c r="E150" s="208">
        <v>1</v>
      </c>
      <c r="F150" s="208">
        <f>G148</f>
        <v>7708.9100000000008</v>
      </c>
      <c r="G150" s="125">
        <f>ROUND(E150*F150,2)</f>
        <v>7708.91</v>
      </c>
      <c r="K150" s="19"/>
    </row>
    <row r="151" spans="1:11" ht="25.5">
      <c r="A151" s="128"/>
      <c r="B151" s="128"/>
      <c r="C151" s="473" t="s">
        <v>1072</v>
      </c>
      <c r="D151" s="128" t="s">
        <v>35</v>
      </c>
      <c r="E151" s="208">
        <v>1</v>
      </c>
      <c r="F151" s="208">
        <f>'MINI SSR 2024-25'!C52</f>
        <v>301</v>
      </c>
      <c r="G151" s="125">
        <f t="shared" ref="G151:G152" si="0">ROUND(E151*F151,2)</f>
        <v>301</v>
      </c>
    </row>
    <row r="152" spans="1:11">
      <c r="A152" s="128"/>
      <c r="B152" s="128"/>
      <c r="C152" s="473" t="s">
        <v>1073</v>
      </c>
      <c r="D152" s="128" t="s">
        <v>35</v>
      </c>
      <c r="E152" s="208">
        <v>1</v>
      </c>
      <c r="F152" s="208">
        <f>'MINI SSR 2024-25'!D52</f>
        <v>672</v>
      </c>
      <c r="G152" s="125">
        <f t="shared" si="0"/>
        <v>672</v>
      </c>
      <c r="K152" s="19"/>
    </row>
    <row r="153" spans="1:11">
      <c r="A153" s="128"/>
      <c r="B153" s="128"/>
      <c r="C153" s="473"/>
      <c r="D153" s="128"/>
      <c r="E153" s="208"/>
      <c r="F153" s="208"/>
      <c r="G153" s="125">
        <f>SUM(G150:G152)</f>
        <v>8681.91</v>
      </c>
      <c r="K153" s="19"/>
    </row>
    <row r="154" spans="1:11">
      <c r="A154" s="128"/>
      <c r="B154" s="128"/>
      <c r="C154" s="473" t="s">
        <v>2194</v>
      </c>
      <c r="D154" s="128"/>
      <c r="E154" s="208"/>
      <c r="F154" s="208"/>
      <c r="G154" s="204">
        <f>ROUND(G153*$C$3,2)</f>
        <v>1182.04</v>
      </c>
      <c r="K154" s="19"/>
    </row>
    <row r="155" spans="1:11" ht="13.5" thickBot="1">
      <c r="A155" s="128"/>
      <c r="B155" s="128"/>
      <c r="C155" s="473"/>
      <c r="D155" s="128"/>
      <c r="E155" s="128"/>
      <c r="F155" s="128"/>
      <c r="G155" s="209">
        <f>SUM(G153:G154)</f>
        <v>9863.9500000000007</v>
      </c>
      <c r="K155" s="205"/>
    </row>
    <row r="156" spans="1:11" ht="13.5" hidden="1" thickTop="1">
      <c r="A156" s="128"/>
      <c r="B156" s="128"/>
      <c r="C156" s="557" t="s">
        <v>74</v>
      </c>
      <c r="D156" s="128"/>
      <c r="E156" s="128"/>
      <c r="F156" s="128"/>
      <c r="G156" s="204"/>
    </row>
    <row r="157" spans="1:11" ht="13.5" hidden="1" thickTop="1">
      <c r="A157" s="128"/>
      <c r="B157" s="128"/>
      <c r="C157" s="473" t="s">
        <v>73</v>
      </c>
      <c r="D157" s="128" t="s">
        <v>35</v>
      </c>
      <c r="E157" s="208">
        <v>1</v>
      </c>
      <c r="F157" s="208">
        <f>G148</f>
        <v>7708.9100000000008</v>
      </c>
      <c r="G157" s="125">
        <f>ROUND(E157*F157,2)</f>
        <v>7708.91</v>
      </c>
      <c r="K157" s="19"/>
    </row>
    <row r="158" spans="1:11" ht="26.25" hidden="1" thickTop="1">
      <c r="A158" s="128"/>
      <c r="B158" s="128"/>
      <c r="C158" s="473" t="s">
        <v>1074</v>
      </c>
      <c r="D158" s="128" t="s">
        <v>35</v>
      </c>
      <c r="E158" s="208">
        <v>1</v>
      </c>
      <c r="F158" s="208">
        <f>'MINI SSR 2024-25'!C54</f>
        <v>343</v>
      </c>
      <c r="G158" s="125">
        <f t="shared" ref="G158:G159" si="1">ROUND(E158*F158,2)</f>
        <v>343</v>
      </c>
    </row>
    <row r="159" spans="1:11" ht="13.5" hidden="1" thickTop="1">
      <c r="A159" s="128"/>
      <c r="B159" s="128"/>
      <c r="C159" s="473" t="s">
        <v>1075</v>
      </c>
      <c r="D159" s="128" t="s">
        <v>35</v>
      </c>
      <c r="E159" s="208">
        <v>1</v>
      </c>
      <c r="F159" s="208">
        <f>'MINI SSR 2024-25'!D54</f>
        <v>1069</v>
      </c>
      <c r="G159" s="125">
        <f t="shared" si="1"/>
        <v>1069</v>
      </c>
      <c r="K159" s="19"/>
    </row>
    <row r="160" spans="1:11" ht="13.5" hidden="1" thickTop="1">
      <c r="A160" s="128"/>
      <c r="B160" s="128"/>
      <c r="C160" s="473"/>
      <c r="D160" s="128"/>
      <c r="E160" s="208"/>
      <c r="F160" s="208"/>
      <c r="G160" s="125">
        <f>SUM(G157:G159)</f>
        <v>9120.91</v>
      </c>
      <c r="K160" s="19"/>
    </row>
    <row r="161" spans="1:11" ht="13.5" hidden="1" thickTop="1">
      <c r="A161" s="128"/>
      <c r="B161" s="128"/>
      <c r="C161" s="473" t="s">
        <v>2194</v>
      </c>
      <c r="D161" s="128"/>
      <c r="E161" s="208"/>
      <c r="F161" s="208"/>
      <c r="G161" s="125">
        <f>ROUND(G160*13.615%,2)</f>
        <v>1241.81</v>
      </c>
      <c r="K161" s="19"/>
    </row>
    <row r="162" spans="1:11" ht="14.25" hidden="1" thickTop="1" thickBot="1">
      <c r="A162" s="128"/>
      <c r="B162" s="128"/>
      <c r="C162" s="473"/>
      <c r="D162" s="128"/>
      <c r="E162" s="128"/>
      <c r="F162" s="128"/>
      <c r="G162" s="209">
        <f>SUM(G160:G161)</f>
        <v>10362.719999999999</v>
      </c>
      <c r="K162" s="205"/>
    </row>
    <row r="163" spans="1:11" ht="13.5" thickTop="1">
      <c r="A163" s="128"/>
      <c r="B163" s="128"/>
      <c r="C163" s="557" t="s">
        <v>75</v>
      </c>
      <c r="D163" s="128"/>
      <c r="E163" s="128"/>
      <c r="F163" s="128"/>
      <c r="G163" s="204"/>
    </row>
    <row r="164" spans="1:11">
      <c r="A164" s="128"/>
      <c r="B164" s="128"/>
      <c r="C164" s="473" t="s">
        <v>73</v>
      </c>
      <c r="D164" s="128" t="s">
        <v>35</v>
      </c>
      <c r="E164" s="208">
        <v>1</v>
      </c>
      <c r="F164" s="208">
        <f>G148</f>
        <v>7708.9100000000008</v>
      </c>
      <c r="G164" s="125">
        <f>ROUND(E164*F164,2)</f>
        <v>7708.91</v>
      </c>
      <c r="K164" s="19"/>
    </row>
    <row r="165" spans="1:11">
      <c r="A165" s="128"/>
      <c r="B165" s="128"/>
      <c r="C165" s="473" t="s">
        <v>1076</v>
      </c>
      <c r="D165" s="128" t="s">
        <v>35</v>
      </c>
      <c r="E165" s="208">
        <v>1</v>
      </c>
      <c r="F165" s="208">
        <f>'MINI SSR 2024-25'!C55</f>
        <v>1453</v>
      </c>
      <c r="G165" s="125">
        <f t="shared" ref="G165:G166" si="2">ROUND(E165*F165,2)</f>
        <v>1453</v>
      </c>
    </row>
    <row r="166" spans="1:11">
      <c r="A166" s="128"/>
      <c r="B166" s="128"/>
      <c r="C166" s="473" t="s">
        <v>1077</v>
      </c>
      <c r="D166" s="128" t="s">
        <v>35</v>
      </c>
      <c r="E166" s="208">
        <v>1</v>
      </c>
      <c r="F166" s="208">
        <f>'MINI SSR 2024-25'!D55</f>
        <v>1620</v>
      </c>
      <c r="G166" s="125">
        <f t="shared" si="2"/>
        <v>1620</v>
      </c>
      <c r="K166" s="19"/>
    </row>
    <row r="167" spans="1:11">
      <c r="A167" s="128"/>
      <c r="B167" s="128"/>
      <c r="C167" s="473"/>
      <c r="D167" s="128"/>
      <c r="E167" s="208"/>
      <c r="F167" s="208"/>
      <c r="G167" s="125">
        <f>SUM(G164:G166)</f>
        <v>10781.91</v>
      </c>
      <c r="K167" s="19"/>
    </row>
    <row r="168" spans="1:11">
      <c r="A168" s="128"/>
      <c r="B168" s="128"/>
      <c r="C168" s="473" t="s">
        <v>2194</v>
      </c>
      <c r="D168" s="128"/>
      <c r="E168" s="208"/>
      <c r="F168" s="208"/>
      <c r="G168" s="204">
        <f>ROUND(G167*$C$3,2)</f>
        <v>1467.96</v>
      </c>
      <c r="K168" s="19"/>
    </row>
    <row r="169" spans="1:11" ht="13.5" thickBot="1">
      <c r="A169" s="128"/>
      <c r="B169" s="128"/>
      <c r="C169" s="473"/>
      <c r="D169" s="128"/>
      <c r="E169" s="128"/>
      <c r="F169" s="128"/>
      <c r="G169" s="209">
        <f>SUM(G167:G168)</f>
        <v>12249.869999999999</v>
      </c>
      <c r="K169" s="205"/>
    </row>
    <row r="170" spans="1:11" ht="179.25" thickTop="1">
      <c r="A170" s="81">
        <v>7</v>
      </c>
      <c r="B170" s="207" t="s">
        <v>76</v>
      </c>
      <c r="C170" s="473" t="s">
        <v>1837</v>
      </c>
      <c r="D170" s="128"/>
      <c r="E170" s="128"/>
      <c r="F170" s="128"/>
      <c r="G170" s="207"/>
    </row>
    <row r="171" spans="1:11">
      <c r="A171" s="81"/>
      <c r="B171" s="207"/>
      <c r="C171" s="557" t="s">
        <v>80</v>
      </c>
      <c r="D171" s="128"/>
      <c r="E171" s="128"/>
      <c r="F171" s="128"/>
      <c r="G171" s="204"/>
    </row>
    <row r="172" spans="1:11">
      <c r="A172" s="81"/>
      <c r="B172" s="207"/>
      <c r="C172" s="557" t="s">
        <v>60</v>
      </c>
      <c r="D172" s="128"/>
      <c r="E172" s="128"/>
      <c r="F172" s="128"/>
      <c r="G172" s="204"/>
    </row>
    <row r="173" spans="1:11">
      <c r="A173" s="81"/>
      <c r="B173" s="207"/>
      <c r="C173" s="473" t="s">
        <v>146</v>
      </c>
      <c r="D173" s="128" t="s">
        <v>35</v>
      </c>
      <c r="E173" s="208">
        <v>0.9</v>
      </c>
      <c r="F173" s="208">
        <f>F137</f>
        <v>2589.8499999999985</v>
      </c>
      <c r="G173" s="125">
        <f>ROUND(E173*F173,2)</f>
        <v>2330.87</v>
      </c>
    </row>
    <row r="174" spans="1:11">
      <c r="A174" s="81"/>
      <c r="B174" s="207"/>
      <c r="C174" s="473" t="s">
        <v>111</v>
      </c>
      <c r="D174" s="128" t="s">
        <v>35</v>
      </c>
      <c r="E174" s="208">
        <v>0.45</v>
      </c>
      <c r="F174" s="208">
        <f>'lead 24-25'!L14</f>
        <v>1013.4699999999982</v>
      </c>
      <c r="G174" s="125">
        <f>ROUND(E174*F174,2)</f>
        <v>456.06</v>
      </c>
    </row>
    <row r="175" spans="1:11">
      <c r="A175" s="128"/>
      <c r="B175" s="128"/>
      <c r="C175" s="473" t="s">
        <v>33</v>
      </c>
      <c r="D175" s="128" t="s">
        <v>4</v>
      </c>
      <c r="E175" s="208">
        <f>E139</f>
        <v>330</v>
      </c>
      <c r="F175" s="208">
        <f>'lead 24-25'!L8</f>
        <v>4218.8</v>
      </c>
      <c r="G175" s="125">
        <f>ROUND(E175*F175/1000,2)</f>
        <v>1392.2</v>
      </c>
    </row>
    <row r="176" spans="1:11">
      <c r="A176" s="128"/>
      <c r="B176" s="128"/>
      <c r="C176" s="557" t="s">
        <v>68</v>
      </c>
      <c r="D176" s="128"/>
      <c r="E176" s="208"/>
      <c r="F176" s="208"/>
      <c r="G176" s="125"/>
    </row>
    <row r="177" spans="1:11">
      <c r="A177" s="128"/>
      <c r="B177" s="128"/>
      <c r="C177" s="473" t="s">
        <v>64</v>
      </c>
      <c r="D177" s="128" t="s">
        <v>27</v>
      </c>
      <c r="E177" s="133">
        <v>0.16700000000000001</v>
      </c>
      <c r="F177" s="208">
        <f>'MINI SSR 2024-25'!$H$3</f>
        <v>710</v>
      </c>
      <c r="G177" s="125">
        <f>ROUND(E177*F177,2)</f>
        <v>118.57</v>
      </c>
      <c r="K177" s="19">
        <f>G177</f>
        <v>118.57</v>
      </c>
    </row>
    <row r="178" spans="1:11">
      <c r="A178" s="128"/>
      <c r="B178" s="128"/>
      <c r="C178" s="473" t="s">
        <v>69</v>
      </c>
      <c r="D178" s="128" t="s">
        <v>27</v>
      </c>
      <c r="E178" s="133">
        <v>0.16700000000000001</v>
      </c>
      <c r="F178" s="208">
        <f>'MINI SSR 2024-25'!$H$4</f>
        <v>640</v>
      </c>
      <c r="G178" s="125">
        <f>ROUND(E178*F178,2)</f>
        <v>106.88</v>
      </c>
      <c r="K178" s="19">
        <f>G178</f>
        <v>106.88</v>
      </c>
    </row>
    <row r="179" spans="1:11">
      <c r="A179" s="128"/>
      <c r="B179" s="128"/>
      <c r="C179" s="473" t="s">
        <v>70</v>
      </c>
      <c r="D179" s="128" t="s">
        <v>27</v>
      </c>
      <c r="E179" s="133">
        <v>4.7</v>
      </c>
      <c r="F179" s="208">
        <f>'MINI SSR 2024-25'!$H$5</f>
        <v>595</v>
      </c>
      <c r="G179" s="125">
        <f>ROUND(E179*F179,2)</f>
        <v>2796.5</v>
      </c>
      <c r="K179" s="19">
        <f>G179</f>
        <v>2796.5</v>
      </c>
    </row>
    <row r="180" spans="1:11">
      <c r="A180" s="128"/>
      <c r="B180" s="128"/>
      <c r="C180" s="557" t="s">
        <v>61</v>
      </c>
      <c r="D180" s="128"/>
      <c r="E180" s="208"/>
      <c r="F180" s="208"/>
      <c r="G180" s="125"/>
    </row>
    <row r="181" spans="1:11">
      <c r="A181" s="128"/>
      <c r="B181" s="128"/>
      <c r="C181" s="473" t="s">
        <v>62</v>
      </c>
      <c r="D181" s="128" t="s">
        <v>21</v>
      </c>
      <c r="E181" s="208">
        <v>1</v>
      </c>
      <c r="F181" s="208">
        <f>'MINI SSR 2024-25'!$C$30</f>
        <v>708.08</v>
      </c>
      <c r="G181" s="125">
        <f>ROUND(E181*F181,2)</f>
        <v>708.08</v>
      </c>
    </row>
    <row r="182" spans="1:11">
      <c r="A182" s="128"/>
      <c r="B182" s="128"/>
      <c r="C182" s="473" t="s">
        <v>161</v>
      </c>
      <c r="D182" s="128" t="s">
        <v>21</v>
      </c>
      <c r="E182" s="208">
        <v>1</v>
      </c>
      <c r="F182" s="208">
        <f>'MINI SSR 2024-25'!$C$31</f>
        <v>288.39</v>
      </c>
      <c r="G182" s="125">
        <f>ROUND(E182*F182,2)</f>
        <v>288.39</v>
      </c>
    </row>
    <row r="183" spans="1:11">
      <c r="A183" s="128"/>
      <c r="B183" s="128"/>
      <c r="C183" s="473" t="s">
        <v>57</v>
      </c>
      <c r="D183" s="128" t="s">
        <v>58</v>
      </c>
      <c r="E183" s="208">
        <v>1.2</v>
      </c>
      <c r="F183" s="208">
        <f>'MINI SSR 2024-25'!$C$29</f>
        <v>105</v>
      </c>
      <c r="G183" s="125">
        <f>ROUND(E183*F183,2)</f>
        <v>126</v>
      </c>
    </row>
    <row r="184" spans="1:11" ht="13.5" thickBot="1">
      <c r="A184" s="128"/>
      <c r="B184" s="128"/>
      <c r="C184" s="557" t="s">
        <v>71</v>
      </c>
      <c r="D184" s="128"/>
      <c r="E184" s="128"/>
      <c r="F184" s="128"/>
      <c r="G184" s="209">
        <f>SUM(G173:G183)</f>
        <v>8323.5499999999993</v>
      </c>
      <c r="K184" s="205">
        <f>SUM(K177:K183)</f>
        <v>3021.95</v>
      </c>
    </row>
    <row r="185" spans="1:11" ht="13.5" thickTop="1">
      <c r="A185" s="128"/>
      <c r="B185" s="128"/>
      <c r="C185" s="557"/>
      <c r="D185" s="128"/>
      <c r="E185" s="207" t="s">
        <v>163</v>
      </c>
      <c r="F185" s="207" t="s">
        <v>164</v>
      </c>
      <c r="G185" s="210" t="s">
        <v>165</v>
      </c>
      <c r="H185" s="10"/>
    </row>
    <row r="186" spans="1:11">
      <c r="A186" s="128"/>
      <c r="B186" s="128"/>
      <c r="C186" s="557" t="s">
        <v>1078</v>
      </c>
      <c r="D186" s="128"/>
      <c r="E186" s="208">
        <f>G184</f>
        <v>8323.5499999999993</v>
      </c>
      <c r="F186" s="208">
        <f>G184</f>
        <v>8323.5499999999993</v>
      </c>
      <c r="G186" s="204">
        <f>G184</f>
        <v>8323.5499999999993</v>
      </c>
      <c r="H186" s="10"/>
    </row>
    <row r="187" spans="1:11" ht="25.5">
      <c r="A187" s="128"/>
      <c r="B187" s="128"/>
      <c r="C187" s="473" t="s">
        <v>166</v>
      </c>
      <c r="D187" s="128"/>
      <c r="E187" s="208">
        <f>'MINI SSR 2024-25'!C57</f>
        <v>371</v>
      </c>
      <c r="F187" s="208">
        <f>E187</f>
        <v>371</v>
      </c>
      <c r="G187" s="11">
        <f>E187</f>
        <v>371</v>
      </c>
      <c r="H187" s="10"/>
    </row>
    <row r="188" spans="1:11">
      <c r="A188" s="128"/>
      <c r="B188" s="128"/>
      <c r="C188" s="473" t="s">
        <v>167</v>
      </c>
      <c r="D188" s="128"/>
      <c r="E188" s="208">
        <f>'MINI SSR 2024-25'!D57</f>
        <v>2415</v>
      </c>
      <c r="F188" s="208">
        <f>'MINI SSR 2024-25'!E57</f>
        <v>2657</v>
      </c>
      <c r="G188" s="204">
        <f>'MINI SSR 2024-25'!F57</f>
        <v>2898</v>
      </c>
      <c r="H188" s="10"/>
    </row>
    <row r="189" spans="1:11">
      <c r="A189" s="128"/>
      <c r="B189" s="128"/>
      <c r="C189" s="473" t="s">
        <v>1079</v>
      </c>
      <c r="D189" s="128"/>
      <c r="E189" s="128"/>
      <c r="F189" s="128">
        <f>ROUND((G177+G178+G179+F188)*0.1,2)</f>
        <v>567.9</v>
      </c>
      <c r="G189" s="633">
        <f>ROUND((G177+G178+G179+G188)*0.2,2)</f>
        <v>1183.99</v>
      </c>
      <c r="H189" s="10"/>
    </row>
    <row r="190" spans="1:11">
      <c r="A190" s="128"/>
      <c r="B190" s="128"/>
      <c r="C190" s="473" t="s">
        <v>2194</v>
      </c>
      <c r="D190" s="128"/>
      <c r="E190" s="208">
        <f>ROUND((E186+E187+E188+E189)*$C$3,2)</f>
        <v>1512.57</v>
      </c>
      <c r="F190" s="208">
        <f>ROUND((F186+F187+F188+F189)*$C$3,2)</f>
        <v>1622.83</v>
      </c>
      <c r="G190" s="208">
        <f>ROUND((G186+G187+G188+G189)*$C$3,2)</f>
        <v>1739.53</v>
      </c>
      <c r="H190" s="10"/>
    </row>
    <row r="191" spans="1:11">
      <c r="A191" s="128"/>
      <c r="B191" s="128"/>
      <c r="C191" s="473"/>
      <c r="D191" s="128"/>
      <c r="E191" s="210">
        <f>SUM(E186:E190)</f>
        <v>12622.119999999999</v>
      </c>
      <c r="F191" s="210">
        <f>SUM(F186:F190)</f>
        <v>13542.279999999999</v>
      </c>
      <c r="G191" s="210">
        <f>SUM(G186:G190)</f>
        <v>14516.07</v>
      </c>
      <c r="H191" s="10"/>
    </row>
    <row r="192" spans="1:11">
      <c r="A192" s="128"/>
      <c r="B192" s="128"/>
      <c r="C192" s="557"/>
      <c r="D192" s="128"/>
      <c r="E192" s="207" t="s">
        <v>163</v>
      </c>
      <c r="F192" s="207" t="s">
        <v>164</v>
      </c>
      <c r="G192" s="210" t="s">
        <v>165</v>
      </c>
      <c r="H192" s="10"/>
    </row>
    <row r="193" spans="1:11">
      <c r="A193" s="128"/>
      <c r="B193" s="128"/>
      <c r="C193" s="557" t="s">
        <v>1080</v>
      </c>
      <c r="D193" s="128"/>
      <c r="E193" s="208">
        <f>G184</f>
        <v>8323.5499999999993</v>
      </c>
      <c r="F193" s="208">
        <f>G184</f>
        <v>8323.5499999999993</v>
      </c>
      <c r="G193" s="204">
        <f>G184</f>
        <v>8323.5499999999993</v>
      </c>
      <c r="H193" s="10"/>
    </row>
    <row r="194" spans="1:11" ht="25.5">
      <c r="A194" s="128"/>
      <c r="B194" s="128"/>
      <c r="C194" s="473" t="s">
        <v>168</v>
      </c>
      <c r="D194" s="128"/>
      <c r="E194" s="208">
        <f>'MINI SSR 2024-25'!C58</f>
        <v>1233</v>
      </c>
      <c r="F194" s="208">
        <f>E194</f>
        <v>1233</v>
      </c>
      <c r="G194" s="11">
        <f>E194</f>
        <v>1233</v>
      </c>
      <c r="H194" s="10"/>
    </row>
    <row r="195" spans="1:11">
      <c r="A195" s="128"/>
      <c r="B195" s="128"/>
      <c r="C195" s="473" t="s">
        <v>169</v>
      </c>
      <c r="D195" s="128"/>
      <c r="E195" s="208">
        <f>'MINI SSR 2024-25'!D58</f>
        <v>1720</v>
      </c>
      <c r="F195" s="208">
        <f>'MINI SSR 2024-25'!E58</f>
        <v>1892</v>
      </c>
      <c r="G195" s="204">
        <f>'MINI SSR 2024-25'!F58</f>
        <v>2064</v>
      </c>
      <c r="H195" s="10"/>
    </row>
    <row r="196" spans="1:11">
      <c r="A196" s="128"/>
      <c r="B196" s="128"/>
      <c r="C196" s="473" t="s">
        <v>1079</v>
      </c>
      <c r="D196" s="128"/>
      <c r="E196" s="128"/>
      <c r="F196" s="128">
        <f>ROUND((G177+G178+G179+F195)*0.1,2)</f>
        <v>491.4</v>
      </c>
      <c r="G196" s="633">
        <f>ROUND((G177+G178+G179+G195)*0.2,2)</f>
        <v>1017.19</v>
      </c>
      <c r="H196" s="10"/>
    </row>
    <row r="197" spans="1:11">
      <c r="A197" s="128"/>
      <c r="B197" s="128"/>
      <c r="C197" s="473" t="s">
        <v>2194</v>
      </c>
      <c r="D197" s="128"/>
      <c r="E197" s="208">
        <f>ROUND((E193+E194+E195+E196)*$C$3,2)</f>
        <v>1535.3</v>
      </c>
      <c r="F197" s="208">
        <f>ROUND((F193+F194+F195+F196)*$C$3,2)</f>
        <v>1625.62</v>
      </c>
      <c r="G197" s="208">
        <f>ROUND((G193+G194+G195+G196)*$C$3,2)</f>
        <v>1720.63</v>
      </c>
      <c r="H197" s="10"/>
    </row>
    <row r="198" spans="1:11">
      <c r="A198" s="128"/>
      <c r="B198" s="128"/>
      <c r="C198" s="473"/>
      <c r="D198" s="128"/>
      <c r="E198" s="210">
        <f>SUM(E193:E197)</f>
        <v>12811.849999999999</v>
      </c>
      <c r="F198" s="210">
        <f>SUM(F193:F197)</f>
        <v>13565.57</v>
      </c>
      <c r="G198" s="210">
        <f>SUM(G193:G197)</f>
        <v>14358.369999999999</v>
      </c>
      <c r="H198" s="10"/>
    </row>
    <row r="199" spans="1:11" ht="178.5">
      <c r="A199" s="81">
        <v>8</v>
      </c>
      <c r="B199" s="207" t="s">
        <v>78</v>
      </c>
      <c r="C199" s="473" t="s">
        <v>1837</v>
      </c>
      <c r="D199" s="128"/>
      <c r="E199" s="128"/>
      <c r="F199" s="128"/>
      <c r="G199" s="207"/>
    </row>
    <row r="200" spans="1:11">
      <c r="A200" s="81"/>
      <c r="B200" s="207"/>
      <c r="C200" s="557" t="s">
        <v>79</v>
      </c>
      <c r="D200" s="128"/>
      <c r="E200" s="128"/>
      <c r="F200" s="128"/>
      <c r="G200" s="204"/>
    </row>
    <row r="201" spans="1:11">
      <c r="A201" s="81"/>
      <c r="B201" s="207"/>
      <c r="C201" s="557" t="s">
        <v>60</v>
      </c>
      <c r="D201" s="207"/>
      <c r="E201" s="207"/>
      <c r="F201" s="207"/>
      <c r="G201" s="204"/>
    </row>
    <row r="202" spans="1:11">
      <c r="A202" s="81"/>
      <c r="B202" s="207"/>
      <c r="C202" s="473" t="s">
        <v>146</v>
      </c>
      <c r="D202" s="128" t="s">
        <v>35</v>
      </c>
      <c r="E202" s="208">
        <v>0.9</v>
      </c>
      <c r="F202" s="208">
        <f>'lead 24-25'!L18</f>
        <v>2589.8499999999985</v>
      </c>
      <c r="G202" s="125">
        <f>ROUND(E202*F202,2)</f>
        <v>2330.87</v>
      </c>
    </row>
    <row r="203" spans="1:11">
      <c r="A203" s="81"/>
      <c r="B203" s="207"/>
      <c r="C203" s="473" t="s">
        <v>111</v>
      </c>
      <c r="D203" s="128" t="s">
        <v>35</v>
      </c>
      <c r="E203" s="208">
        <v>0.45</v>
      </c>
      <c r="F203" s="208">
        <f>'lead 24-25'!L14</f>
        <v>1013.4699999999982</v>
      </c>
      <c r="G203" s="125">
        <f>ROUND(E203*F203,2)</f>
        <v>456.06</v>
      </c>
    </row>
    <row r="204" spans="1:11">
      <c r="A204" s="128"/>
      <c r="B204" s="128"/>
      <c r="C204" s="473" t="s">
        <v>33</v>
      </c>
      <c r="D204" s="128" t="s">
        <v>4</v>
      </c>
      <c r="E204" s="208">
        <f>E175</f>
        <v>330</v>
      </c>
      <c r="F204" s="208">
        <f>'lead 24-25'!L8</f>
        <v>4218.8</v>
      </c>
      <c r="G204" s="125">
        <f>ROUND(E204*F204/1000,2)</f>
        <v>1392.2</v>
      </c>
    </row>
    <row r="205" spans="1:11">
      <c r="A205" s="128"/>
      <c r="B205" s="128"/>
      <c r="C205" s="557" t="s">
        <v>68</v>
      </c>
      <c r="D205" s="128"/>
      <c r="E205" s="208"/>
      <c r="F205" s="208"/>
      <c r="G205" s="125"/>
    </row>
    <row r="206" spans="1:11">
      <c r="A206" s="128"/>
      <c r="B206" s="128"/>
      <c r="C206" s="473" t="s">
        <v>64</v>
      </c>
      <c r="D206" s="128" t="s">
        <v>27</v>
      </c>
      <c r="E206" s="133">
        <v>6.7000000000000004E-2</v>
      </c>
      <c r="F206" s="208">
        <f>'MINI SSR 2024-25'!$H$3</f>
        <v>710</v>
      </c>
      <c r="G206" s="125">
        <f>ROUND(E206*F206,2)</f>
        <v>47.57</v>
      </c>
      <c r="K206" s="19">
        <f>G206</f>
        <v>47.57</v>
      </c>
    </row>
    <row r="207" spans="1:11">
      <c r="A207" s="128"/>
      <c r="B207" s="128"/>
      <c r="C207" s="473" t="s">
        <v>69</v>
      </c>
      <c r="D207" s="128" t="s">
        <v>27</v>
      </c>
      <c r="E207" s="133">
        <v>0.13300000000000001</v>
      </c>
      <c r="F207" s="208">
        <f>'MINI SSR 2024-25'!$H$4</f>
        <v>640</v>
      </c>
      <c r="G207" s="125">
        <f>ROUND(E207*F207,2)</f>
        <v>85.12</v>
      </c>
      <c r="K207" s="19">
        <f>G207</f>
        <v>85.12</v>
      </c>
    </row>
    <row r="208" spans="1:11">
      <c r="A208" s="128"/>
      <c r="B208" s="128"/>
      <c r="C208" s="473" t="s">
        <v>70</v>
      </c>
      <c r="D208" s="128" t="s">
        <v>27</v>
      </c>
      <c r="E208" s="133">
        <v>2.5</v>
      </c>
      <c r="F208" s="208">
        <f>'MINI SSR 2024-25'!$H$5</f>
        <v>595</v>
      </c>
      <c r="G208" s="125">
        <f>ROUND(E208*F208,2)</f>
        <v>1487.5</v>
      </c>
      <c r="K208" s="19">
        <f>G208</f>
        <v>1487.5</v>
      </c>
    </row>
    <row r="209" spans="1:11">
      <c r="A209" s="128"/>
      <c r="B209" s="128"/>
      <c r="C209" s="557" t="s">
        <v>61</v>
      </c>
      <c r="D209" s="128"/>
      <c r="E209" s="208"/>
      <c r="F209" s="208"/>
      <c r="G209" s="125"/>
    </row>
    <row r="210" spans="1:11">
      <c r="A210" s="128"/>
      <c r="B210" s="128"/>
      <c r="C210" s="473" t="s">
        <v>62</v>
      </c>
      <c r="D210" s="128" t="s">
        <v>21</v>
      </c>
      <c r="E210" s="133">
        <v>0.26700000000000002</v>
      </c>
      <c r="F210" s="208">
        <f>'MINI SSR 2024-25'!$C$30</f>
        <v>708.08</v>
      </c>
      <c r="G210" s="125">
        <f>ROUND(E210*F210,2)</f>
        <v>189.06</v>
      </c>
    </row>
    <row r="211" spans="1:11">
      <c r="A211" s="128"/>
      <c r="B211" s="128"/>
      <c r="C211" s="473" t="s">
        <v>161</v>
      </c>
      <c r="D211" s="128" t="s">
        <v>21</v>
      </c>
      <c r="E211" s="133">
        <v>0.26700000000000002</v>
      </c>
      <c r="F211" s="208">
        <f>'MINI SSR 2024-25'!$C$31</f>
        <v>288.39</v>
      </c>
      <c r="G211" s="125">
        <f>ROUND(E211*F211,2)</f>
        <v>77</v>
      </c>
    </row>
    <row r="212" spans="1:11">
      <c r="A212" s="128"/>
      <c r="B212" s="128"/>
      <c r="C212" s="473" t="s">
        <v>57</v>
      </c>
      <c r="D212" s="128" t="s">
        <v>58</v>
      </c>
      <c r="E212" s="208">
        <v>1.2</v>
      </c>
      <c r="F212" s="208">
        <f>'MINI SSR 2024-25'!$C$29</f>
        <v>105</v>
      </c>
      <c r="G212" s="125">
        <f>ROUND(E212*F212,2)</f>
        <v>126</v>
      </c>
    </row>
    <row r="213" spans="1:11" ht="13.5" thickBot="1">
      <c r="A213" s="128"/>
      <c r="B213" s="128"/>
      <c r="C213" s="557" t="s">
        <v>71</v>
      </c>
      <c r="D213" s="128"/>
      <c r="E213" s="128"/>
      <c r="F213" s="128"/>
      <c r="G213" s="209">
        <f>SUM(G202:G212)</f>
        <v>6191.38</v>
      </c>
      <c r="K213" s="205">
        <f>SUM(K206:K212)</f>
        <v>1620.19</v>
      </c>
    </row>
    <row r="214" spans="1:11" ht="13.5" thickTop="1">
      <c r="A214" s="128"/>
      <c r="B214" s="128"/>
      <c r="C214" s="557"/>
      <c r="D214" s="128"/>
      <c r="E214" s="207" t="s">
        <v>163</v>
      </c>
      <c r="F214" s="207" t="s">
        <v>164</v>
      </c>
      <c r="G214" s="210" t="s">
        <v>165</v>
      </c>
      <c r="H214" s="10"/>
    </row>
    <row r="215" spans="1:11">
      <c r="A215" s="128"/>
      <c r="B215" s="128"/>
      <c r="C215" s="557" t="s">
        <v>1081</v>
      </c>
      <c r="D215" s="128"/>
      <c r="E215" s="208">
        <f>G213</f>
        <v>6191.38</v>
      </c>
      <c r="F215" s="208">
        <f>G213</f>
        <v>6191.38</v>
      </c>
      <c r="G215" s="204">
        <f>G213</f>
        <v>6191.38</v>
      </c>
      <c r="H215" s="10"/>
    </row>
    <row r="216" spans="1:11" ht="25.5">
      <c r="A216" s="128"/>
      <c r="B216" s="128"/>
      <c r="C216" s="473" t="s">
        <v>179</v>
      </c>
      <c r="D216" s="128"/>
      <c r="E216" s="208">
        <f>'MINI SSR 2024-25'!C60</f>
        <v>2179</v>
      </c>
      <c r="F216" s="208">
        <f>E216</f>
        <v>2179</v>
      </c>
      <c r="G216" s="11">
        <f>E216</f>
        <v>2179</v>
      </c>
      <c r="H216" s="10"/>
    </row>
    <row r="217" spans="1:11">
      <c r="A217" s="128"/>
      <c r="B217" s="128"/>
      <c r="C217" s="473" t="s">
        <v>180</v>
      </c>
      <c r="D217" s="128"/>
      <c r="E217" s="208">
        <f>'MINI SSR 2024-25'!D60</f>
        <v>2027</v>
      </c>
      <c r="F217" s="208">
        <f>'MINI SSR 2024-25'!E60</f>
        <v>2230</v>
      </c>
      <c r="G217" s="204">
        <f>'MINI SSR 2024-25'!F60</f>
        <v>2432</v>
      </c>
      <c r="H217" s="10"/>
    </row>
    <row r="218" spans="1:11">
      <c r="A218" s="128"/>
      <c r="B218" s="128"/>
      <c r="C218" s="473" t="s">
        <v>1079</v>
      </c>
      <c r="D218" s="128"/>
      <c r="E218" s="128"/>
      <c r="F218" s="208">
        <f>ROUND((G206+G207+G208+F217)*0.1,2)</f>
        <v>385.02</v>
      </c>
      <c r="G218" s="204">
        <f>ROUND((G206+G207+G208+G217)*0.2,2)</f>
        <v>810.44</v>
      </c>
      <c r="H218" s="10"/>
    </row>
    <row r="219" spans="1:11">
      <c r="A219" s="128"/>
      <c r="B219" s="128"/>
      <c r="C219" s="473" t="s">
        <v>2194</v>
      </c>
      <c r="D219" s="128"/>
      <c r="E219" s="208">
        <f>ROUND((E215+E216+E217+E218)*$C$3,2)</f>
        <v>1415.6</v>
      </c>
      <c r="F219" s="208">
        <f>ROUND((F215+F216+F217+F218)*$C$3,2)</f>
        <v>1495.66</v>
      </c>
      <c r="G219" s="208">
        <f>ROUND((G215+G216+G217+G218)*$C$3,2)</f>
        <v>1581.09</v>
      </c>
      <c r="H219" s="10"/>
    </row>
    <row r="220" spans="1:11">
      <c r="A220" s="128"/>
      <c r="B220" s="128"/>
      <c r="C220" s="557" t="s">
        <v>184</v>
      </c>
      <c r="D220" s="128"/>
      <c r="E220" s="210">
        <f>SUM(E215:E219)</f>
        <v>11812.980000000001</v>
      </c>
      <c r="F220" s="210">
        <f>SUM(F215:F219)</f>
        <v>12481.060000000001</v>
      </c>
      <c r="G220" s="210">
        <f>SUM(G215:G219)</f>
        <v>13193.910000000002</v>
      </c>
      <c r="H220" s="10"/>
    </row>
    <row r="221" spans="1:11" hidden="1">
      <c r="A221" s="128"/>
      <c r="B221" s="128"/>
      <c r="C221" s="557"/>
      <c r="D221" s="128"/>
      <c r="E221" s="207" t="s">
        <v>163</v>
      </c>
      <c r="F221" s="207" t="s">
        <v>164</v>
      </c>
      <c r="G221" s="210" t="s">
        <v>165</v>
      </c>
      <c r="H221" s="10"/>
    </row>
    <row r="222" spans="1:11" hidden="1">
      <c r="A222" s="128"/>
      <c r="B222" s="128"/>
      <c r="C222" s="557" t="s">
        <v>1082</v>
      </c>
      <c r="D222" s="128"/>
      <c r="E222" s="208">
        <f>G213</f>
        <v>6191.38</v>
      </c>
      <c r="F222" s="208">
        <f>G213</f>
        <v>6191.38</v>
      </c>
      <c r="G222" s="204">
        <f>G213</f>
        <v>6191.38</v>
      </c>
      <c r="H222" s="10"/>
    </row>
    <row r="223" spans="1:11" hidden="1">
      <c r="A223" s="128"/>
      <c r="B223" s="128"/>
      <c r="C223" s="557" t="s">
        <v>1063</v>
      </c>
      <c r="D223" s="208">
        <v>0.1</v>
      </c>
      <c r="E223" s="208">
        <f>ROUND(E222*0.1,2)</f>
        <v>619.14</v>
      </c>
      <c r="F223" s="208">
        <f>ROUND(F222*0.1,2)</f>
        <v>619.14</v>
      </c>
      <c r="G223" s="204">
        <f>ROUND(G222*0.1,2)</f>
        <v>619.14</v>
      </c>
      <c r="H223" s="10"/>
    </row>
    <row r="224" spans="1:11" ht="25.5" hidden="1">
      <c r="A224" s="128"/>
      <c r="B224" s="128"/>
      <c r="C224" s="473" t="s">
        <v>181</v>
      </c>
      <c r="D224" s="128"/>
      <c r="E224" s="208">
        <f>'MINI SSR 2024-25'!C61</f>
        <v>247</v>
      </c>
      <c r="F224" s="208">
        <f>E224</f>
        <v>247</v>
      </c>
      <c r="G224" s="11">
        <f>E224</f>
        <v>247</v>
      </c>
      <c r="H224" s="10"/>
    </row>
    <row r="225" spans="1:8" hidden="1">
      <c r="A225" s="128"/>
      <c r="B225" s="128"/>
      <c r="C225" s="473" t="s">
        <v>182</v>
      </c>
      <c r="D225" s="128"/>
      <c r="E225" s="208">
        <f>'MINI SSR 2024-25'!D61</f>
        <v>241</v>
      </c>
      <c r="F225" s="208">
        <f>'MINI SSR 2024-25'!E61</f>
        <v>265</v>
      </c>
      <c r="G225" s="204">
        <f>'MINI SSR 2024-25'!F61</f>
        <v>289</v>
      </c>
      <c r="H225" s="10"/>
    </row>
    <row r="226" spans="1:8" ht="25.5" hidden="1">
      <c r="A226" s="128"/>
      <c r="B226" s="128"/>
      <c r="C226" s="473" t="s">
        <v>1083</v>
      </c>
      <c r="D226" s="128"/>
      <c r="E226" s="128"/>
      <c r="F226" s="208">
        <f>ROUND(((G206+G207+G208+F225)*0.1),2)</f>
        <v>188.52</v>
      </c>
      <c r="G226" s="204">
        <f>ROUND(((G206+G207+G208+G225)*0.1),2)</f>
        <v>190.92</v>
      </c>
      <c r="H226" s="10"/>
    </row>
    <row r="227" spans="1:8" hidden="1">
      <c r="A227" s="128"/>
      <c r="B227" s="128"/>
      <c r="C227" s="473" t="s">
        <v>2194</v>
      </c>
      <c r="D227" s="128"/>
      <c r="E227" s="208">
        <v>0</v>
      </c>
      <c r="F227" s="208">
        <v>0</v>
      </c>
      <c r="G227" s="208">
        <v>0</v>
      </c>
      <c r="H227" s="10"/>
    </row>
    <row r="228" spans="1:8" hidden="1">
      <c r="A228" s="128"/>
      <c r="B228" s="128"/>
      <c r="C228" s="557" t="s">
        <v>183</v>
      </c>
      <c r="D228" s="128"/>
      <c r="E228" s="210">
        <f>SUM(E223:E226)</f>
        <v>1107.1399999999999</v>
      </c>
      <c r="F228" s="210">
        <f>SUM(F223:F226)</f>
        <v>1319.6599999999999</v>
      </c>
      <c r="G228" s="209">
        <f>SUM(G223:G226)</f>
        <v>1346.06</v>
      </c>
      <c r="H228" s="10"/>
    </row>
    <row r="229" spans="1:8">
      <c r="A229" s="128"/>
      <c r="B229" s="128"/>
      <c r="C229" s="557"/>
      <c r="D229" s="128"/>
      <c r="E229" s="207" t="s">
        <v>163</v>
      </c>
      <c r="F229" s="207" t="s">
        <v>164</v>
      </c>
      <c r="G229" s="210" t="s">
        <v>165</v>
      </c>
      <c r="H229" s="10"/>
    </row>
    <row r="230" spans="1:8">
      <c r="A230" s="128"/>
      <c r="B230" s="128"/>
      <c r="C230" s="557" t="s">
        <v>1084</v>
      </c>
      <c r="D230" s="128"/>
      <c r="E230" s="208">
        <f>G213</f>
        <v>6191.38</v>
      </c>
      <c r="F230" s="208">
        <f>G213</f>
        <v>6191.38</v>
      </c>
      <c r="G230" s="204">
        <f>G213</f>
        <v>6191.38</v>
      </c>
      <c r="H230" s="10"/>
    </row>
    <row r="231" spans="1:8">
      <c r="A231" s="128"/>
      <c r="B231" s="128"/>
      <c r="C231" s="557" t="s">
        <v>1064</v>
      </c>
      <c r="D231" s="128">
        <v>0.125</v>
      </c>
      <c r="E231" s="208">
        <f>ROUND(E230*0.125,2)</f>
        <v>773.92</v>
      </c>
      <c r="F231" s="208">
        <f>ROUND(F230*0.125,2)</f>
        <v>773.92</v>
      </c>
      <c r="G231" s="204">
        <f>ROUND(G230*0.125,2)</f>
        <v>773.92</v>
      </c>
      <c r="H231" s="10"/>
    </row>
    <row r="232" spans="1:8" ht="25.5">
      <c r="A232" s="128"/>
      <c r="B232" s="128"/>
      <c r="C232" s="473" t="s">
        <v>181</v>
      </c>
      <c r="D232" s="128"/>
      <c r="E232" s="208">
        <f>'MINI SSR 2024-25'!C61</f>
        <v>247</v>
      </c>
      <c r="F232" s="208">
        <f>E232</f>
        <v>247</v>
      </c>
      <c r="G232" s="11">
        <f>E232</f>
        <v>247</v>
      </c>
      <c r="H232" s="10"/>
    </row>
    <row r="233" spans="1:8">
      <c r="A233" s="128"/>
      <c r="B233" s="128"/>
      <c r="C233" s="473" t="s">
        <v>182</v>
      </c>
      <c r="D233" s="128"/>
      <c r="E233" s="208">
        <f>'MINI SSR 2024-25'!D61</f>
        <v>241</v>
      </c>
      <c r="F233" s="208">
        <f>'MINI SSR 2024-25'!E61</f>
        <v>265</v>
      </c>
      <c r="G233" s="204">
        <f>'MINI SSR 2024-25'!F61</f>
        <v>289</v>
      </c>
      <c r="H233" s="10"/>
    </row>
    <row r="234" spans="1:8" ht="25.5">
      <c r="A234" s="128"/>
      <c r="B234" s="128"/>
      <c r="C234" s="473" t="s">
        <v>1083</v>
      </c>
      <c r="D234" s="128"/>
      <c r="E234" s="128"/>
      <c r="F234" s="208">
        <f>ROUND(((G206+G207+G208+F233)*0.1),2)</f>
        <v>188.52</v>
      </c>
      <c r="G234" s="204">
        <f>ROUND(((G206+G207+G208+G233)*0.1),2)</f>
        <v>190.92</v>
      </c>
      <c r="H234" s="10"/>
    </row>
    <row r="235" spans="1:8">
      <c r="A235" s="128"/>
      <c r="B235" s="128"/>
      <c r="C235" s="473" t="s">
        <v>2194</v>
      </c>
      <c r="D235" s="128"/>
      <c r="E235" s="208">
        <f>ROUND((E231+E232+E233+E234)*$C$3,2)</f>
        <v>171.81</v>
      </c>
      <c r="F235" s="208">
        <f>ROUND((F231+F232+F233+F234)*$C$3,2)</f>
        <v>200.75</v>
      </c>
      <c r="G235" s="208">
        <f>ROUND((G231+G232+G233+G234)*$C$3,2)</f>
        <v>204.34</v>
      </c>
      <c r="H235" s="10"/>
    </row>
    <row r="236" spans="1:8">
      <c r="A236" s="128"/>
      <c r="B236" s="128"/>
      <c r="C236" s="557" t="s">
        <v>183</v>
      </c>
      <c r="D236" s="128"/>
      <c r="E236" s="210">
        <f>SUM(E231:E235)</f>
        <v>1433.73</v>
      </c>
      <c r="F236" s="210">
        <f>SUM(F231:F235)</f>
        <v>1675.19</v>
      </c>
      <c r="G236" s="210">
        <f>SUM(G231:G235)</f>
        <v>1705.18</v>
      </c>
      <c r="H236" s="10"/>
    </row>
    <row r="237" spans="1:8" hidden="1">
      <c r="A237" s="128"/>
      <c r="B237" s="128"/>
      <c r="C237" s="557"/>
      <c r="D237" s="128"/>
      <c r="E237" s="207" t="s">
        <v>163</v>
      </c>
      <c r="F237" s="207" t="s">
        <v>164</v>
      </c>
      <c r="G237" s="210" t="s">
        <v>165</v>
      </c>
      <c r="H237" s="10"/>
    </row>
    <row r="238" spans="1:8" hidden="1">
      <c r="A238" s="128"/>
      <c r="B238" s="128"/>
      <c r="C238" s="557" t="s">
        <v>1085</v>
      </c>
      <c r="D238" s="128"/>
      <c r="E238" s="208">
        <f>G213</f>
        <v>6191.38</v>
      </c>
      <c r="F238" s="208">
        <f>G213</f>
        <v>6191.38</v>
      </c>
      <c r="G238" s="204">
        <f>G213</f>
        <v>6191.38</v>
      </c>
      <c r="H238" s="10"/>
    </row>
    <row r="239" spans="1:8" hidden="1">
      <c r="A239" s="128"/>
      <c r="B239" s="128"/>
      <c r="C239" s="557" t="s">
        <v>1064</v>
      </c>
      <c r="D239" s="128">
        <v>0.15</v>
      </c>
      <c r="E239" s="208">
        <f>ROUND(E238*0.15,2)</f>
        <v>928.71</v>
      </c>
      <c r="F239" s="208">
        <f>ROUND(F238*0.15,2)</f>
        <v>928.71</v>
      </c>
      <c r="G239" s="204">
        <f>ROUND(G238*0.15,2)</f>
        <v>928.71</v>
      </c>
      <c r="H239" s="10"/>
    </row>
    <row r="240" spans="1:8" ht="25.5" hidden="1">
      <c r="A240" s="128"/>
      <c r="B240" s="128"/>
      <c r="C240" s="473" t="s">
        <v>181</v>
      </c>
      <c r="D240" s="128"/>
      <c r="E240" s="208">
        <f>'MINI SSR 2024-25'!C61</f>
        <v>247</v>
      </c>
      <c r="F240" s="208">
        <f>E240</f>
        <v>247</v>
      </c>
      <c r="G240" s="11">
        <f>E240</f>
        <v>247</v>
      </c>
      <c r="H240" s="10"/>
    </row>
    <row r="241" spans="1:8" hidden="1">
      <c r="A241" s="128"/>
      <c r="B241" s="128"/>
      <c r="C241" s="473" t="s">
        <v>182</v>
      </c>
      <c r="D241" s="128"/>
      <c r="E241" s="208">
        <f>'MINI SSR 2024-25'!D61</f>
        <v>241</v>
      </c>
      <c r="F241" s="208">
        <f>'MINI SSR 2024-25'!E61</f>
        <v>265</v>
      </c>
      <c r="G241" s="204">
        <f>'MINI SSR 2024-25'!F61</f>
        <v>289</v>
      </c>
      <c r="H241" s="10"/>
    </row>
    <row r="242" spans="1:8" ht="25.5" hidden="1">
      <c r="A242" s="128"/>
      <c r="B242" s="128"/>
      <c r="C242" s="473" t="s">
        <v>1083</v>
      </c>
      <c r="D242" s="128"/>
      <c r="E242" s="128"/>
      <c r="F242" s="208">
        <f>ROUND(((G206+G207+G208+F241)*0.15)*0.1,2)</f>
        <v>28.28</v>
      </c>
      <c r="G242" s="204">
        <f>ROUND(((G206+G207+G208+G241)*0.15)*0.1,2)</f>
        <v>28.64</v>
      </c>
      <c r="H242" s="10"/>
    </row>
    <row r="243" spans="1:8" hidden="1">
      <c r="A243" s="128"/>
      <c r="B243" s="128"/>
      <c r="C243" s="473" t="s">
        <v>2194</v>
      </c>
      <c r="D243" s="128"/>
      <c r="E243" s="208">
        <v>0</v>
      </c>
      <c r="F243" s="208">
        <v>0</v>
      </c>
      <c r="G243" s="208">
        <v>0</v>
      </c>
      <c r="H243" s="10"/>
    </row>
    <row r="244" spans="1:8" hidden="1">
      <c r="A244" s="128"/>
      <c r="B244" s="128"/>
      <c r="C244" s="557" t="s">
        <v>183</v>
      </c>
      <c r="D244" s="128"/>
      <c r="E244" s="210">
        <f>SUM(E239:E243)</f>
        <v>1416.71</v>
      </c>
      <c r="F244" s="210">
        <f>SUM(F239:F243)</f>
        <v>1468.99</v>
      </c>
      <c r="G244" s="210">
        <f>SUM(G239:G243)</f>
        <v>1493.3500000000001</v>
      </c>
      <c r="H244" s="10"/>
    </row>
    <row r="245" spans="1:8" hidden="1">
      <c r="A245" s="128"/>
      <c r="B245" s="128"/>
      <c r="C245" s="557"/>
      <c r="D245" s="128"/>
      <c r="E245" s="210"/>
      <c r="F245" s="210"/>
      <c r="G245" s="209"/>
      <c r="H245" s="10"/>
    </row>
    <row r="246" spans="1:8" hidden="1">
      <c r="A246" s="128"/>
      <c r="B246" s="128"/>
      <c r="C246" s="557" t="s">
        <v>1086</v>
      </c>
      <c r="D246" s="128"/>
      <c r="E246" s="208">
        <f>G213</f>
        <v>6191.38</v>
      </c>
      <c r="F246" s="208">
        <f>G213</f>
        <v>6191.38</v>
      </c>
      <c r="G246" s="204">
        <f>G213</f>
        <v>6191.38</v>
      </c>
      <c r="H246" s="10"/>
    </row>
    <row r="247" spans="1:8" hidden="1">
      <c r="A247" s="128"/>
      <c r="B247" s="128"/>
      <c r="C247" s="557" t="s">
        <v>1064</v>
      </c>
      <c r="D247" s="133">
        <v>0.17499999999999999</v>
      </c>
      <c r="E247" s="208">
        <f>ROUND(E246*0.175,2)</f>
        <v>1083.49</v>
      </c>
      <c r="F247" s="208">
        <f>ROUND(F246*0.175,2)</f>
        <v>1083.49</v>
      </c>
      <c r="G247" s="204">
        <f>ROUND(G246*0.175,2)</f>
        <v>1083.49</v>
      </c>
      <c r="H247" s="10"/>
    </row>
    <row r="248" spans="1:8" ht="25.5" hidden="1">
      <c r="A248" s="128"/>
      <c r="B248" s="128"/>
      <c r="C248" s="473" t="s">
        <v>185</v>
      </c>
      <c r="D248" s="128"/>
      <c r="E248" s="208">
        <f>'MINI SSR 2024-25'!C62</f>
        <v>254</v>
      </c>
      <c r="F248" s="208">
        <f>E248</f>
        <v>254</v>
      </c>
      <c r="G248" s="11">
        <f>E248</f>
        <v>254</v>
      </c>
      <c r="H248" s="10"/>
    </row>
    <row r="249" spans="1:8" hidden="1">
      <c r="A249" s="128"/>
      <c r="B249" s="128"/>
      <c r="C249" s="473" t="s">
        <v>186</v>
      </c>
      <c r="D249" s="128"/>
      <c r="E249" s="208">
        <f>'MINI SSR 2024-25'!D62</f>
        <v>248</v>
      </c>
      <c r="F249" s="208">
        <f>'MINI SSR 2024-25'!E62</f>
        <v>273</v>
      </c>
      <c r="G249" s="204">
        <f>'MINI SSR 2024-25'!F62</f>
        <v>298</v>
      </c>
      <c r="H249" s="10"/>
    </row>
    <row r="250" spans="1:8" ht="25.5" hidden="1">
      <c r="A250" s="128"/>
      <c r="B250" s="128"/>
      <c r="C250" s="473" t="s">
        <v>1083</v>
      </c>
      <c r="D250" s="128"/>
      <c r="E250" s="128"/>
      <c r="F250" s="208">
        <f>ROUND(((G206+G207+G208+F249)*0.175)*0.1,2)</f>
        <v>33.130000000000003</v>
      </c>
      <c r="G250" s="204">
        <f>ROUND(((G206+G207+G208+G249)*0.175)*0.1,2)</f>
        <v>33.57</v>
      </c>
      <c r="H250" s="10"/>
    </row>
    <row r="251" spans="1:8" hidden="1">
      <c r="A251" s="128"/>
      <c r="B251" s="128"/>
      <c r="C251" s="473" t="s">
        <v>2194</v>
      </c>
      <c r="D251" s="128"/>
      <c r="E251" s="208">
        <v>0</v>
      </c>
      <c r="F251" s="208">
        <v>0</v>
      </c>
      <c r="G251" s="208">
        <v>0</v>
      </c>
      <c r="H251" s="10"/>
    </row>
    <row r="252" spans="1:8" hidden="1">
      <c r="A252" s="128"/>
      <c r="B252" s="128"/>
      <c r="C252" s="557" t="s">
        <v>183</v>
      </c>
      <c r="D252" s="128"/>
      <c r="E252" s="210">
        <f>SUM(E247:E251)</f>
        <v>1585.49</v>
      </c>
      <c r="F252" s="210">
        <f>SUM(F247:F251)</f>
        <v>1643.6200000000001</v>
      </c>
      <c r="G252" s="210">
        <f>SUM(G247:G251)</f>
        <v>1669.06</v>
      </c>
      <c r="H252" s="10"/>
    </row>
    <row r="253" spans="1:8" hidden="1">
      <c r="A253" s="128"/>
      <c r="B253" s="128"/>
      <c r="C253" s="557" t="s">
        <v>1087</v>
      </c>
      <c r="D253" s="128"/>
      <c r="E253" s="207" t="s">
        <v>163</v>
      </c>
      <c r="F253" s="207" t="s">
        <v>164</v>
      </c>
      <c r="G253" s="210" t="s">
        <v>165</v>
      </c>
      <c r="H253" s="10"/>
    </row>
    <row r="254" spans="1:8" hidden="1">
      <c r="A254" s="128"/>
      <c r="B254" s="128"/>
      <c r="C254" s="473" t="s">
        <v>170</v>
      </c>
      <c r="D254" s="128"/>
      <c r="E254" s="208">
        <f>G213</f>
        <v>6191.38</v>
      </c>
      <c r="F254" s="208">
        <f>E254</f>
        <v>6191.38</v>
      </c>
      <c r="G254" s="125">
        <f>F254</f>
        <v>6191.38</v>
      </c>
      <c r="H254" s="10"/>
    </row>
    <row r="255" spans="1:8" hidden="1">
      <c r="A255" s="128"/>
      <c r="B255" s="128"/>
      <c r="C255" s="473" t="s">
        <v>171</v>
      </c>
      <c r="D255" s="206">
        <v>0.05</v>
      </c>
      <c r="E255" s="208">
        <f>ROUND(E254*D255,2)</f>
        <v>309.57</v>
      </c>
      <c r="F255" s="208">
        <f>ROUND(F254*D255,2)</f>
        <v>309.57</v>
      </c>
      <c r="G255" s="125">
        <f>ROUND(G254*D255,2)</f>
        <v>309.57</v>
      </c>
      <c r="H255" s="10"/>
    </row>
    <row r="256" spans="1:8" ht="25.5" hidden="1">
      <c r="A256" s="128"/>
      <c r="B256" s="128"/>
      <c r="C256" s="473" t="s">
        <v>173</v>
      </c>
      <c r="D256" s="208" t="s">
        <v>77</v>
      </c>
      <c r="E256" s="208">
        <f>'MINI SSR 2024-25'!C59</f>
        <v>243</v>
      </c>
      <c r="F256" s="208">
        <f>E256</f>
        <v>243</v>
      </c>
      <c r="G256" s="204">
        <f>F256</f>
        <v>243</v>
      </c>
      <c r="H256" s="10"/>
    </row>
    <row r="257" spans="1:8" hidden="1">
      <c r="A257" s="128"/>
      <c r="B257" s="128"/>
      <c r="C257" s="473" t="s">
        <v>174</v>
      </c>
      <c r="D257" s="208" t="s">
        <v>77</v>
      </c>
      <c r="E257" s="208">
        <f>'MINI SSR 2024-25'!D59</f>
        <v>264</v>
      </c>
      <c r="F257" s="208">
        <f>'MINI SSR 2024-25'!E59</f>
        <v>290</v>
      </c>
      <c r="G257" s="204">
        <f>'MINI SSR 2024-25'!F59</f>
        <v>317</v>
      </c>
      <c r="H257" s="10"/>
    </row>
    <row r="258" spans="1:8" ht="25.5" hidden="1">
      <c r="A258" s="128"/>
      <c r="B258" s="128"/>
      <c r="C258" s="473" t="s">
        <v>172</v>
      </c>
      <c r="D258" s="128"/>
      <c r="E258" s="128"/>
      <c r="F258" s="208">
        <f>ROUND(((G206+G207+G208+F257))*0.1,2)</f>
        <v>191.02</v>
      </c>
      <c r="G258" s="204">
        <f>ROUND(((G206+G207+G208+G257))*0.1,2)</f>
        <v>193.72</v>
      </c>
      <c r="H258" s="10"/>
    </row>
    <row r="259" spans="1:8" hidden="1">
      <c r="A259" s="128"/>
      <c r="B259" s="128"/>
      <c r="C259" s="473" t="s">
        <v>2194</v>
      </c>
      <c r="D259" s="128"/>
      <c r="E259" s="208">
        <v>0</v>
      </c>
      <c r="F259" s="208">
        <v>0</v>
      </c>
      <c r="G259" s="208">
        <v>0</v>
      </c>
      <c r="H259" s="10"/>
    </row>
    <row r="260" spans="1:8" hidden="1">
      <c r="A260" s="128"/>
      <c r="B260" s="128"/>
      <c r="C260" s="557" t="s">
        <v>177</v>
      </c>
      <c r="D260" s="128"/>
      <c r="E260" s="210">
        <f>SUM(E255:E259)</f>
        <v>816.56999999999994</v>
      </c>
      <c r="F260" s="210">
        <f>SUM(F255:F259)</f>
        <v>1033.5899999999999</v>
      </c>
      <c r="G260" s="210">
        <f>SUM(G255:G259)</f>
        <v>1063.29</v>
      </c>
      <c r="H260" s="165"/>
    </row>
    <row r="261" spans="1:8" hidden="1">
      <c r="A261" s="81"/>
      <c r="B261" s="207"/>
      <c r="C261" s="557" t="s">
        <v>175</v>
      </c>
      <c r="D261" s="128"/>
      <c r="E261" s="128"/>
      <c r="F261" s="128"/>
      <c r="G261" s="204"/>
      <c r="H261" s="10"/>
    </row>
    <row r="262" spans="1:8">
      <c r="A262" s="128"/>
      <c r="B262" s="128"/>
      <c r="C262" s="557"/>
      <c r="D262" s="128"/>
      <c r="E262" s="207" t="s">
        <v>163</v>
      </c>
      <c r="F262" s="207" t="s">
        <v>164</v>
      </c>
      <c r="G262" s="210" t="s">
        <v>165</v>
      </c>
      <c r="H262" s="10"/>
    </row>
    <row r="263" spans="1:8">
      <c r="A263" s="128"/>
      <c r="B263" s="128"/>
      <c r="C263" s="473" t="s">
        <v>176</v>
      </c>
      <c r="D263" s="206"/>
      <c r="E263" s="208">
        <f>E254</f>
        <v>6191.38</v>
      </c>
      <c r="F263" s="208">
        <f>F254</f>
        <v>6191.38</v>
      </c>
      <c r="G263" s="204">
        <f>G254</f>
        <v>6191.38</v>
      </c>
      <c r="H263" s="10"/>
    </row>
    <row r="264" spans="1:8">
      <c r="A264" s="128"/>
      <c r="B264" s="128"/>
      <c r="C264" s="473" t="s">
        <v>1065</v>
      </c>
      <c r="D264" s="206">
        <v>3.7499999999999999E-2</v>
      </c>
      <c r="E264" s="208">
        <f>ROUND(E263*0.0375,2)</f>
        <v>232.18</v>
      </c>
      <c r="F264" s="208">
        <f>ROUND(F263*0.0375,2)</f>
        <v>232.18</v>
      </c>
      <c r="G264" s="204">
        <f>ROUND(G263*0.0375,2)</f>
        <v>232.18</v>
      </c>
      <c r="H264" s="10"/>
    </row>
    <row r="265" spans="1:8">
      <c r="A265" s="128"/>
      <c r="B265" s="128"/>
      <c r="C265" s="473" t="s">
        <v>788</v>
      </c>
      <c r="D265" s="208"/>
      <c r="E265" s="208">
        <f>'MINI SSR 2024-25'!C59</f>
        <v>243</v>
      </c>
      <c r="F265" s="208">
        <f>E265</f>
        <v>243</v>
      </c>
      <c r="G265" s="204">
        <f>F265</f>
        <v>243</v>
      </c>
      <c r="H265" s="10"/>
    </row>
    <row r="266" spans="1:8">
      <c r="A266" s="128"/>
      <c r="B266" s="128"/>
      <c r="C266" s="473" t="s">
        <v>789</v>
      </c>
      <c r="D266" s="208"/>
      <c r="E266" s="208">
        <f>'MINI SSR 2024-25'!D59</f>
        <v>264</v>
      </c>
      <c r="F266" s="208">
        <f>'MINI SSR 2024-25'!E59</f>
        <v>290</v>
      </c>
      <c r="G266" s="204">
        <f>'MINI SSR 2024-25'!F59</f>
        <v>317</v>
      </c>
      <c r="H266" s="10"/>
    </row>
    <row r="267" spans="1:8" ht="25.5">
      <c r="A267" s="128"/>
      <c r="B267" s="128"/>
      <c r="C267" s="473" t="s">
        <v>172</v>
      </c>
      <c r="D267" s="128"/>
      <c r="E267" s="128"/>
      <c r="F267" s="204">
        <f>ROUND(((G206+G207+G208+F266))*0.1,2)</f>
        <v>191.02</v>
      </c>
      <c r="G267" s="204">
        <f>ROUND(((G206+G207+G208+G266))*0.1,2)</f>
        <v>193.72</v>
      </c>
      <c r="H267" s="10"/>
    </row>
    <row r="268" spans="1:8">
      <c r="A268" s="128"/>
      <c r="B268" s="128"/>
      <c r="C268" s="473" t="s">
        <v>2194</v>
      </c>
      <c r="D268" s="128"/>
      <c r="E268" s="208">
        <f>ROUND((E264+E265+E266+E267)*$C$3,2)</f>
        <v>100.64</v>
      </c>
      <c r="F268" s="208">
        <f>ROUND((F264+F265+F266+F267)*$C$3,2)</f>
        <v>130.19</v>
      </c>
      <c r="G268" s="208">
        <f>ROUND((G264+G265+G266+G267)*$C$3,2)</f>
        <v>134.22999999999999</v>
      </c>
      <c r="H268" s="10"/>
    </row>
    <row r="269" spans="1:8">
      <c r="A269" s="128"/>
      <c r="B269" s="128"/>
      <c r="C269" s="557" t="s">
        <v>178</v>
      </c>
      <c r="D269" s="128"/>
      <c r="E269" s="210">
        <f>SUM(E264:E268)</f>
        <v>839.82</v>
      </c>
      <c r="F269" s="210">
        <f>SUM(F264:F268)</f>
        <v>1086.3900000000001</v>
      </c>
      <c r="G269" s="210">
        <f>SUM(G264:G268)</f>
        <v>1120.1300000000001</v>
      </c>
      <c r="H269" s="10"/>
    </row>
    <row r="270" spans="1:8" ht="178.5" hidden="1">
      <c r="A270" s="81">
        <v>17</v>
      </c>
      <c r="B270" s="207" t="s">
        <v>78</v>
      </c>
      <c r="C270" s="473" t="s">
        <v>1838</v>
      </c>
      <c r="D270" s="128"/>
      <c r="E270" s="128"/>
      <c r="F270" s="128"/>
      <c r="G270" s="207"/>
    </row>
    <row r="271" spans="1:8" hidden="1">
      <c r="A271" s="81"/>
      <c r="B271" s="207"/>
      <c r="C271" s="557" t="s">
        <v>977</v>
      </c>
      <c r="D271" s="128"/>
      <c r="E271" s="128"/>
      <c r="F271" s="128"/>
      <c r="G271" s="204"/>
    </row>
    <row r="272" spans="1:8" hidden="1">
      <c r="A272" s="81"/>
      <c r="B272" s="207"/>
      <c r="C272" s="557" t="s">
        <v>60</v>
      </c>
      <c r="D272" s="207"/>
      <c r="E272" s="207"/>
      <c r="F272" s="207"/>
      <c r="G272" s="204"/>
    </row>
    <row r="273" spans="1:11" hidden="1">
      <c r="A273" s="81"/>
      <c r="B273" s="207"/>
      <c r="C273" s="473" t="s">
        <v>146</v>
      </c>
      <c r="D273" s="128" t="s">
        <v>35</v>
      </c>
      <c r="E273" s="208">
        <v>0.9</v>
      </c>
      <c r="F273" s="208">
        <f>'lead 24-25'!L18</f>
        <v>2589.8499999999985</v>
      </c>
      <c r="G273" s="125">
        <f>ROUND(E273*F273,2)</f>
        <v>2330.87</v>
      </c>
    </row>
    <row r="274" spans="1:11" hidden="1">
      <c r="A274" s="81"/>
      <c r="B274" s="207"/>
      <c r="C274" s="473" t="s">
        <v>111</v>
      </c>
      <c r="D274" s="128" t="s">
        <v>35</v>
      </c>
      <c r="E274" s="208">
        <v>0.45</v>
      </c>
      <c r="F274" s="208">
        <f>'lead 24-25'!L14</f>
        <v>1013.4699999999982</v>
      </c>
      <c r="G274" s="125">
        <f>ROUND(E274*F274,2)</f>
        <v>456.06</v>
      </c>
    </row>
    <row r="275" spans="1:11" hidden="1">
      <c r="A275" s="128"/>
      <c r="B275" s="128"/>
      <c r="C275" s="473" t="s">
        <v>33</v>
      </c>
      <c r="D275" s="128" t="s">
        <v>4</v>
      </c>
      <c r="E275" s="208">
        <f>E204</f>
        <v>330</v>
      </c>
      <c r="F275" s="208">
        <f>'lead 24-25'!L8</f>
        <v>4218.8</v>
      </c>
      <c r="G275" s="125">
        <f>ROUND(E275*F275/1000,2)</f>
        <v>1392.2</v>
      </c>
    </row>
    <row r="276" spans="1:11" hidden="1">
      <c r="A276" s="128"/>
      <c r="B276" s="128"/>
      <c r="C276" s="557" t="s">
        <v>68</v>
      </c>
      <c r="D276" s="128"/>
      <c r="E276" s="208"/>
      <c r="F276" s="208"/>
      <c r="G276" s="125"/>
    </row>
    <row r="277" spans="1:11" hidden="1">
      <c r="A277" s="128"/>
      <c r="B277" s="128"/>
      <c r="C277" s="473" t="s">
        <v>64</v>
      </c>
      <c r="D277" s="128" t="s">
        <v>27</v>
      </c>
      <c r="E277" s="133">
        <v>6.7000000000000004E-2</v>
      </c>
      <c r="F277" s="208">
        <f>'MINI SSR 2024-25'!$H$3</f>
        <v>710</v>
      </c>
      <c r="G277" s="125">
        <f>ROUND(E277*F277,2)</f>
        <v>47.57</v>
      </c>
      <c r="K277" s="19">
        <f>G277</f>
        <v>47.57</v>
      </c>
    </row>
    <row r="278" spans="1:11" hidden="1">
      <c r="A278" s="128"/>
      <c r="B278" s="128"/>
      <c r="C278" s="473" t="s">
        <v>69</v>
      </c>
      <c r="D278" s="128" t="s">
        <v>27</v>
      </c>
      <c r="E278" s="133">
        <v>0.13300000000000001</v>
      </c>
      <c r="F278" s="208">
        <f>'MINI SSR 2024-25'!$H$4</f>
        <v>640</v>
      </c>
      <c r="G278" s="125">
        <f>ROUND(E278*F278,2)</f>
        <v>85.12</v>
      </c>
      <c r="K278" s="19">
        <f>G278</f>
        <v>85.12</v>
      </c>
    </row>
    <row r="279" spans="1:11" hidden="1">
      <c r="A279" s="128"/>
      <c r="B279" s="128"/>
      <c r="C279" s="473" t="s">
        <v>70</v>
      </c>
      <c r="D279" s="128" t="s">
        <v>27</v>
      </c>
      <c r="E279" s="133">
        <v>2.5</v>
      </c>
      <c r="F279" s="208">
        <f>'MINI SSR 2024-25'!$H$5</f>
        <v>595</v>
      </c>
      <c r="G279" s="125">
        <f>ROUND(E279*F279,2)</f>
        <v>1487.5</v>
      </c>
      <c r="K279" s="19">
        <f>G279</f>
        <v>1487.5</v>
      </c>
    </row>
    <row r="280" spans="1:11" hidden="1">
      <c r="A280" s="128"/>
      <c r="B280" s="128"/>
      <c r="C280" s="557" t="s">
        <v>61</v>
      </c>
      <c r="D280" s="128"/>
      <c r="E280" s="208"/>
      <c r="F280" s="208"/>
      <c r="G280" s="125"/>
    </row>
    <row r="281" spans="1:11" hidden="1">
      <c r="A281" s="128"/>
      <c r="B281" s="128"/>
      <c r="C281" s="473" t="s">
        <v>62</v>
      </c>
      <c r="D281" s="128" t="s">
        <v>21</v>
      </c>
      <c r="E281" s="133">
        <v>0.26700000000000002</v>
      </c>
      <c r="F281" s="208">
        <f>'MINI SSR 2024-25'!$C$30</f>
        <v>708.08</v>
      </c>
      <c r="G281" s="125">
        <f>ROUND(E281*F281,2)</f>
        <v>189.06</v>
      </c>
    </row>
    <row r="282" spans="1:11" hidden="1">
      <c r="A282" s="128"/>
      <c r="B282" s="128"/>
      <c r="C282" s="473" t="s">
        <v>57</v>
      </c>
      <c r="D282" s="128" t="s">
        <v>58</v>
      </c>
      <c r="E282" s="208">
        <v>1.2</v>
      </c>
      <c r="F282" s="208">
        <f>'MINI SSR 2024-25'!$C$29</f>
        <v>105</v>
      </c>
      <c r="G282" s="125">
        <f>ROUND(E282*F282,2)</f>
        <v>126</v>
      </c>
    </row>
    <row r="283" spans="1:11" ht="13.5" hidden="1" thickBot="1">
      <c r="A283" s="128"/>
      <c r="B283" s="128"/>
      <c r="C283" s="557" t="s">
        <v>71</v>
      </c>
      <c r="D283" s="128"/>
      <c r="E283" s="128"/>
      <c r="F283" s="208"/>
      <c r="G283" s="209">
        <f>SUM(G273:G282)+0.01</f>
        <v>6114.39</v>
      </c>
      <c r="K283" s="205">
        <f>SUM(K277:K282)</f>
        <v>1620.19</v>
      </c>
    </row>
    <row r="284" spans="1:11" hidden="1">
      <c r="A284" s="128"/>
      <c r="B284" s="128"/>
      <c r="C284" s="557"/>
      <c r="D284" s="128"/>
      <c r="E284" s="207" t="s">
        <v>163</v>
      </c>
      <c r="F284" s="207" t="s">
        <v>164</v>
      </c>
      <c r="G284" s="210" t="s">
        <v>165</v>
      </c>
      <c r="H284" s="10"/>
    </row>
    <row r="285" spans="1:11" hidden="1">
      <c r="A285" s="128"/>
      <c r="B285" s="128"/>
      <c r="C285" s="557" t="s">
        <v>1088</v>
      </c>
      <c r="D285" s="128"/>
      <c r="E285" s="208">
        <f>G283</f>
        <v>6114.39</v>
      </c>
      <c r="F285" s="208">
        <f>G283</f>
        <v>6114.39</v>
      </c>
      <c r="G285" s="204">
        <f>G283</f>
        <v>6114.39</v>
      </c>
      <c r="H285" s="10"/>
    </row>
    <row r="286" spans="1:11" hidden="1">
      <c r="A286" s="128"/>
      <c r="B286" s="128"/>
      <c r="C286" s="557" t="s">
        <v>1066</v>
      </c>
      <c r="D286" s="208">
        <v>0.05</v>
      </c>
      <c r="E286" s="208">
        <f>ROUND(E285*D286,2)</f>
        <v>305.72000000000003</v>
      </c>
      <c r="F286" s="208">
        <f>ROUND(F285*D286,2)</f>
        <v>305.72000000000003</v>
      </c>
      <c r="G286" s="204">
        <f>ROUND(G285*D286,2)</f>
        <v>305.72000000000003</v>
      </c>
      <c r="H286" s="10"/>
    </row>
    <row r="287" spans="1:11" ht="25.5" hidden="1">
      <c r="A287" s="128"/>
      <c r="B287" s="128"/>
      <c r="C287" s="473" t="s">
        <v>978</v>
      </c>
      <c r="D287" s="128"/>
      <c r="E287" s="208">
        <f>E224*50%</f>
        <v>123.5</v>
      </c>
      <c r="F287" s="208">
        <f>E287</f>
        <v>123.5</v>
      </c>
      <c r="G287" s="11">
        <f>E287</f>
        <v>123.5</v>
      </c>
      <c r="H287" s="10"/>
    </row>
    <row r="288" spans="1:11" ht="25.5" hidden="1">
      <c r="A288" s="128"/>
      <c r="B288" s="128"/>
      <c r="C288" s="473" t="s">
        <v>979</v>
      </c>
      <c r="D288" s="128"/>
      <c r="E288" s="208">
        <f>E225*50%</f>
        <v>120.5</v>
      </c>
      <c r="F288" s="208">
        <f>F225*50%</f>
        <v>132.5</v>
      </c>
      <c r="G288" s="204">
        <f>G225*50%</f>
        <v>144.5</v>
      </c>
      <c r="H288" s="10"/>
    </row>
    <row r="289" spans="1:8" ht="25.5" hidden="1">
      <c r="A289" s="128"/>
      <c r="B289" s="128"/>
      <c r="C289" s="473" t="s">
        <v>1083</v>
      </c>
      <c r="D289" s="128"/>
      <c r="E289" s="128"/>
      <c r="F289" s="208">
        <f>ROUND(((G277+G278+G279+F288)*0.1),2)</f>
        <v>175.27</v>
      </c>
      <c r="G289" s="208">
        <f>ROUND(((G277+G278+G279+G288)*0.2),2)</f>
        <v>352.94</v>
      </c>
      <c r="H289" s="10"/>
    </row>
    <row r="290" spans="1:8" hidden="1">
      <c r="A290" s="128"/>
      <c r="B290" s="128"/>
      <c r="C290" s="473" t="s">
        <v>2194</v>
      </c>
      <c r="D290" s="128"/>
      <c r="E290" s="208">
        <f>ROUND(SUM(E286:E289)*13.615%,2)</f>
        <v>74.84</v>
      </c>
      <c r="F290" s="208">
        <f>ROUND(SUM(F286:F289)*13.615%,2)</f>
        <v>100.34</v>
      </c>
      <c r="G290" s="208">
        <f>ROUND(SUM(G286:G289)*13.615%,2)</f>
        <v>126.16</v>
      </c>
      <c r="H290" s="10"/>
    </row>
    <row r="291" spans="1:8" hidden="1">
      <c r="A291" s="128"/>
      <c r="B291" s="128"/>
      <c r="C291" s="557" t="s">
        <v>183</v>
      </c>
      <c r="D291" s="128"/>
      <c r="E291" s="210">
        <f>SUM(E286:E290)</f>
        <v>624.56000000000006</v>
      </c>
      <c r="F291" s="210">
        <f>SUM(F286:F290)</f>
        <v>837.33</v>
      </c>
      <c r="G291" s="210">
        <f>SUM(G286:G290)</f>
        <v>1052.8200000000002</v>
      </c>
      <c r="H291" s="10"/>
    </row>
    <row r="292" spans="1:8" hidden="1">
      <c r="A292" s="128"/>
      <c r="B292" s="128"/>
      <c r="C292" s="557"/>
      <c r="D292" s="128"/>
      <c r="E292" s="207" t="s">
        <v>163</v>
      </c>
      <c r="F292" s="207" t="s">
        <v>164</v>
      </c>
      <c r="G292" s="210" t="s">
        <v>165</v>
      </c>
      <c r="H292" s="10"/>
    </row>
    <row r="293" spans="1:8" hidden="1">
      <c r="A293" s="128"/>
      <c r="B293" s="128"/>
      <c r="C293" s="557" t="s">
        <v>1089</v>
      </c>
      <c r="D293" s="128"/>
      <c r="E293" s="208">
        <f>G283</f>
        <v>6114.39</v>
      </c>
      <c r="F293" s="208">
        <f>E293</f>
        <v>6114.39</v>
      </c>
      <c r="G293" s="204">
        <f>F293</f>
        <v>6114.39</v>
      </c>
      <c r="H293" s="10"/>
    </row>
    <row r="294" spans="1:8" hidden="1">
      <c r="A294" s="128"/>
      <c r="B294" s="128"/>
      <c r="C294" s="557" t="s">
        <v>1066</v>
      </c>
      <c r="D294" s="133">
        <v>2.5000000000000001E-2</v>
      </c>
      <c r="E294" s="208">
        <f>ROUND(E293*D294,2)</f>
        <v>152.86000000000001</v>
      </c>
      <c r="F294" s="208">
        <f>ROUND(F293*D294,2)</f>
        <v>152.86000000000001</v>
      </c>
      <c r="G294" s="204">
        <f>ROUND(G293*D294,2)</f>
        <v>152.86000000000001</v>
      </c>
      <c r="H294" s="10"/>
    </row>
    <row r="295" spans="1:8" ht="25.5" hidden="1">
      <c r="A295" s="128"/>
      <c r="B295" s="128"/>
      <c r="C295" s="473" t="s">
        <v>978</v>
      </c>
      <c r="D295" s="128"/>
      <c r="E295" s="208">
        <f>E232*50%</f>
        <v>123.5</v>
      </c>
      <c r="F295" s="208">
        <f>E295</f>
        <v>123.5</v>
      </c>
      <c r="G295" s="11">
        <f>E295</f>
        <v>123.5</v>
      </c>
      <c r="H295" s="10"/>
    </row>
    <row r="296" spans="1:8" ht="25.5" hidden="1">
      <c r="A296" s="128"/>
      <c r="B296" s="128"/>
      <c r="C296" s="473" t="s">
        <v>979</v>
      </c>
      <c r="D296" s="128"/>
      <c r="E296" s="208">
        <f>E233*50%</f>
        <v>120.5</v>
      </c>
      <c r="F296" s="208">
        <f>F233*50%</f>
        <v>132.5</v>
      </c>
      <c r="G296" s="204">
        <f>G233*50%</f>
        <v>144.5</v>
      </c>
      <c r="H296" s="10"/>
    </row>
    <row r="297" spans="1:8" ht="25.5" hidden="1">
      <c r="A297" s="128"/>
      <c r="B297" s="128"/>
      <c r="C297" s="473" t="s">
        <v>1083</v>
      </c>
      <c r="D297" s="128"/>
      <c r="E297" s="128"/>
      <c r="F297" s="208">
        <f>ROUND(((G277+G278+G279+F296)*0.1),2)</f>
        <v>175.27</v>
      </c>
      <c r="G297" s="208">
        <f>ROUND(((G277+G278+G279+G296)*0.1),2)</f>
        <v>176.47</v>
      </c>
      <c r="H297" s="10"/>
    </row>
    <row r="298" spans="1:8" hidden="1">
      <c r="A298" s="128"/>
      <c r="B298" s="128"/>
      <c r="C298" s="473" t="s">
        <v>2194</v>
      </c>
      <c r="D298" s="128"/>
      <c r="E298" s="208">
        <f>ROUND(SUM(E294:E297)*13.615%,2)</f>
        <v>54.03</v>
      </c>
      <c r="F298" s="208">
        <f>ROUND(SUM(F294:F297)*13.615%,2)</f>
        <v>79.53</v>
      </c>
      <c r="G298" s="208">
        <f>ROUND(SUM(G294:G297)*13.615%,2)</f>
        <v>81.33</v>
      </c>
      <c r="H298" s="10"/>
    </row>
    <row r="299" spans="1:8" hidden="1">
      <c r="A299" s="128"/>
      <c r="B299" s="128"/>
      <c r="C299" s="557" t="s">
        <v>183</v>
      </c>
      <c r="D299" s="128"/>
      <c r="E299" s="210">
        <f>SUM(E294:E298)</f>
        <v>450.89</v>
      </c>
      <c r="F299" s="210">
        <f>SUM(F294:F298)</f>
        <v>663.66</v>
      </c>
      <c r="G299" s="210">
        <f>SUM(G294:G298)</f>
        <v>678.66000000000008</v>
      </c>
      <c r="H299" s="10"/>
    </row>
    <row r="300" spans="1:8" ht="127.5" hidden="1">
      <c r="A300" s="81">
        <v>2</v>
      </c>
      <c r="B300" s="207"/>
      <c r="C300" s="473" t="s">
        <v>2193</v>
      </c>
      <c r="D300" s="128"/>
      <c r="E300" s="128"/>
      <c r="F300" s="128"/>
      <c r="G300" s="207"/>
    </row>
    <row r="301" spans="1:8" hidden="1">
      <c r="A301" s="81"/>
      <c r="B301" s="207"/>
      <c r="C301" s="557" t="s">
        <v>306</v>
      </c>
      <c r="D301" s="128"/>
      <c r="E301" s="128"/>
      <c r="F301" s="128"/>
      <c r="G301" s="204"/>
    </row>
    <row r="302" spans="1:8" hidden="1">
      <c r="A302" s="81"/>
      <c r="B302" s="207"/>
      <c r="C302" s="557" t="s">
        <v>60</v>
      </c>
      <c r="D302" s="207"/>
      <c r="E302" s="207"/>
      <c r="F302" s="207"/>
      <c r="G302" s="204"/>
    </row>
    <row r="303" spans="1:8" hidden="1">
      <c r="A303" s="81"/>
      <c r="B303" s="207"/>
      <c r="C303" s="473" t="s">
        <v>2154</v>
      </c>
      <c r="D303" s="128" t="s">
        <v>35</v>
      </c>
      <c r="E303" s="208">
        <v>0.9</v>
      </c>
      <c r="F303" s="208">
        <f>'lead 24-25'!L18</f>
        <v>2589.8499999999985</v>
      </c>
      <c r="G303" s="125">
        <f>ROUND(E303*F303,2)</f>
        <v>2330.87</v>
      </c>
    </row>
    <row r="304" spans="1:8" hidden="1">
      <c r="A304" s="81"/>
      <c r="B304" s="207"/>
      <c r="C304" s="473" t="s">
        <v>111</v>
      </c>
      <c r="D304" s="128" t="s">
        <v>35</v>
      </c>
      <c r="E304" s="208">
        <v>0.45</v>
      </c>
      <c r="F304" s="208">
        <f>F203</f>
        <v>1013.4699999999982</v>
      </c>
      <c r="G304" s="125">
        <f>ROUND(E304*F304,2)</f>
        <v>456.06</v>
      </c>
    </row>
    <row r="305" spans="1:11" hidden="1">
      <c r="A305" s="128"/>
      <c r="B305" s="128"/>
      <c r="C305" s="473" t="s">
        <v>33</v>
      </c>
      <c r="D305" s="128" t="s">
        <v>4</v>
      </c>
      <c r="E305" s="208">
        <f>E275</f>
        <v>330</v>
      </c>
      <c r="F305" s="208">
        <f>F204</f>
        <v>4218.8</v>
      </c>
      <c r="G305" s="125">
        <f>ROUND(E305*F305/1000,2)</f>
        <v>1392.2</v>
      </c>
    </row>
    <row r="306" spans="1:11" hidden="1">
      <c r="A306" s="128"/>
      <c r="B306" s="128"/>
      <c r="C306" s="557" t="s">
        <v>68</v>
      </c>
      <c r="D306" s="128"/>
      <c r="E306" s="208"/>
      <c r="F306" s="208"/>
      <c r="G306" s="125"/>
    </row>
    <row r="307" spans="1:11" hidden="1">
      <c r="A307" s="128"/>
      <c r="B307" s="128"/>
      <c r="C307" s="473" t="s">
        <v>64</v>
      </c>
      <c r="D307" s="128" t="s">
        <v>27</v>
      </c>
      <c r="E307" s="133">
        <v>0.1</v>
      </c>
      <c r="F307" s="208">
        <f>'MINI SSR 2024-25'!$H$3</f>
        <v>710</v>
      </c>
      <c r="G307" s="125">
        <f>ROUND(E307*F307,2)</f>
        <v>71</v>
      </c>
      <c r="K307" s="19">
        <f>G307</f>
        <v>71</v>
      </c>
    </row>
    <row r="308" spans="1:11" hidden="1">
      <c r="A308" s="128"/>
      <c r="B308" s="128"/>
      <c r="C308" s="473" t="s">
        <v>69</v>
      </c>
      <c r="D308" s="128" t="s">
        <v>27</v>
      </c>
      <c r="E308" s="133">
        <v>1.39</v>
      </c>
      <c r="F308" s="208">
        <f>'MINI SSR 2024-25'!$H$4</f>
        <v>640</v>
      </c>
      <c r="G308" s="125">
        <f>ROUND(E308*F308,2)</f>
        <v>889.6</v>
      </c>
      <c r="K308" s="19">
        <f>G308</f>
        <v>889.6</v>
      </c>
    </row>
    <row r="309" spans="1:11" hidden="1">
      <c r="A309" s="128"/>
      <c r="B309" s="128"/>
      <c r="C309" s="557" t="s">
        <v>61</v>
      </c>
      <c r="D309" s="128"/>
      <c r="E309" s="208"/>
      <c r="F309" s="208"/>
      <c r="G309" s="125"/>
    </row>
    <row r="310" spans="1:11" hidden="1">
      <c r="A310" s="128"/>
      <c r="B310" s="128"/>
      <c r="C310" s="473" t="s">
        <v>62</v>
      </c>
      <c r="D310" s="128" t="s">
        <v>21</v>
      </c>
      <c r="E310" s="133">
        <v>0.308</v>
      </c>
      <c r="F310" s="208">
        <f>'MINI SSR 2024-25'!$C$30</f>
        <v>708.08</v>
      </c>
      <c r="G310" s="125">
        <f>ROUND(E310*F310,2)</f>
        <v>218.09</v>
      </c>
    </row>
    <row r="311" spans="1:11" hidden="1">
      <c r="A311" s="128"/>
      <c r="B311" s="128"/>
      <c r="C311" s="473" t="s">
        <v>161</v>
      </c>
      <c r="D311" s="128" t="s">
        <v>21</v>
      </c>
      <c r="E311" s="133">
        <v>0.308</v>
      </c>
      <c r="F311" s="208">
        <f>'MINI SSR 2024-25'!$C$31</f>
        <v>288.39</v>
      </c>
      <c r="G311" s="125">
        <f>ROUND(E311*F311,2)</f>
        <v>88.82</v>
      </c>
    </row>
    <row r="312" spans="1:11" hidden="1">
      <c r="A312" s="128"/>
      <c r="B312" s="128"/>
      <c r="C312" s="473" t="s">
        <v>57</v>
      </c>
      <c r="D312" s="128" t="s">
        <v>58</v>
      </c>
      <c r="E312" s="208">
        <v>1.2</v>
      </c>
      <c r="F312" s="208">
        <f>'MINI SSR 2024-25'!$C$29</f>
        <v>105</v>
      </c>
      <c r="G312" s="125">
        <f>ROUND(E312*F312,2)</f>
        <v>126</v>
      </c>
    </row>
    <row r="313" spans="1:11" ht="13.5" hidden="1" thickBot="1">
      <c r="A313" s="128"/>
      <c r="B313" s="128"/>
      <c r="C313" s="557" t="s">
        <v>71</v>
      </c>
      <c r="D313" s="128"/>
      <c r="E313" s="128"/>
      <c r="F313" s="128"/>
      <c r="G313" s="209">
        <f>SUM(G303:G312)</f>
        <v>5572.64</v>
      </c>
      <c r="K313" s="205">
        <f>SUM(K307:K312)</f>
        <v>960.6</v>
      </c>
    </row>
    <row r="314" spans="1:11" hidden="1">
      <c r="A314" s="128"/>
      <c r="B314" s="128"/>
      <c r="C314" s="557"/>
      <c r="D314" s="128"/>
      <c r="E314" s="207" t="s">
        <v>163</v>
      </c>
      <c r="F314" s="207" t="s">
        <v>164</v>
      </c>
      <c r="G314" s="207" t="s">
        <v>164</v>
      </c>
      <c r="H314" s="10"/>
    </row>
    <row r="315" spans="1:11" hidden="1">
      <c r="A315" s="128"/>
      <c r="B315" s="128"/>
      <c r="C315" s="557" t="s">
        <v>1090</v>
      </c>
      <c r="D315" s="128"/>
      <c r="E315" s="208">
        <f>G313</f>
        <v>5572.64</v>
      </c>
      <c r="F315" s="208">
        <f>G313</f>
        <v>5572.64</v>
      </c>
      <c r="G315" s="208">
        <f>F315</f>
        <v>5572.64</v>
      </c>
      <c r="H315" s="10"/>
    </row>
    <row r="316" spans="1:11" ht="25.5" hidden="1">
      <c r="A316" s="128"/>
      <c r="B316" s="128"/>
      <c r="C316" s="473" t="s">
        <v>1495</v>
      </c>
      <c r="D316" s="128"/>
      <c r="E316" s="208">
        <f>'MINI SSR 2024-25'!C53</f>
        <v>67</v>
      </c>
      <c r="F316" s="208">
        <f>E316</f>
        <v>67</v>
      </c>
      <c r="G316" s="208">
        <f>F316</f>
        <v>67</v>
      </c>
      <c r="H316" s="10"/>
    </row>
    <row r="317" spans="1:11" hidden="1">
      <c r="A317" s="128"/>
      <c r="B317" s="128"/>
      <c r="C317" s="473" t="s">
        <v>1496</v>
      </c>
      <c r="D317" s="128"/>
      <c r="E317" s="208">
        <f>'MINI SSR 2024-25'!D53</f>
        <v>363</v>
      </c>
      <c r="F317" s="208">
        <f>E317</f>
        <v>363</v>
      </c>
      <c r="G317" s="208">
        <f>F317</f>
        <v>363</v>
      </c>
      <c r="H317" s="10"/>
    </row>
    <row r="318" spans="1:11" hidden="1">
      <c r="A318" s="128"/>
      <c r="B318" s="128"/>
      <c r="C318" s="473" t="s">
        <v>1079</v>
      </c>
      <c r="D318" s="128"/>
      <c r="E318" s="128"/>
      <c r="F318" s="208">
        <f>ROUND((G307+G308+F317)*0.1,2)</f>
        <v>132.36000000000001</v>
      </c>
      <c r="G318" s="208">
        <f>ROUND((G307+G308+G317)*0.1,2)</f>
        <v>132.36000000000001</v>
      </c>
      <c r="H318" s="10"/>
    </row>
    <row r="319" spans="1:11" hidden="1">
      <c r="A319" s="128"/>
      <c r="B319" s="128"/>
      <c r="C319" s="473" t="s">
        <v>2194</v>
      </c>
      <c r="D319" s="128"/>
      <c r="E319" s="208">
        <f>ROUND(SUM(E315:E318)*13.615%,2)</f>
        <v>817.26</v>
      </c>
      <c r="F319" s="208">
        <f>ROUND(SUM(F315:F318)*13.615%,2)</f>
        <v>835.28</v>
      </c>
      <c r="G319" s="208">
        <f>ROUND(SUM(G315:G318)*13.615%,2)</f>
        <v>835.28</v>
      </c>
      <c r="H319" s="10"/>
    </row>
    <row r="320" spans="1:11" hidden="1">
      <c r="A320" s="128"/>
      <c r="B320" s="128"/>
      <c r="C320" s="557" t="s">
        <v>184</v>
      </c>
      <c r="D320" s="128"/>
      <c r="E320" s="210">
        <f>SUM(E315:E319)</f>
        <v>6819.9000000000005</v>
      </c>
      <c r="F320" s="210">
        <f>SUM(F315:F319)</f>
        <v>6970.28</v>
      </c>
      <c r="G320" s="210">
        <f>SUM(G315:G319)</f>
        <v>6970.28</v>
      </c>
      <c r="H320" s="10"/>
    </row>
    <row r="321" spans="1:11" ht="127.5">
      <c r="A321" s="81">
        <v>9</v>
      </c>
      <c r="B321" s="207" t="s">
        <v>1117</v>
      </c>
      <c r="C321" s="473" t="s">
        <v>1118</v>
      </c>
      <c r="D321" s="128"/>
      <c r="E321" s="128"/>
      <c r="F321" s="128"/>
      <c r="G321" s="207"/>
    </row>
    <row r="322" spans="1:11">
      <c r="A322" s="81"/>
      <c r="B322" s="207"/>
      <c r="C322" s="557" t="s">
        <v>36</v>
      </c>
      <c r="D322" s="128"/>
      <c r="E322" s="128"/>
      <c r="F322" s="128"/>
      <c r="G322" s="111"/>
    </row>
    <row r="323" spans="1:11">
      <c r="A323" s="81"/>
      <c r="B323" s="128"/>
      <c r="C323" s="557" t="s">
        <v>40</v>
      </c>
      <c r="D323" s="128"/>
      <c r="E323" s="128"/>
      <c r="F323" s="128"/>
      <c r="G323" s="111"/>
    </row>
    <row r="324" spans="1:11">
      <c r="A324" s="81"/>
      <c r="B324" s="632" t="s">
        <v>18</v>
      </c>
      <c r="C324" s="557" t="s">
        <v>22</v>
      </c>
      <c r="D324" s="128"/>
      <c r="E324" s="128"/>
      <c r="F324" s="128"/>
      <c r="G324" s="111"/>
    </row>
    <row r="325" spans="1:11">
      <c r="A325" s="111"/>
      <c r="B325" s="111"/>
      <c r="C325" s="473" t="s">
        <v>37</v>
      </c>
      <c r="D325" s="12" t="s">
        <v>34</v>
      </c>
      <c r="E325" s="113">
        <v>1.05</v>
      </c>
      <c r="F325" s="12">
        <f>'lead 24-25'!L10</f>
        <v>58000</v>
      </c>
      <c r="G325" s="125">
        <f>ROUND(E325*F325,2)</f>
        <v>60900</v>
      </c>
    </row>
    <row r="326" spans="1:11">
      <c r="A326" s="111"/>
      <c r="B326" s="111"/>
      <c r="C326" s="473" t="s">
        <v>38</v>
      </c>
      <c r="D326" s="81" t="s">
        <v>4</v>
      </c>
      <c r="E326" s="12">
        <v>6</v>
      </c>
      <c r="F326" s="12">
        <f>'MINI SSR 2024-25'!C32</f>
        <v>64</v>
      </c>
      <c r="G326" s="125">
        <f>ROUND(E326*F326,2)</f>
        <v>384</v>
      </c>
    </row>
    <row r="327" spans="1:11" ht="25.5">
      <c r="A327" s="111"/>
      <c r="B327" s="632" t="s">
        <v>20</v>
      </c>
      <c r="C327" s="557" t="s">
        <v>1067</v>
      </c>
      <c r="D327" s="81"/>
      <c r="E327" s="81"/>
      <c r="F327" s="81"/>
      <c r="G327" s="111"/>
    </row>
    <row r="328" spans="1:11">
      <c r="A328" s="111"/>
      <c r="B328" s="111"/>
      <c r="C328" s="473" t="s">
        <v>118</v>
      </c>
      <c r="D328" s="81" t="s">
        <v>27</v>
      </c>
      <c r="E328" s="12">
        <v>10</v>
      </c>
      <c r="F328" s="12">
        <f>'MINI SSR 2024-25'!H6</f>
        <v>850</v>
      </c>
      <c r="G328" s="125">
        <f>ROUND(E328*F328,2)</f>
        <v>8500</v>
      </c>
      <c r="K328" s="19">
        <f>G328</f>
        <v>8500</v>
      </c>
    </row>
    <row r="329" spans="1:11">
      <c r="A329" s="111"/>
      <c r="B329" s="111"/>
      <c r="C329" s="473" t="s">
        <v>19</v>
      </c>
      <c r="D329" s="81" t="s">
        <v>27</v>
      </c>
      <c r="E329" s="12">
        <v>10</v>
      </c>
      <c r="F329" s="208">
        <f>'MINI SSR 2024-25'!$H$5</f>
        <v>595</v>
      </c>
      <c r="G329" s="125">
        <f>ROUND(E329*F329,2)</f>
        <v>5950</v>
      </c>
      <c r="K329" s="19">
        <f>G329</f>
        <v>5950</v>
      </c>
    </row>
    <row r="330" spans="1:11" ht="13.5" thickBot="1">
      <c r="A330" s="111"/>
      <c r="B330" s="111"/>
      <c r="C330" s="557" t="s">
        <v>39</v>
      </c>
      <c r="D330" s="81"/>
      <c r="E330" s="12"/>
      <c r="F330" s="12"/>
      <c r="G330" s="131">
        <f>SUM(G325:G329)</f>
        <v>75734</v>
      </c>
      <c r="K330" s="205">
        <f>SUM(K328:K329)</f>
        <v>14450</v>
      </c>
    </row>
    <row r="331" spans="1:11" ht="13.5" thickTop="1">
      <c r="A331" s="128"/>
      <c r="B331" s="128"/>
      <c r="C331" s="557"/>
      <c r="D331" s="128"/>
      <c r="E331" s="207" t="s">
        <v>163</v>
      </c>
      <c r="F331" s="210" t="s">
        <v>164</v>
      </c>
      <c r="G331" s="210" t="s">
        <v>165</v>
      </c>
      <c r="H331" s="10"/>
    </row>
    <row r="332" spans="1:11">
      <c r="A332" s="128"/>
      <c r="B332" s="128"/>
      <c r="C332" s="557" t="s">
        <v>816</v>
      </c>
      <c r="D332" s="128"/>
      <c r="E332" s="208">
        <f>G330</f>
        <v>75734</v>
      </c>
      <c r="F332" s="204">
        <f>E332</f>
        <v>75734</v>
      </c>
      <c r="G332" s="204">
        <f>F332</f>
        <v>75734</v>
      </c>
      <c r="H332" s="10"/>
    </row>
    <row r="333" spans="1:11">
      <c r="A333" s="128"/>
      <c r="B333" s="128"/>
      <c r="C333" s="473" t="s">
        <v>1079</v>
      </c>
      <c r="D333" s="128"/>
      <c r="E333" s="128"/>
      <c r="F333" s="204">
        <f>ROUND((G328+G329)*10%,2)</f>
        <v>1445</v>
      </c>
      <c r="G333" s="204">
        <f>ROUND((G328+G329)*20%,2)</f>
        <v>2890</v>
      </c>
      <c r="H333" s="10"/>
    </row>
    <row r="334" spans="1:11">
      <c r="A334" s="128"/>
      <c r="B334" s="128"/>
      <c r="C334" s="473" t="s">
        <v>2194</v>
      </c>
      <c r="D334" s="128"/>
      <c r="E334" s="208">
        <f>ROUND((E332+E333)*$C$3,2)</f>
        <v>10311.18</v>
      </c>
      <c r="F334" s="208">
        <f>ROUND((F332+F333)*$C$3,2)</f>
        <v>10507.92</v>
      </c>
      <c r="G334" s="208">
        <f>ROUND((G332+G333)*$C$3,2)</f>
        <v>10704.66</v>
      </c>
      <c r="H334" s="10"/>
    </row>
    <row r="335" spans="1:11">
      <c r="A335" s="128"/>
      <c r="B335" s="128"/>
      <c r="C335" s="557" t="s">
        <v>844</v>
      </c>
      <c r="D335" s="128"/>
      <c r="E335" s="210">
        <f>SUM(E332:E334)</f>
        <v>86045.18</v>
      </c>
      <c r="F335" s="210">
        <f>SUM(F332:F334)</f>
        <v>87686.92</v>
      </c>
      <c r="G335" s="210">
        <f>SUM(G332:G334)</f>
        <v>89328.66</v>
      </c>
      <c r="H335" s="10"/>
    </row>
    <row r="336" spans="1:11" s="214" customFormat="1" ht="204" hidden="1">
      <c r="A336" s="634">
        <v>20</v>
      </c>
      <c r="B336" s="635" t="s">
        <v>1119</v>
      </c>
      <c r="C336" s="635" t="s">
        <v>1120</v>
      </c>
      <c r="D336" s="558"/>
      <c r="E336" s="558"/>
      <c r="F336" s="558"/>
      <c r="G336" s="636"/>
      <c r="H336" s="559"/>
    </row>
    <row r="337" spans="1:8" s="214" customFormat="1" hidden="1">
      <c r="A337" s="634"/>
      <c r="B337" s="637"/>
      <c r="C337" s="635" t="s">
        <v>1121</v>
      </c>
      <c r="D337" s="634"/>
      <c r="E337" s="550"/>
      <c r="F337" s="551"/>
      <c r="G337" s="636"/>
      <c r="H337" s="559"/>
    </row>
    <row r="338" spans="1:8" s="214" customFormat="1" hidden="1">
      <c r="A338" s="634"/>
      <c r="B338" s="635"/>
      <c r="C338" s="635" t="s">
        <v>1122</v>
      </c>
      <c r="D338" s="634"/>
      <c r="E338" s="550"/>
      <c r="F338" s="551"/>
      <c r="G338" s="636"/>
      <c r="H338" s="559"/>
    </row>
    <row r="339" spans="1:8" s="214" customFormat="1" ht="25.5" hidden="1">
      <c r="A339" s="634"/>
      <c r="B339" s="635"/>
      <c r="C339" s="635" t="s">
        <v>1123</v>
      </c>
      <c r="D339" s="634" t="s">
        <v>34</v>
      </c>
      <c r="E339" s="550">
        <v>1.0249999999999999</v>
      </c>
      <c r="F339" s="551">
        <f>'lead 24-25'!L11</f>
        <v>60000</v>
      </c>
      <c r="G339" s="636">
        <f t="shared" ref="G339:G341" si="3">ROUND(F339*E339,2)</f>
        <v>61500</v>
      </c>
      <c r="H339" s="559"/>
    </row>
    <row r="340" spans="1:8" s="214" customFormat="1" hidden="1">
      <c r="A340" s="634"/>
      <c r="B340" s="635"/>
      <c r="C340" s="635" t="s">
        <v>1124</v>
      </c>
      <c r="D340" s="634" t="s">
        <v>1125</v>
      </c>
      <c r="E340" s="550">
        <v>70</v>
      </c>
      <c r="F340" s="551">
        <f>'MINI SSR 2024-25'!C33</f>
        <v>17</v>
      </c>
      <c r="G340" s="636">
        <f t="shared" si="3"/>
        <v>1190</v>
      </c>
      <c r="H340" s="559"/>
    </row>
    <row r="341" spans="1:8" s="214" customFormat="1" ht="25.5" hidden="1">
      <c r="A341" s="634"/>
      <c r="B341" s="635"/>
      <c r="C341" s="635" t="s">
        <v>1126</v>
      </c>
      <c r="D341" s="634" t="s">
        <v>90</v>
      </c>
      <c r="E341" s="550">
        <v>3</v>
      </c>
      <c r="F341" s="551">
        <f>'MINI SSR 2024-25'!C32</f>
        <v>64</v>
      </c>
      <c r="G341" s="636">
        <f t="shared" si="3"/>
        <v>192</v>
      </c>
      <c r="H341" s="559"/>
    </row>
    <row r="342" spans="1:8" s="214" customFormat="1" ht="25.5" hidden="1">
      <c r="A342" s="634"/>
      <c r="B342" s="635"/>
      <c r="C342" s="635" t="s">
        <v>1127</v>
      </c>
      <c r="D342" s="634"/>
      <c r="E342" s="550"/>
      <c r="F342" s="551"/>
      <c r="G342" s="636"/>
      <c r="H342" s="559"/>
    </row>
    <row r="343" spans="1:8" s="214" customFormat="1" hidden="1">
      <c r="A343" s="634"/>
      <c r="B343" s="635"/>
      <c r="C343" s="635" t="s">
        <v>1128</v>
      </c>
      <c r="D343" s="634" t="s">
        <v>27</v>
      </c>
      <c r="E343" s="550">
        <v>2.5</v>
      </c>
      <c r="F343" s="638">
        <f>'MINI SSR 2024-25'!H10</f>
        <v>695</v>
      </c>
      <c r="G343" s="636">
        <f t="shared" ref="G343:G346" si="4">ROUND(F343*E343,2)</f>
        <v>1737.5</v>
      </c>
      <c r="H343" s="559"/>
    </row>
    <row r="344" spans="1:8" s="214" customFormat="1" hidden="1">
      <c r="A344" s="634"/>
      <c r="B344" s="635"/>
      <c r="C344" s="635" t="s">
        <v>1129</v>
      </c>
      <c r="D344" s="634" t="s">
        <v>27</v>
      </c>
      <c r="E344" s="550">
        <v>10</v>
      </c>
      <c r="F344" s="638">
        <f>'MINI SSR 2024-25'!H11</f>
        <v>670</v>
      </c>
      <c r="G344" s="636">
        <f t="shared" si="4"/>
        <v>6700</v>
      </c>
      <c r="H344" s="559"/>
    </row>
    <row r="345" spans="1:8" s="214" customFormat="1" hidden="1">
      <c r="A345" s="634"/>
      <c r="B345" s="635"/>
      <c r="C345" s="635" t="s">
        <v>1130</v>
      </c>
      <c r="D345" s="634" t="s">
        <v>27</v>
      </c>
      <c r="E345" s="550">
        <v>10</v>
      </c>
      <c r="F345" s="208">
        <f>'MINI SSR 2024-25'!$H$5</f>
        <v>595</v>
      </c>
      <c r="G345" s="636">
        <f t="shared" si="4"/>
        <v>5950</v>
      </c>
      <c r="H345" s="559"/>
    </row>
    <row r="346" spans="1:8" s="214" customFormat="1" ht="25.5" hidden="1">
      <c r="A346" s="634"/>
      <c r="B346" s="635"/>
      <c r="C346" s="635" t="s">
        <v>1131</v>
      </c>
      <c r="D346" s="634" t="s">
        <v>1132</v>
      </c>
      <c r="E346" s="550">
        <v>10</v>
      </c>
      <c r="F346" s="638">
        <f>'MINI SSR 2024-25'!C34</f>
        <v>118.81</v>
      </c>
      <c r="G346" s="636">
        <f t="shared" si="4"/>
        <v>1188.0999999999999</v>
      </c>
      <c r="H346" s="559"/>
    </row>
    <row r="347" spans="1:8" s="214" customFormat="1" hidden="1">
      <c r="A347" s="634"/>
      <c r="B347" s="635"/>
      <c r="C347" s="473" t="s">
        <v>2194</v>
      </c>
      <c r="D347" s="128"/>
      <c r="E347" s="208"/>
      <c r="F347" s="638"/>
      <c r="G347" s="204">
        <f>ROUND(SUM(G339:G346)*13.615%,2)</f>
        <v>10682</v>
      </c>
      <c r="H347" s="559"/>
    </row>
    <row r="348" spans="1:8" s="214" customFormat="1" hidden="1">
      <c r="A348" s="634"/>
      <c r="B348" s="635"/>
      <c r="C348" s="635" t="s">
        <v>1133</v>
      </c>
      <c r="D348" s="634"/>
      <c r="E348" s="550"/>
      <c r="F348" s="551"/>
      <c r="G348" s="639">
        <f>SUM(G339:G347)</f>
        <v>89139.6</v>
      </c>
      <c r="H348" s="640"/>
    </row>
    <row r="349" spans="1:8" s="214" customFormat="1" hidden="1">
      <c r="A349" s="634"/>
      <c r="B349" s="635"/>
      <c r="C349" s="635" t="s">
        <v>1134</v>
      </c>
      <c r="D349" s="634"/>
      <c r="E349" s="550"/>
      <c r="F349" s="551"/>
      <c r="G349" s="639">
        <f>ROUND(G348/1000,2)</f>
        <v>89.14</v>
      </c>
      <c r="H349" s="640">
        <f>G349</f>
        <v>89.14</v>
      </c>
    </row>
    <row r="350" spans="1:8" ht="51" hidden="1">
      <c r="A350" s="81">
        <v>11</v>
      </c>
      <c r="B350" s="207"/>
      <c r="C350" s="473" t="s">
        <v>188</v>
      </c>
      <c r="D350" s="128"/>
      <c r="E350" s="128"/>
      <c r="F350" s="128"/>
      <c r="G350" s="111"/>
      <c r="H350" s="10"/>
    </row>
    <row r="351" spans="1:8" hidden="1">
      <c r="A351" s="81"/>
      <c r="B351" s="207"/>
      <c r="C351" s="557" t="s">
        <v>189</v>
      </c>
      <c r="D351" s="128"/>
      <c r="E351" s="128"/>
      <c r="F351" s="128"/>
      <c r="G351" s="111"/>
      <c r="H351" s="10"/>
    </row>
    <row r="352" spans="1:8" hidden="1">
      <c r="A352" s="81"/>
      <c r="B352" s="632" t="s">
        <v>18</v>
      </c>
      <c r="C352" s="557" t="s">
        <v>22</v>
      </c>
      <c r="D352" s="128"/>
      <c r="E352" s="128"/>
      <c r="F352" s="128"/>
      <c r="G352" s="111"/>
      <c r="H352" s="10"/>
    </row>
    <row r="353" spans="1:8" ht="25.5" hidden="1">
      <c r="A353" s="111"/>
      <c r="B353" s="111"/>
      <c r="C353" s="473" t="s">
        <v>190</v>
      </c>
      <c r="D353" s="81" t="s">
        <v>4</v>
      </c>
      <c r="E353" s="113">
        <v>1.0249999999999999</v>
      </c>
      <c r="F353" s="12">
        <f>'lead 24-25'!L11/1000</f>
        <v>60</v>
      </c>
      <c r="G353" s="125">
        <f>ROUND(E353*F353,2)</f>
        <v>61.5</v>
      </c>
      <c r="H353" s="10"/>
    </row>
    <row r="354" spans="1:8" hidden="1">
      <c r="A354" s="111"/>
      <c r="B354" s="632" t="s">
        <v>20</v>
      </c>
      <c r="C354" s="473" t="s">
        <v>191</v>
      </c>
      <c r="D354" s="81" t="s">
        <v>4</v>
      </c>
      <c r="E354" s="12">
        <v>1</v>
      </c>
      <c r="F354" s="12">
        <f>'MINI SSR 2024-25'!C35</f>
        <v>35</v>
      </c>
      <c r="G354" s="125">
        <f>ROUND(E354*F354,2)</f>
        <v>35</v>
      </c>
      <c r="H354" s="10"/>
    </row>
    <row r="355" spans="1:8" hidden="1">
      <c r="A355" s="111"/>
      <c r="B355" s="111"/>
      <c r="C355" s="473" t="s">
        <v>192</v>
      </c>
      <c r="D355" s="81" t="s">
        <v>27</v>
      </c>
      <c r="E355" s="12">
        <v>1</v>
      </c>
      <c r="F355" s="12">
        <f>'MINI SSR 2024-25'!C36</f>
        <v>6</v>
      </c>
      <c r="G355" s="125">
        <f>ROUND(E355*F355,2)</f>
        <v>6</v>
      </c>
      <c r="H355" s="10"/>
    </row>
    <row r="356" spans="1:8" hidden="1">
      <c r="A356" s="111"/>
      <c r="B356" s="111"/>
      <c r="C356" s="473" t="s">
        <v>2194</v>
      </c>
      <c r="D356" s="128"/>
      <c r="E356" s="208"/>
      <c r="F356" s="638"/>
      <c r="G356" s="204">
        <f>ROUND(SUM(G353:G355)*13.615%,2)</f>
        <v>13.96</v>
      </c>
      <c r="H356" s="10"/>
    </row>
    <row r="357" spans="1:8" hidden="1">
      <c r="A357" s="111"/>
      <c r="B357" s="111"/>
      <c r="C357" s="557" t="s">
        <v>193</v>
      </c>
      <c r="D357" s="81"/>
      <c r="E357" s="12"/>
      <c r="F357" s="12"/>
      <c r="G357" s="131">
        <f>SUM(G353:G356)</f>
        <v>116.46000000000001</v>
      </c>
      <c r="H357" s="165"/>
    </row>
    <row r="358" spans="1:8" ht="114.75" hidden="1">
      <c r="A358" s="81">
        <v>7</v>
      </c>
      <c r="B358" s="207"/>
      <c r="C358" s="473" t="s">
        <v>913</v>
      </c>
      <c r="D358" s="128"/>
      <c r="E358" s="128"/>
      <c r="F358" s="128"/>
      <c r="G358" s="111"/>
      <c r="H358" s="10"/>
    </row>
    <row r="359" spans="1:8" hidden="1">
      <c r="A359" s="81"/>
      <c r="B359" s="632"/>
      <c r="C359" s="557" t="s">
        <v>914</v>
      </c>
      <c r="D359" s="128">
        <v>2</v>
      </c>
      <c r="E359" s="128">
        <v>1.5</v>
      </c>
      <c r="F359" s="208">
        <f>ROUND(D359*E359,2)</f>
        <v>3</v>
      </c>
      <c r="G359" s="111"/>
      <c r="H359" s="10"/>
    </row>
    <row r="360" spans="1:8" hidden="1">
      <c r="A360" s="81"/>
      <c r="B360" s="632"/>
      <c r="C360" s="557" t="s">
        <v>915</v>
      </c>
      <c r="D360" s="128">
        <v>2</v>
      </c>
      <c r="E360" s="128">
        <v>1.5</v>
      </c>
      <c r="F360" s="208">
        <f>ROUND(D360*E360,2)</f>
        <v>3</v>
      </c>
      <c r="G360" s="111"/>
      <c r="H360" s="10"/>
    </row>
    <row r="361" spans="1:8" hidden="1">
      <c r="A361" s="81"/>
      <c r="B361" s="632"/>
      <c r="C361" s="557" t="s">
        <v>916</v>
      </c>
      <c r="D361" s="128">
        <v>2</v>
      </c>
      <c r="E361" s="128">
        <v>1.35</v>
      </c>
      <c r="F361" s="208">
        <f>ROUND(D361*E361,2)</f>
        <v>2.7</v>
      </c>
      <c r="G361" s="111"/>
      <c r="H361" s="10"/>
    </row>
    <row r="362" spans="1:8" hidden="1">
      <c r="A362" s="81"/>
      <c r="B362" s="632"/>
      <c r="C362" s="557" t="s">
        <v>1135</v>
      </c>
      <c r="D362" s="128"/>
      <c r="E362" s="128"/>
      <c r="F362" s="208">
        <f>SUM(F360:F361)</f>
        <v>5.7</v>
      </c>
      <c r="G362" s="111">
        <f>ROUND(F362*1.96,2)</f>
        <v>11.17</v>
      </c>
      <c r="H362" s="10"/>
    </row>
    <row r="363" spans="1:8" hidden="1">
      <c r="A363" s="81"/>
      <c r="B363" s="632"/>
      <c r="C363" s="557" t="s">
        <v>917</v>
      </c>
      <c r="D363" s="128">
        <v>14</v>
      </c>
      <c r="E363" s="128">
        <v>1.35</v>
      </c>
      <c r="F363" s="208">
        <f>ROUND(D363*E363,2)</f>
        <v>18.899999999999999</v>
      </c>
      <c r="G363" s="111"/>
      <c r="H363" s="10"/>
    </row>
    <row r="364" spans="1:8" hidden="1">
      <c r="A364" s="81"/>
      <c r="B364" s="632"/>
      <c r="C364" s="557" t="s">
        <v>918</v>
      </c>
      <c r="D364" s="128">
        <v>6</v>
      </c>
      <c r="E364" s="128">
        <v>1.5</v>
      </c>
      <c r="F364" s="208">
        <f>ROUND(D364*E364,2)</f>
        <v>9</v>
      </c>
      <c r="G364" s="111"/>
      <c r="H364" s="10"/>
    </row>
    <row r="365" spans="1:8" hidden="1">
      <c r="A365" s="81"/>
      <c r="B365" s="632"/>
      <c r="C365" s="557" t="s">
        <v>1136</v>
      </c>
      <c r="D365" s="128"/>
      <c r="E365" s="128"/>
      <c r="F365" s="208">
        <f>SUM(F363:F364)</f>
        <v>27.9</v>
      </c>
      <c r="G365" s="111">
        <f>ROUND(F365*0.78,2)</f>
        <v>21.76</v>
      </c>
      <c r="H365" s="10"/>
    </row>
    <row r="366" spans="1:8" hidden="1">
      <c r="A366" s="81"/>
      <c r="B366" s="632" t="s">
        <v>18</v>
      </c>
      <c r="C366" s="557" t="s">
        <v>22</v>
      </c>
      <c r="D366" s="128"/>
      <c r="E366" s="128"/>
      <c r="F366" s="128"/>
      <c r="G366" s="111"/>
      <c r="H366" s="10"/>
    </row>
    <row r="367" spans="1:8" hidden="1">
      <c r="A367" s="111"/>
      <c r="B367" s="111"/>
      <c r="C367" s="473" t="s">
        <v>878</v>
      </c>
      <c r="D367" s="81" t="s">
        <v>4</v>
      </c>
      <c r="E367" s="113">
        <f>G362</f>
        <v>11.17</v>
      </c>
      <c r="F367" s="12">
        <f>'lead 24-25'!L11/1000</f>
        <v>60</v>
      </c>
      <c r="G367" s="125">
        <f>ROUND(E367*F367,2)</f>
        <v>670.2</v>
      </c>
      <c r="H367" s="10"/>
    </row>
    <row r="368" spans="1:8" hidden="1">
      <c r="A368" s="111"/>
      <c r="B368" s="111"/>
      <c r="C368" s="473" t="s">
        <v>879</v>
      </c>
      <c r="D368" s="81" t="s">
        <v>4</v>
      </c>
      <c r="E368" s="113">
        <f>G365</f>
        <v>21.76</v>
      </c>
      <c r="F368" s="12">
        <f>'lead 24-25'!L9/1000</f>
        <v>70.8</v>
      </c>
      <c r="G368" s="125">
        <f>ROUND(E368*F368,2)</f>
        <v>1540.61</v>
      </c>
      <c r="H368" s="10"/>
    </row>
    <row r="369" spans="1:8" hidden="1">
      <c r="A369" s="111"/>
      <c r="B369" s="632" t="s">
        <v>20</v>
      </c>
      <c r="C369" s="473" t="s">
        <v>191</v>
      </c>
      <c r="D369" s="81" t="s">
        <v>4</v>
      </c>
      <c r="E369" s="12">
        <f>SUM(E367:E368)</f>
        <v>32.93</v>
      </c>
      <c r="F369" s="12">
        <f>'MINI SSR 2024-25'!C35</f>
        <v>35</v>
      </c>
      <c r="G369" s="125">
        <f>ROUND(E369*F369,2)</f>
        <v>1152.55</v>
      </c>
      <c r="H369" s="10"/>
    </row>
    <row r="370" spans="1:8" hidden="1">
      <c r="A370" s="111"/>
      <c r="B370" s="111"/>
      <c r="C370" s="473" t="s">
        <v>192</v>
      </c>
      <c r="D370" s="81" t="s">
        <v>27</v>
      </c>
      <c r="E370" s="12">
        <f>E369</f>
        <v>32.93</v>
      </c>
      <c r="F370" s="12">
        <f>'MINI SSR 2024-25'!C36</f>
        <v>6</v>
      </c>
      <c r="G370" s="125">
        <f>ROUND(E370*F370,2)</f>
        <v>197.58</v>
      </c>
      <c r="H370" s="10"/>
    </row>
    <row r="371" spans="1:8" hidden="1">
      <c r="A371" s="111"/>
      <c r="B371" s="111"/>
      <c r="C371" s="473" t="s">
        <v>2194</v>
      </c>
      <c r="D371" s="128"/>
      <c r="E371" s="208"/>
      <c r="F371" s="638"/>
      <c r="G371" s="204">
        <v>0</v>
      </c>
      <c r="H371" s="10"/>
    </row>
    <row r="372" spans="1:8" hidden="1">
      <c r="A372" s="111"/>
      <c r="B372" s="111"/>
      <c r="C372" s="557" t="s">
        <v>880</v>
      </c>
      <c r="D372" s="81"/>
      <c r="E372" s="12"/>
      <c r="F372" s="12"/>
      <c r="G372" s="131">
        <f>SUM(G367:G371)</f>
        <v>3560.9399999999996</v>
      </c>
      <c r="H372" s="10"/>
    </row>
    <row r="373" spans="1:8" hidden="1">
      <c r="A373" s="111"/>
      <c r="B373" s="111"/>
      <c r="C373" s="557" t="s">
        <v>119</v>
      </c>
      <c r="D373" s="81"/>
      <c r="E373" s="12"/>
      <c r="F373" s="12"/>
      <c r="G373" s="131">
        <f>ROUND(G372/2.025,2)</f>
        <v>1758.49</v>
      </c>
      <c r="H373" s="165"/>
    </row>
    <row r="374" spans="1:8" ht="51" hidden="1">
      <c r="A374" s="81">
        <v>23</v>
      </c>
      <c r="B374" s="207"/>
      <c r="C374" s="473" t="s">
        <v>612</v>
      </c>
      <c r="D374" s="128"/>
      <c r="E374" s="128"/>
      <c r="F374" s="128"/>
      <c r="G374" s="111"/>
      <c r="H374" s="10"/>
    </row>
    <row r="375" spans="1:8" hidden="1">
      <c r="A375" s="81"/>
      <c r="B375" s="207"/>
      <c r="C375" s="557" t="s">
        <v>189</v>
      </c>
      <c r="D375" s="128"/>
      <c r="E375" s="128"/>
      <c r="F375" s="128"/>
      <c r="G375" s="111"/>
      <c r="H375" s="10"/>
    </row>
    <row r="376" spans="1:8" hidden="1">
      <c r="A376" s="81"/>
      <c r="B376" s="632" t="s">
        <v>18</v>
      </c>
      <c r="C376" s="557" t="s">
        <v>22</v>
      </c>
      <c r="D376" s="128"/>
      <c r="E376" s="128"/>
      <c r="F376" s="128"/>
      <c r="G376" s="111"/>
      <c r="H376" s="10"/>
    </row>
    <row r="377" spans="1:8" hidden="1">
      <c r="A377" s="111"/>
      <c r="B377" s="111"/>
      <c r="C377" s="473" t="s">
        <v>613</v>
      </c>
      <c r="D377" s="81" t="s">
        <v>4</v>
      </c>
      <c r="E377" s="113">
        <v>1.0249999999999999</v>
      </c>
      <c r="F377" s="12">
        <f>'MINI SSR 2024-25'!C37</f>
        <v>87</v>
      </c>
      <c r="G377" s="125">
        <f>ROUND(E377*F377,2)</f>
        <v>89.18</v>
      </c>
      <c r="H377" s="10"/>
    </row>
    <row r="378" spans="1:8" hidden="1">
      <c r="A378" s="111"/>
      <c r="B378" s="632" t="s">
        <v>20</v>
      </c>
      <c r="C378" s="473" t="s">
        <v>614</v>
      </c>
      <c r="D378" s="81" t="s">
        <v>4</v>
      </c>
      <c r="E378" s="12">
        <v>1</v>
      </c>
      <c r="F378" s="12">
        <f>'MINI SSR 2024-25'!C38</f>
        <v>31</v>
      </c>
      <c r="G378" s="125">
        <f>ROUND(E378*F378,2)</f>
        <v>31</v>
      </c>
      <c r="H378" s="10"/>
    </row>
    <row r="379" spans="1:8" hidden="1">
      <c r="A379" s="111"/>
      <c r="B379" s="111"/>
      <c r="C379" s="473" t="s">
        <v>615</v>
      </c>
      <c r="D379" s="81" t="s">
        <v>27</v>
      </c>
      <c r="E379" s="12">
        <v>1</v>
      </c>
      <c r="F379" s="12">
        <f>'MINI SSR 2024-25'!C39</f>
        <v>26</v>
      </c>
      <c r="G379" s="125">
        <f>ROUND(E379*F379,2)</f>
        <v>26</v>
      </c>
      <c r="H379" s="10"/>
    </row>
    <row r="380" spans="1:8" hidden="1">
      <c r="A380" s="111"/>
      <c r="B380" s="111"/>
      <c r="C380" s="473" t="s">
        <v>2194</v>
      </c>
      <c r="D380" s="128"/>
      <c r="E380" s="208"/>
      <c r="F380" s="638"/>
      <c r="G380" s="204">
        <f>ROUND(SUM(G377:G379)*13.615%,2)</f>
        <v>19.899999999999999</v>
      </c>
      <c r="H380" s="10"/>
    </row>
    <row r="381" spans="1:8" hidden="1">
      <c r="A381" s="111"/>
      <c r="B381" s="111"/>
      <c r="C381" s="557" t="s">
        <v>193</v>
      </c>
      <c r="D381" s="81"/>
      <c r="E381" s="12"/>
      <c r="F381" s="12"/>
      <c r="G381" s="131">
        <f>SUM(G377:G380)</f>
        <v>166.08</v>
      </c>
      <c r="H381" s="165"/>
    </row>
    <row r="382" spans="1:8" ht="191.25" hidden="1">
      <c r="A382" s="81">
        <v>3</v>
      </c>
      <c r="B382" s="207"/>
      <c r="C382" s="473" t="s">
        <v>1091</v>
      </c>
      <c r="D382" s="128"/>
      <c r="E382" s="128"/>
      <c r="F382" s="128"/>
      <c r="G382" s="111"/>
      <c r="H382" s="10"/>
    </row>
    <row r="383" spans="1:8" hidden="1">
      <c r="A383" s="81"/>
      <c r="B383" s="207"/>
      <c r="C383" s="557" t="s">
        <v>863</v>
      </c>
      <c r="D383" s="128"/>
      <c r="E383" s="128"/>
      <c r="F383" s="128"/>
      <c r="G383" s="204"/>
    </row>
    <row r="384" spans="1:8" hidden="1">
      <c r="A384" s="111"/>
      <c r="B384" s="111"/>
      <c r="C384" s="473" t="s">
        <v>858</v>
      </c>
      <c r="D384" s="12">
        <v>4.5999999999999996</v>
      </c>
      <c r="E384" s="113">
        <v>2.39</v>
      </c>
      <c r="F384" s="12">
        <f>ROUND(D384*E384,2)</f>
        <v>10.99</v>
      </c>
      <c r="G384" s="125"/>
      <c r="H384" s="10"/>
    </row>
    <row r="385" spans="1:8" hidden="1">
      <c r="A385" s="111"/>
      <c r="B385" s="111"/>
      <c r="C385" s="473" t="s">
        <v>859</v>
      </c>
      <c r="D385" s="12">
        <v>11.7</v>
      </c>
      <c r="E385" s="113">
        <v>0.89</v>
      </c>
      <c r="F385" s="12">
        <f>ROUND(D385*E385,2)</f>
        <v>10.41</v>
      </c>
      <c r="G385" s="125"/>
      <c r="H385" s="10"/>
    </row>
    <row r="386" spans="1:8" hidden="1">
      <c r="A386" s="111"/>
      <c r="B386" s="111"/>
      <c r="C386" s="473"/>
      <c r="D386" s="81"/>
      <c r="E386" s="113"/>
      <c r="F386" s="641">
        <f>SUM(F384:F385)</f>
        <v>21.4</v>
      </c>
      <c r="G386" s="125"/>
      <c r="H386" s="10"/>
    </row>
    <row r="387" spans="1:8" hidden="1">
      <c r="A387" s="111"/>
      <c r="B387" s="111"/>
      <c r="C387" s="473" t="s">
        <v>683</v>
      </c>
      <c r="D387" s="81" t="s">
        <v>4</v>
      </c>
      <c r="E387" s="113">
        <f>F386</f>
        <v>21.4</v>
      </c>
      <c r="F387" s="12">
        <f>'MINI SSR 2024-25'!C40</f>
        <v>462</v>
      </c>
      <c r="G387" s="125">
        <f t="shared" ref="G387:G392" si="5">ROUND(E387*F387,2)</f>
        <v>9886.7999999999993</v>
      </c>
      <c r="H387" s="10"/>
    </row>
    <row r="388" spans="1:8" ht="25.5" hidden="1">
      <c r="A388" s="111"/>
      <c r="B388" s="632"/>
      <c r="C388" s="473" t="s">
        <v>684</v>
      </c>
      <c r="D388" s="81" t="s">
        <v>4</v>
      </c>
      <c r="E388" s="12">
        <f>E387</f>
        <v>21.4</v>
      </c>
      <c r="F388" s="12">
        <f>'MINI SSR 2024-25'!C41</f>
        <v>169</v>
      </c>
      <c r="G388" s="125">
        <f t="shared" si="5"/>
        <v>3616.6</v>
      </c>
      <c r="H388" s="10"/>
    </row>
    <row r="389" spans="1:8" hidden="1">
      <c r="A389" s="111"/>
      <c r="B389" s="632"/>
      <c r="C389" s="473" t="s">
        <v>1519</v>
      </c>
      <c r="D389" s="81" t="s">
        <v>271</v>
      </c>
      <c r="E389" s="12">
        <v>1.3</v>
      </c>
      <c r="F389" s="12">
        <f>'MINI SSR 2024-25'!C42</f>
        <v>229</v>
      </c>
      <c r="G389" s="125">
        <f t="shared" si="5"/>
        <v>297.7</v>
      </c>
      <c r="H389" s="10"/>
    </row>
    <row r="390" spans="1:8" hidden="1">
      <c r="A390" s="111"/>
      <c r="B390" s="632"/>
      <c r="C390" s="473" t="s">
        <v>860</v>
      </c>
      <c r="D390" s="81" t="s">
        <v>114</v>
      </c>
      <c r="E390" s="12">
        <v>13</v>
      </c>
      <c r="F390" s="642">
        <v>80</v>
      </c>
      <c r="G390" s="125">
        <f t="shared" si="5"/>
        <v>1040</v>
      </c>
      <c r="H390" s="10"/>
    </row>
    <row r="391" spans="1:8" hidden="1">
      <c r="A391" s="111"/>
      <c r="B391" s="632"/>
      <c r="C391" s="473" t="s">
        <v>861</v>
      </c>
      <c r="D391" s="81" t="s">
        <v>114</v>
      </c>
      <c r="E391" s="12">
        <v>13</v>
      </c>
      <c r="F391" s="642">
        <v>30</v>
      </c>
      <c r="G391" s="125">
        <f t="shared" si="5"/>
        <v>390</v>
      </c>
      <c r="H391" s="10"/>
    </row>
    <row r="392" spans="1:8" hidden="1">
      <c r="A392" s="111"/>
      <c r="B392" s="632"/>
      <c r="C392" s="473" t="s">
        <v>862</v>
      </c>
      <c r="D392" s="81" t="s">
        <v>114</v>
      </c>
      <c r="E392" s="12">
        <v>13</v>
      </c>
      <c r="F392" s="642">
        <v>15</v>
      </c>
      <c r="G392" s="125">
        <f t="shared" si="5"/>
        <v>195</v>
      </c>
      <c r="H392" s="10"/>
    </row>
    <row r="393" spans="1:8" hidden="1">
      <c r="A393" s="111"/>
      <c r="B393" s="632"/>
      <c r="C393" s="473" t="s">
        <v>2194</v>
      </c>
      <c r="D393" s="128"/>
      <c r="E393" s="208"/>
      <c r="F393" s="638"/>
      <c r="G393" s="204">
        <f>ROUND(SUM(G387:G392)*13.615%,2)</f>
        <v>2100.2600000000002</v>
      </c>
      <c r="H393" s="10"/>
    </row>
    <row r="394" spans="1:8" hidden="1">
      <c r="A394" s="111"/>
      <c r="B394" s="632"/>
      <c r="C394" s="473" t="s">
        <v>864</v>
      </c>
      <c r="D394" s="81"/>
      <c r="E394" s="12"/>
      <c r="F394" s="12"/>
      <c r="G394" s="125">
        <f>SUM(G387:G393)</f>
        <v>17526.36</v>
      </c>
      <c r="H394" s="10"/>
    </row>
    <row r="395" spans="1:8" hidden="1">
      <c r="A395" s="111"/>
      <c r="B395" s="632"/>
      <c r="C395" s="473" t="s">
        <v>369</v>
      </c>
      <c r="D395" s="81"/>
      <c r="E395" s="12"/>
      <c r="F395" s="12"/>
      <c r="G395" s="125">
        <f>ROUND(G394/4.6,2)</f>
        <v>3810.08</v>
      </c>
      <c r="H395" s="10"/>
    </row>
    <row r="396" spans="1:8" hidden="1">
      <c r="A396" s="111"/>
      <c r="B396" s="111"/>
      <c r="C396" s="473" t="s">
        <v>865</v>
      </c>
      <c r="D396" s="81"/>
      <c r="E396" s="12"/>
      <c r="F396" s="12"/>
      <c r="G396" s="131">
        <f>ROUND(G395/0.9,2)</f>
        <v>4233.42</v>
      </c>
      <c r="H396" s="165"/>
    </row>
    <row r="397" spans="1:8" ht="153" hidden="1">
      <c r="A397" s="81">
        <v>25</v>
      </c>
      <c r="B397" s="207"/>
      <c r="C397" s="473" t="s">
        <v>1092</v>
      </c>
      <c r="D397" s="128"/>
      <c r="E397" s="128"/>
      <c r="F397" s="128"/>
      <c r="G397" s="111"/>
      <c r="H397" s="10"/>
    </row>
    <row r="398" spans="1:8" hidden="1">
      <c r="A398" s="81"/>
      <c r="B398" s="207"/>
      <c r="C398" s="557" t="s">
        <v>868</v>
      </c>
      <c r="D398" s="128"/>
      <c r="E398" s="128"/>
      <c r="F398" s="128"/>
      <c r="G398" s="204"/>
    </row>
    <row r="399" spans="1:8" hidden="1">
      <c r="A399" s="111"/>
      <c r="B399" s="111"/>
      <c r="C399" s="473" t="s">
        <v>866</v>
      </c>
      <c r="D399" s="12">
        <v>10</v>
      </c>
      <c r="E399" s="113">
        <v>2.39</v>
      </c>
      <c r="F399" s="12">
        <f>ROUND(D399*E399,2)</f>
        <v>23.9</v>
      </c>
      <c r="G399" s="125"/>
      <c r="H399" s="10"/>
    </row>
    <row r="400" spans="1:8" hidden="1">
      <c r="A400" s="111"/>
      <c r="B400" s="111"/>
      <c r="C400" s="473" t="s">
        <v>867</v>
      </c>
      <c r="D400" s="12">
        <v>2.7</v>
      </c>
      <c r="E400" s="113">
        <v>0.89</v>
      </c>
      <c r="F400" s="12">
        <f>ROUND(D400*E400,2)</f>
        <v>2.4</v>
      </c>
      <c r="G400" s="125"/>
      <c r="H400" s="10"/>
    </row>
    <row r="401" spans="1:11" hidden="1">
      <c r="A401" s="111"/>
      <c r="B401" s="111"/>
      <c r="C401" s="473"/>
      <c r="D401" s="81"/>
      <c r="E401" s="113"/>
      <c r="F401" s="641">
        <f>SUM(F399:F400)</f>
        <v>26.299999999999997</v>
      </c>
      <c r="G401" s="125"/>
      <c r="H401" s="10"/>
    </row>
    <row r="402" spans="1:11" hidden="1">
      <c r="A402" s="111"/>
      <c r="B402" s="111"/>
      <c r="C402" s="473" t="s">
        <v>683</v>
      </c>
      <c r="D402" s="81" t="s">
        <v>4</v>
      </c>
      <c r="E402" s="113">
        <f>F401</f>
        <v>26.299999999999997</v>
      </c>
      <c r="F402" s="12">
        <f>'MINI SSR 2024-25'!C40</f>
        <v>462</v>
      </c>
      <c r="G402" s="125">
        <f>ROUND(E402*F402,2)</f>
        <v>12150.6</v>
      </c>
      <c r="H402" s="10"/>
    </row>
    <row r="403" spans="1:11" ht="25.5" hidden="1">
      <c r="A403" s="111"/>
      <c r="B403" s="632"/>
      <c r="C403" s="473" t="s">
        <v>684</v>
      </c>
      <c r="D403" s="81" t="s">
        <v>4</v>
      </c>
      <c r="E403" s="12">
        <f>E402</f>
        <v>26.299999999999997</v>
      </c>
      <c r="F403" s="12">
        <f>'MINI SSR 2024-25'!C41</f>
        <v>169</v>
      </c>
      <c r="G403" s="125">
        <f>ROUND(E403*F403,2)</f>
        <v>4444.7</v>
      </c>
      <c r="H403" s="10"/>
    </row>
    <row r="404" spans="1:11" hidden="1">
      <c r="A404" s="111"/>
      <c r="B404" s="632"/>
      <c r="C404" s="473" t="s">
        <v>871</v>
      </c>
      <c r="D404" s="81" t="s">
        <v>271</v>
      </c>
      <c r="E404" s="12">
        <v>0.9</v>
      </c>
      <c r="F404" s="12">
        <f>'MINI SSR 2024-25'!C42</f>
        <v>229</v>
      </c>
      <c r="G404" s="125">
        <f>ROUND(E404*F404,2)</f>
        <v>206.1</v>
      </c>
      <c r="H404" s="10"/>
    </row>
    <row r="405" spans="1:11" hidden="1">
      <c r="A405" s="111"/>
      <c r="B405" s="632"/>
      <c r="C405" s="473" t="s">
        <v>869</v>
      </c>
      <c r="D405" s="81" t="s">
        <v>114</v>
      </c>
      <c r="E405" s="12">
        <v>9</v>
      </c>
      <c r="F405" s="642">
        <v>30</v>
      </c>
      <c r="G405" s="125">
        <f>ROUND(E405*F405,2)</f>
        <v>270</v>
      </c>
      <c r="H405" s="10"/>
    </row>
    <row r="406" spans="1:11" hidden="1">
      <c r="A406" s="111"/>
      <c r="B406" s="632"/>
      <c r="C406" s="473" t="s">
        <v>870</v>
      </c>
      <c r="D406" s="81"/>
      <c r="E406" s="12"/>
      <c r="F406" s="12"/>
      <c r="G406" s="125">
        <f>SUM(G402:G405)</f>
        <v>17071.399999999998</v>
      </c>
      <c r="H406" s="10"/>
    </row>
    <row r="407" spans="1:11" hidden="1">
      <c r="A407" s="111"/>
      <c r="B407" s="632"/>
      <c r="C407" s="473" t="s">
        <v>369</v>
      </c>
      <c r="D407" s="81"/>
      <c r="E407" s="12"/>
      <c r="F407" s="12"/>
      <c r="G407" s="131">
        <f>ROUND(G406/10,2)</f>
        <v>1707.14</v>
      </c>
      <c r="H407" s="10"/>
    </row>
    <row r="408" spans="1:11" ht="51" hidden="1">
      <c r="A408" s="81">
        <v>12</v>
      </c>
      <c r="B408" s="207" t="s">
        <v>1137</v>
      </c>
      <c r="C408" s="473" t="s">
        <v>955</v>
      </c>
      <c r="D408" s="128"/>
      <c r="E408" s="128"/>
      <c r="F408" s="128"/>
      <c r="G408" s="207"/>
    </row>
    <row r="409" spans="1:11" hidden="1">
      <c r="A409" s="81"/>
      <c r="B409" s="207"/>
      <c r="C409" s="557" t="s">
        <v>84</v>
      </c>
      <c r="D409" s="128"/>
      <c r="E409" s="128"/>
      <c r="F409" s="128"/>
      <c r="G409" s="204"/>
    </row>
    <row r="410" spans="1:11" hidden="1">
      <c r="A410" s="81"/>
      <c r="B410" s="207"/>
      <c r="C410" s="557" t="s">
        <v>60</v>
      </c>
      <c r="D410" s="128"/>
      <c r="E410" s="128"/>
      <c r="F410" s="128"/>
      <c r="G410" s="204"/>
    </row>
    <row r="411" spans="1:11" hidden="1">
      <c r="A411" s="81"/>
      <c r="B411" s="207"/>
      <c r="C411" s="473" t="s">
        <v>33</v>
      </c>
      <c r="D411" s="128" t="s">
        <v>4</v>
      </c>
      <c r="E411" s="208">
        <v>59.4</v>
      </c>
      <c r="F411" s="208">
        <f>'lead 24-25'!L8</f>
        <v>4218.8</v>
      </c>
      <c r="G411" s="125">
        <f>ROUND(E411*F411/1000,2)</f>
        <v>250.6</v>
      </c>
    </row>
    <row r="412" spans="1:11" hidden="1">
      <c r="A412" s="81"/>
      <c r="B412" s="207"/>
      <c r="C412" s="473" t="s">
        <v>960</v>
      </c>
      <c r="D412" s="128" t="s">
        <v>35</v>
      </c>
      <c r="E412" s="643">
        <v>1.1000000000000001</v>
      </c>
      <c r="F412" s="208">
        <f>'lead 24-25'!L22</f>
        <v>1298.5999999999985</v>
      </c>
      <c r="G412" s="125">
        <f>ROUND(E412*F412,2)</f>
        <v>1428.46</v>
      </c>
    </row>
    <row r="413" spans="1:11" hidden="1">
      <c r="A413" s="81"/>
      <c r="B413" s="207"/>
      <c r="C413" s="473" t="s">
        <v>984</v>
      </c>
      <c r="D413" s="128" t="s">
        <v>35</v>
      </c>
      <c r="E413" s="208">
        <v>0.33</v>
      </c>
      <c r="F413" s="208">
        <f>'lead 24-25'!L13</f>
        <v>1013.4699999999982</v>
      </c>
      <c r="G413" s="125">
        <f>ROUND(E413*F413,2)</f>
        <v>334.45</v>
      </c>
    </row>
    <row r="414" spans="1:11" hidden="1">
      <c r="A414" s="128"/>
      <c r="B414" s="128"/>
      <c r="C414" s="557" t="s">
        <v>68</v>
      </c>
      <c r="D414" s="128"/>
      <c r="E414" s="208"/>
      <c r="F414" s="208"/>
      <c r="G414" s="125"/>
    </row>
    <row r="415" spans="1:11" hidden="1">
      <c r="A415" s="128"/>
      <c r="B415" s="128"/>
      <c r="C415" s="473" t="s">
        <v>64</v>
      </c>
      <c r="D415" s="128" t="s">
        <v>27</v>
      </c>
      <c r="E415" s="208">
        <v>1.2</v>
      </c>
      <c r="F415" s="208">
        <f>'MINI SSR 2024-25'!$H$3</f>
        <v>710</v>
      </c>
      <c r="G415" s="125">
        <f>ROUND(E415*F415,2)</f>
        <v>852</v>
      </c>
      <c r="K415" s="19"/>
    </row>
    <row r="416" spans="1:11" hidden="1">
      <c r="A416" s="128"/>
      <c r="B416" s="128"/>
      <c r="C416" s="473" t="s">
        <v>85</v>
      </c>
      <c r="D416" s="128" t="s">
        <v>27</v>
      </c>
      <c r="E416" s="208">
        <v>2</v>
      </c>
      <c r="F416" s="208">
        <f>'MINI SSR 2024-25'!$H$5</f>
        <v>595</v>
      </c>
      <c r="G416" s="125">
        <f>ROUND(E416*F416,2)</f>
        <v>1190</v>
      </c>
      <c r="K416" s="19"/>
    </row>
    <row r="417" spans="1:11" ht="13.5" hidden="1" thickBot="1">
      <c r="A417" s="128"/>
      <c r="B417" s="128"/>
      <c r="C417" s="557" t="s">
        <v>86</v>
      </c>
      <c r="D417" s="128"/>
      <c r="E417" s="128"/>
      <c r="F417" s="128"/>
      <c r="G417" s="209">
        <f>SUM(G411:G416)</f>
        <v>4055.51</v>
      </c>
      <c r="K417" s="205"/>
    </row>
    <row r="418" spans="1:11" ht="129.75">
      <c r="A418" s="81">
        <v>10</v>
      </c>
      <c r="B418" s="207" t="s">
        <v>83</v>
      </c>
      <c r="C418" s="473" t="s">
        <v>1093</v>
      </c>
      <c r="D418" s="128"/>
      <c r="E418" s="128"/>
      <c r="F418" s="128"/>
      <c r="G418" s="207"/>
    </row>
    <row r="419" spans="1:11">
      <c r="A419" s="81"/>
      <c r="B419" s="207"/>
      <c r="C419" s="557" t="s">
        <v>84</v>
      </c>
      <c r="D419" s="128"/>
      <c r="E419" s="128"/>
      <c r="F419" s="128"/>
      <c r="G419" s="204"/>
    </row>
    <row r="420" spans="1:11">
      <c r="A420" s="81"/>
      <c r="B420" s="207"/>
      <c r="C420" s="557" t="s">
        <v>60</v>
      </c>
      <c r="D420" s="128"/>
      <c r="E420" s="128"/>
      <c r="F420" s="128"/>
      <c r="G420" s="204"/>
    </row>
    <row r="421" spans="1:11">
      <c r="A421" s="81"/>
      <c r="B421" s="207"/>
      <c r="C421" s="473" t="s">
        <v>33</v>
      </c>
      <c r="D421" s="128" t="s">
        <v>4</v>
      </c>
      <c r="E421" s="208">
        <v>48</v>
      </c>
      <c r="F421" s="208">
        <f>'lead 24-25'!L8</f>
        <v>4218.8</v>
      </c>
      <c r="G421" s="125">
        <f>ROUND(E421*F421/1000,2)</f>
        <v>202.5</v>
      </c>
    </row>
    <row r="422" spans="1:11">
      <c r="A422" s="81"/>
      <c r="B422" s="207"/>
      <c r="C422" s="473" t="s">
        <v>1094</v>
      </c>
      <c r="D422" s="128" t="s">
        <v>11</v>
      </c>
      <c r="E422" s="134">
        <v>512</v>
      </c>
      <c r="F422" s="208">
        <f>'lead 24-25'!L16</f>
        <v>9406.56</v>
      </c>
      <c r="G422" s="125">
        <f>ROUND(E422*F422/1000,2)</f>
        <v>4816.16</v>
      </c>
    </row>
    <row r="423" spans="1:11">
      <c r="A423" s="81"/>
      <c r="B423" s="207"/>
      <c r="C423" s="473" t="s">
        <v>112</v>
      </c>
      <c r="D423" s="128" t="s">
        <v>35</v>
      </c>
      <c r="E423" s="208">
        <v>0.2</v>
      </c>
      <c r="F423" s="208">
        <f>'lead 24-25'!L13</f>
        <v>1013.4699999999982</v>
      </c>
      <c r="G423" s="125">
        <f>ROUND(E423*F423,2)</f>
        <v>202.69</v>
      </c>
    </row>
    <row r="424" spans="1:11">
      <c r="A424" s="128"/>
      <c r="B424" s="128"/>
      <c r="C424" s="557" t="s">
        <v>68</v>
      </c>
      <c r="D424" s="128"/>
      <c r="E424" s="208"/>
      <c r="F424" s="208"/>
      <c r="G424" s="125"/>
    </row>
    <row r="425" spans="1:11">
      <c r="A425" s="128"/>
      <c r="B425" s="128"/>
      <c r="C425" s="473" t="s">
        <v>64</v>
      </c>
      <c r="D425" s="128" t="s">
        <v>27</v>
      </c>
      <c r="E425" s="208">
        <v>0.24</v>
      </c>
      <c r="F425" s="208">
        <f>'MINI SSR 2024-25'!$H$3</f>
        <v>710</v>
      </c>
      <c r="G425" s="125">
        <f>ROUND(E425*F425,2)</f>
        <v>170.4</v>
      </c>
      <c r="K425" s="19"/>
    </row>
    <row r="426" spans="1:11">
      <c r="A426" s="128"/>
      <c r="B426" s="128"/>
      <c r="C426" s="473" t="s">
        <v>69</v>
      </c>
      <c r="D426" s="128" t="s">
        <v>27</v>
      </c>
      <c r="E426" s="208">
        <v>0.56000000000000005</v>
      </c>
      <c r="F426" s="208">
        <f>'MINI SSR 2024-25'!$H$4</f>
        <v>640</v>
      </c>
      <c r="G426" s="125">
        <f>ROUND(E426*F426,2)</f>
        <v>358.4</v>
      </c>
      <c r="K426" s="19"/>
    </row>
    <row r="427" spans="1:11">
      <c r="A427" s="128"/>
      <c r="B427" s="128"/>
      <c r="C427" s="473" t="s">
        <v>85</v>
      </c>
      <c r="D427" s="128" t="s">
        <v>27</v>
      </c>
      <c r="E427" s="208">
        <v>1.89</v>
      </c>
      <c r="F427" s="208">
        <f>'MINI SSR 2024-25'!$H$5</f>
        <v>595</v>
      </c>
      <c r="G427" s="125">
        <f>ROUND(E427*F427,2)</f>
        <v>1124.55</v>
      </c>
      <c r="K427" s="19"/>
    </row>
    <row r="428" spans="1:11" ht="13.5" thickBot="1">
      <c r="A428" s="128"/>
      <c r="B428" s="128"/>
      <c r="C428" s="557" t="s">
        <v>86</v>
      </c>
      <c r="D428" s="128"/>
      <c r="E428" s="128"/>
      <c r="F428" s="128"/>
      <c r="G428" s="209">
        <f>SUM(G421:G427)</f>
        <v>6874.6999999999989</v>
      </c>
      <c r="K428" s="205"/>
    </row>
    <row r="429" spans="1:11" ht="13.5" thickTop="1">
      <c r="A429" s="128"/>
      <c r="B429" s="128"/>
      <c r="C429" s="557"/>
      <c r="D429" s="128"/>
      <c r="E429" s="207" t="s">
        <v>163</v>
      </c>
      <c r="F429" s="207" t="s">
        <v>164</v>
      </c>
      <c r="G429" s="210" t="s">
        <v>165</v>
      </c>
      <c r="H429" s="10"/>
    </row>
    <row r="430" spans="1:11">
      <c r="A430" s="128"/>
      <c r="B430" s="128"/>
      <c r="C430" s="557" t="s">
        <v>194</v>
      </c>
      <c r="D430" s="128"/>
      <c r="E430" s="208">
        <f>G428</f>
        <v>6874.6999999999989</v>
      </c>
      <c r="F430" s="208">
        <f>E430</f>
        <v>6874.6999999999989</v>
      </c>
      <c r="G430" s="204">
        <f>F430</f>
        <v>6874.6999999999989</v>
      </c>
      <c r="H430" s="10"/>
    </row>
    <row r="431" spans="1:11">
      <c r="A431" s="128"/>
      <c r="B431" s="128"/>
      <c r="C431" s="473" t="s">
        <v>1526</v>
      </c>
      <c r="D431" s="133">
        <v>4.3499999999999996</v>
      </c>
      <c r="E431" s="128">
        <f>ROUND($D$431*'MINI SSR 2024-25'!E30,2)</f>
        <v>46.89</v>
      </c>
      <c r="F431" s="128">
        <f>E431</f>
        <v>46.89</v>
      </c>
      <c r="G431" s="128">
        <f>F431</f>
        <v>46.89</v>
      </c>
      <c r="H431" s="10"/>
    </row>
    <row r="432" spans="1:11">
      <c r="A432" s="128"/>
      <c r="B432" s="128"/>
      <c r="C432" s="473" t="s">
        <v>1527</v>
      </c>
      <c r="D432" s="133">
        <v>4.3499999999999996</v>
      </c>
      <c r="E432" s="128">
        <f>ROUND($D$432*'MINI SSR 2024-25'!F30,2)</f>
        <v>368.1</v>
      </c>
      <c r="F432" s="128">
        <f>ROUND($D$432*'MINI SSR 2024-25'!G30,2)</f>
        <v>527.13</v>
      </c>
      <c r="G432" s="128">
        <f>ROUND($D$432*'MINI SSR 2024-25'!H30,2)</f>
        <v>686.08</v>
      </c>
      <c r="H432" s="10"/>
    </row>
    <row r="433" spans="1:11">
      <c r="A433" s="128"/>
      <c r="B433" s="128"/>
      <c r="C433" s="473" t="s">
        <v>1079</v>
      </c>
      <c r="D433" s="128"/>
      <c r="E433" s="128"/>
      <c r="F433" s="208">
        <f>ROUND((G425+G426+G427+F432)*0.1,2)</f>
        <v>218.05</v>
      </c>
      <c r="G433" s="208">
        <f>ROUND((G425+G426+G427+G432)*0.1,2)</f>
        <v>233.94</v>
      </c>
      <c r="H433" s="10"/>
    </row>
    <row r="434" spans="1:11">
      <c r="A434" s="128"/>
      <c r="B434" s="128"/>
      <c r="C434" s="473" t="s">
        <v>2194</v>
      </c>
      <c r="D434" s="128"/>
      <c r="E434" s="208">
        <f>ROUND((E430+E431+E432+E433)*$C$3,2)</f>
        <v>992.49</v>
      </c>
      <c r="F434" s="208">
        <f>ROUND((F430+F431+F432+F433)*$C$3,2)</f>
        <v>1043.83</v>
      </c>
      <c r="G434" s="208">
        <f>ROUND((G430+G431+G432+G433)*$C$3,2)</f>
        <v>1067.6400000000001</v>
      </c>
      <c r="H434" s="10"/>
    </row>
    <row r="435" spans="1:11">
      <c r="A435" s="128"/>
      <c r="B435" s="128"/>
      <c r="C435" s="557" t="s">
        <v>86</v>
      </c>
      <c r="D435" s="128"/>
      <c r="E435" s="210">
        <f>SUM(E430:E434)</f>
        <v>8282.18</v>
      </c>
      <c r="F435" s="210">
        <f>SUM(F430:F434)</f>
        <v>8710.5999999999985</v>
      </c>
      <c r="G435" s="210">
        <f>SUM(G430:G434)</f>
        <v>8909.2499999999982</v>
      </c>
      <c r="H435" s="10"/>
    </row>
    <row r="436" spans="1:11" ht="129.75">
      <c r="A436" s="81">
        <v>11</v>
      </c>
      <c r="B436" s="207" t="s">
        <v>1138</v>
      </c>
      <c r="C436" s="473" t="s">
        <v>1095</v>
      </c>
      <c r="D436" s="128"/>
      <c r="E436" s="128"/>
      <c r="F436" s="128"/>
      <c r="G436" s="207"/>
    </row>
    <row r="437" spans="1:11">
      <c r="A437" s="81"/>
      <c r="B437" s="207"/>
      <c r="C437" s="557" t="s">
        <v>84</v>
      </c>
      <c r="D437" s="128"/>
      <c r="E437" s="128"/>
      <c r="F437" s="128"/>
      <c r="G437" s="204"/>
    </row>
    <row r="438" spans="1:11">
      <c r="A438" s="81"/>
      <c r="B438" s="207"/>
      <c r="C438" s="557" t="s">
        <v>60</v>
      </c>
      <c r="D438" s="128"/>
      <c r="E438" s="128"/>
      <c r="F438" s="128"/>
      <c r="G438" s="204"/>
    </row>
    <row r="439" spans="1:11">
      <c r="A439" s="81"/>
      <c r="B439" s="207"/>
      <c r="C439" s="473" t="s">
        <v>33</v>
      </c>
      <c r="D439" s="128" t="s">
        <v>4</v>
      </c>
      <c r="E439" s="208">
        <v>36</v>
      </c>
      <c r="F439" s="208">
        <f>'lead 24-25'!L8</f>
        <v>4218.8</v>
      </c>
      <c r="G439" s="125">
        <f>ROUND(E439*F439/1000,2)</f>
        <v>151.88</v>
      </c>
    </row>
    <row r="440" spans="1:11">
      <c r="A440" s="81"/>
      <c r="B440" s="207"/>
      <c r="C440" s="473" t="s">
        <v>1094</v>
      </c>
      <c r="D440" s="128" t="s">
        <v>11</v>
      </c>
      <c r="E440" s="134">
        <v>512</v>
      </c>
      <c r="F440" s="208">
        <f>'lead 24-25'!L16</f>
        <v>9406.56</v>
      </c>
      <c r="G440" s="125">
        <f>ROUND(E440*F440/1000,2)</f>
        <v>4816.16</v>
      </c>
    </row>
    <row r="441" spans="1:11">
      <c r="A441" s="81"/>
      <c r="B441" s="207"/>
      <c r="C441" s="473" t="s">
        <v>112</v>
      </c>
      <c r="D441" s="128" t="s">
        <v>35</v>
      </c>
      <c r="E441" s="208">
        <v>0.2</v>
      </c>
      <c r="F441" s="208">
        <f>'lead 24-25'!L13</f>
        <v>1013.4699999999982</v>
      </c>
      <c r="G441" s="125">
        <f>ROUND(E441*F441,2)</f>
        <v>202.69</v>
      </c>
    </row>
    <row r="442" spans="1:11">
      <c r="A442" s="128"/>
      <c r="B442" s="128"/>
      <c r="C442" s="557" t="s">
        <v>68</v>
      </c>
      <c r="D442" s="128"/>
      <c r="E442" s="208"/>
      <c r="F442" s="208"/>
      <c r="G442" s="125"/>
    </row>
    <row r="443" spans="1:11">
      <c r="A443" s="128"/>
      <c r="B443" s="128"/>
      <c r="C443" s="473" t="s">
        <v>64</v>
      </c>
      <c r="D443" s="128" t="s">
        <v>27</v>
      </c>
      <c r="E443" s="208">
        <v>0.24</v>
      </c>
      <c r="F443" s="208">
        <f>'MINI SSR 2024-25'!$H$3</f>
        <v>710</v>
      </c>
      <c r="G443" s="125">
        <f>ROUND(E443*F443,2)</f>
        <v>170.4</v>
      </c>
      <c r="K443" s="19">
        <f>G443</f>
        <v>170.4</v>
      </c>
    </row>
    <row r="444" spans="1:11">
      <c r="A444" s="128"/>
      <c r="B444" s="128"/>
      <c r="C444" s="473" t="s">
        <v>69</v>
      </c>
      <c r="D444" s="128" t="s">
        <v>27</v>
      </c>
      <c r="E444" s="208">
        <v>0.56000000000000005</v>
      </c>
      <c r="F444" s="208">
        <f>'MINI SSR 2024-25'!$H$4</f>
        <v>640</v>
      </c>
      <c r="G444" s="125">
        <f>ROUND(E444*F444,2)</f>
        <v>358.4</v>
      </c>
      <c r="K444" s="19">
        <f>G444</f>
        <v>358.4</v>
      </c>
    </row>
    <row r="445" spans="1:11">
      <c r="A445" s="128"/>
      <c r="B445" s="128"/>
      <c r="C445" s="473" t="s">
        <v>85</v>
      </c>
      <c r="D445" s="128" t="s">
        <v>27</v>
      </c>
      <c r="E445" s="208">
        <v>1.89</v>
      </c>
      <c r="F445" s="208">
        <f>'MINI SSR 2024-25'!$H$5</f>
        <v>595</v>
      </c>
      <c r="G445" s="125">
        <f>ROUND(E445*F445,2)</f>
        <v>1124.55</v>
      </c>
      <c r="K445" s="19">
        <f>G445</f>
        <v>1124.55</v>
      </c>
    </row>
    <row r="446" spans="1:11" ht="13.5" thickBot="1">
      <c r="A446" s="128"/>
      <c r="B446" s="128"/>
      <c r="C446" s="557" t="s">
        <v>86</v>
      </c>
      <c r="D446" s="128"/>
      <c r="E446" s="128"/>
      <c r="F446" s="128"/>
      <c r="G446" s="209">
        <f>SUM(G439:G445)</f>
        <v>6824.079999999999</v>
      </c>
      <c r="K446" s="205">
        <f>SUM(K443:K445)</f>
        <v>1653.35</v>
      </c>
    </row>
    <row r="447" spans="1:11" ht="13.5" thickTop="1">
      <c r="A447" s="128"/>
      <c r="B447" s="128"/>
      <c r="C447" s="557"/>
      <c r="D447" s="128"/>
      <c r="E447" s="207" t="s">
        <v>163</v>
      </c>
      <c r="F447" s="207" t="s">
        <v>164</v>
      </c>
      <c r="G447" s="210" t="s">
        <v>165</v>
      </c>
      <c r="H447" s="10"/>
    </row>
    <row r="448" spans="1:11">
      <c r="A448" s="128"/>
      <c r="B448" s="128"/>
      <c r="C448" s="557" t="s">
        <v>194</v>
      </c>
      <c r="D448" s="128"/>
      <c r="E448" s="208">
        <f>G446</f>
        <v>6824.079999999999</v>
      </c>
      <c r="F448" s="208">
        <f>E448</f>
        <v>6824.079999999999</v>
      </c>
      <c r="G448" s="204">
        <f>F448</f>
        <v>6824.079999999999</v>
      </c>
      <c r="H448" s="10"/>
    </row>
    <row r="449" spans="1:8">
      <c r="A449" s="128"/>
      <c r="B449" s="128"/>
      <c r="C449" s="473" t="s">
        <v>1528</v>
      </c>
      <c r="D449" s="133">
        <v>4.3499999999999996</v>
      </c>
      <c r="E449" s="128">
        <f>ROUND($D$449*'MINI SSR 2024-25'!E30,2)</f>
        <v>46.89</v>
      </c>
      <c r="F449" s="128">
        <f>E449</f>
        <v>46.89</v>
      </c>
      <c r="G449" s="128">
        <f>F449</f>
        <v>46.89</v>
      </c>
      <c r="H449" s="10"/>
    </row>
    <row r="450" spans="1:8">
      <c r="A450" s="128"/>
      <c r="B450" s="128"/>
      <c r="C450" s="473" t="s">
        <v>1527</v>
      </c>
      <c r="D450" s="133">
        <v>4.3499999999999996</v>
      </c>
      <c r="E450" s="128">
        <f>ROUND($D$450*'MINI SSR 2024-25'!F30,2)</f>
        <v>368.1</v>
      </c>
      <c r="F450" s="128">
        <f>ROUND($D$450*'MINI SSR 2024-25'!G30,2)</f>
        <v>527.13</v>
      </c>
      <c r="G450" s="128">
        <f>ROUND($D$450*'MINI SSR 2024-25'!H30,2)</f>
        <v>686.08</v>
      </c>
      <c r="H450" s="10"/>
    </row>
    <row r="451" spans="1:8" ht="25.5">
      <c r="A451" s="128"/>
      <c r="B451" s="128"/>
      <c r="C451" s="473" t="s">
        <v>1079</v>
      </c>
      <c r="D451" s="128"/>
      <c r="E451" s="128"/>
      <c r="F451" s="208">
        <f>ROUND((G443+G444+G445+F450)*0.1,2)</f>
        <v>218.05</v>
      </c>
      <c r="G451" s="208">
        <f>ROUND((G443+G444+G445+G450)*0.1,2)</f>
        <v>233.94</v>
      </c>
      <c r="H451" s="10"/>
    </row>
    <row r="452" spans="1:8">
      <c r="A452" s="128"/>
      <c r="B452" s="128"/>
      <c r="C452" s="473" t="s">
        <v>2194</v>
      </c>
      <c r="D452" s="128"/>
      <c r="E452" s="208">
        <f>ROUND((E448+E449+E450+E451)*$C$3,2)</f>
        <v>985.6</v>
      </c>
      <c r="F452" s="208">
        <f>ROUND((F448+F449+F450+F451)*$C$3,2)</f>
        <v>1036.94</v>
      </c>
      <c r="G452" s="208">
        <f>ROUND((G448+G449+G450+G451)*$C$3,2)</f>
        <v>1060.74</v>
      </c>
      <c r="H452" s="10"/>
    </row>
    <row r="453" spans="1:8">
      <c r="A453" s="128"/>
      <c r="B453" s="128"/>
      <c r="C453" s="557" t="s">
        <v>86</v>
      </c>
      <c r="D453" s="128"/>
      <c r="E453" s="210">
        <f>SUM(E448:E452)</f>
        <v>8224.67</v>
      </c>
      <c r="F453" s="210">
        <f>SUM(F448:F452)</f>
        <v>8653.09</v>
      </c>
      <c r="G453" s="210">
        <f>SUM(G448:G452)</f>
        <v>8851.73</v>
      </c>
      <c r="H453" s="10"/>
    </row>
    <row r="454" spans="1:8" ht="89.25" hidden="1">
      <c r="A454" s="81">
        <v>19</v>
      </c>
      <c r="B454" s="207" t="s">
        <v>226</v>
      </c>
      <c r="C454" s="473" t="s">
        <v>1822</v>
      </c>
      <c r="D454" s="128"/>
      <c r="E454" s="128"/>
      <c r="F454" s="128"/>
      <c r="G454" s="207"/>
      <c r="H454" s="10"/>
    </row>
    <row r="455" spans="1:8" hidden="1">
      <c r="A455" s="81"/>
      <c r="B455" s="207"/>
      <c r="C455" s="557" t="s">
        <v>227</v>
      </c>
      <c r="D455" s="128"/>
      <c r="E455" s="128"/>
      <c r="F455" s="128"/>
      <c r="G455" s="204"/>
      <c r="H455" s="10"/>
    </row>
    <row r="456" spans="1:8" hidden="1">
      <c r="A456" s="81"/>
      <c r="B456" s="207"/>
      <c r="C456" s="557" t="s">
        <v>60</v>
      </c>
      <c r="D456" s="128"/>
      <c r="E456" s="128"/>
      <c r="F456" s="128"/>
      <c r="G456" s="204"/>
      <c r="H456" s="10"/>
    </row>
    <row r="457" spans="1:8" hidden="1">
      <c r="A457" s="81"/>
      <c r="B457" s="207"/>
      <c r="C457" s="473" t="s">
        <v>33</v>
      </c>
      <c r="D457" s="128" t="s">
        <v>4</v>
      </c>
      <c r="E457" s="208">
        <v>106</v>
      </c>
      <c r="F457" s="208">
        <f>'lead 24-25'!L8</f>
        <v>4218.8</v>
      </c>
      <c r="G457" s="125">
        <f>ROUND(E457*F457/1000,2)</f>
        <v>447.19</v>
      </c>
      <c r="H457" s="10"/>
    </row>
    <row r="458" spans="1:8" hidden="1">
      <c r="A458" s="81"/>
      <c r="B458" s="207"/>
      <c r="C458" s="473" t="s">
        <v>1096</v>
      </c>
      <c r="D458" s="128" t="s">
        <v>11</v>
      </c>
      <c r="E458" s="134">
        <v>565</v>
      </c>
      <c r="F458" s="208">
        <f>'lead 24-25'!L16</f>
        <v>9406.56</v>
      </c>
      <c r="G458" s="125">
        <f>ROUND(E458*F458/1000,2)</f>
        <v>5314.71</v>
      </c>
      <c r="H458" s="10"/>
    </row>
    <row r="459" spans="1:8" hidden="1">
      <c r="A459" s="81"/>
      <c r="B459" s="207"/>
      <c r="C459" s="473" t="s">
        <v>112</v>
      </c>
      <c r="D459" s="128" t="s">
        <v>35</v>
      </c>
      <c r="E459" s="208">
        <v>0.22</v>
      </c>
      <c r="F459" s="208">
        <f>'lead 24-25'!L13</f>
        <v>1013.4699999999982</v>
      </c>
      <c r="G459" s="125">
        <f>ROUND(E459*F459,2)</f>
        <v>222.96</v>
      </c>
      <c r="H459" s="10"/>
    </row>
    <row r="460" spans="1:8" hidden="1">
      <c r="A460" s="128"/>
      <c r="B460" s="128"/>
      <c r="C460" s="557" t="s">
        <v>68</v>
      </c>
      <c r="D460" s="128"/>
      <c r="E460" s="208"/>
      <c r="F460" s="208"/>
      <c r="G460" s="125"/>
      <c r="H460" s="10"/>
    </row>
    <row r="461" spans="1:8" hidden="1">
      <c r="A461" s="128"/>
      <c r="B461" s="128"/>
      <c r="C461" s="473" t="s">
        <v>64</v>
      </c>
      <c r="D461" s="128" t="s">
        <v>27</v>
      </c>
      <c r="E461" s="208">
        <v>0.6</v>
      </c>
      <c r="F461" s="208">
        <f>'MINI SSR 2024-25'!$H$3</f>
        <v>710</v>
      </c>
      <c r="G461" s="125">
        <f>ROUND(E461*F461,2)</f>
        <v>426</v>
      </c>
      <c r="H461" s="10"/>
    </row>
    <row r="462" spans="1:8" hidden="1">
      <c r="A462" s="128"/>
      <c r="B462" s="128"/>
      <c r="C462" s="473" t="s">
        <v>69</v>
      </c>
      <c r="D462" s="128" t="s">
        <v>27</v>
      </c>
      <c r="E462" s="208">
        <v>0.6</v>
      </c>
      <c r="F462" s="208">
        <f>'MINI SSR 2024-25'!$H$4</f>
        <v>640</v>
      </c>
      <c r="G462" s="125">
        <f>ROUND(E462*F462,2)</f>
        <v>384</v>
      </c>
      <c r="H462" s="10"/>
    </row>
    <row r="463" spans="1:8" hidden="1">
      <c r="A463" s="128"/>
      <c r="B463" s="128"/>
      <c r="C463" s="473" t="s">
        <v>85</v>
      </c>
      <c r="D463" s="128" t="s">
        <v>27</v>
      </c>
      <c r="E463" s="208">
        <v>2.75</v>
      </c>
      <c r="F463" s="208">
        <f>'MINI SSR 2024-25'!$H$5</f>
        <v>595</v>
      </c>
      <c r="G463" s="125">
        <f>ROUND(E463*F463,2)</f>
        <v>1636.25</v>
      </c>
      <c r="H463" s="10"/>
    </row>
    <row r="464" spans="1:8" hidden="1">
      <c r="A464" s="128"/>
      <c r="B464" s="128"/>
      <c r="C464" s="557" t="s">
        <v>88</v>
      </c>
      <c r="D464" s="128"/>
      <c r="E464" s="208"/>
      <c r="F464" s="208"/>
      <c r="G464" s="125">
        <f>SUM(G457:G463)</f>
        <v>8431.11</v>
      </c>
      <c r="H464" s="10"/>
    </row>
    <row r="465" spans="1:11" hidden="1">
      <c r="A465" s="128"/>
      <c r="B465" s="128"/>
      <c r="C465" s="557"/>
      <c r="D465" s="128"/>
      <c r="E465" s="207" t="s">
        <v>163</v>
      </c>
      <c r="F465" s="210" t="s">
        <v>164</v>
      </c>
      <c r="G465" s="210" t="s">
        <v>165</v>
      </c>
      <c r="H465" s="10"/>
    </row>
    <row r="466" spans="1:11" hidden="1">
      <c r="A466" s="128"/>
      <c r="B466" s="128"/>
      <c r="C466" s="557" t="s">
        <v>194</v>
      </c>
      <c r="D466" s="128"/>
      <c r="E466" s="208">
        <f>G464</f>
        <v>8431.11</v>
      </c>
      <c r="F466" s="204">
        <f>G464</f>
        <v>8431.11</v>
      </c>
      <c r="G466" s="204">
        <f>G464</f>
        <v>8431.11</v>
      </c>
      <c r="H466" s="10"/>
    </row>
    <row r="467" spans="1:11" hidden="1">
      <c r="A467" s="128"/>
      <c r="B467" s="128"/>
      <c r="C467" s="473" t="s">
        <v>1529</v>
      </c>
      <c r="D467" s="133">
        <v>8.6999999999999993</v>
      </c>
      <c r="E467" s="128">
        <f>ROUND($D$467*'MINI SSR 2024-25'!E30,2)</f>
        <v>93.79</v>
      </c>
      <c r="F467" s="633">
        <f>E467</f>
        <v>93.79</v>
      </c>
      <c r="G467" s="633">
        <f>F467</f>
        <v>93.79</v>
      </c>
      <c r="H467" s="10"/>
    </row>
    <row r="468" spans="1:11" hidden="1">
      <c r="A468" s="128"/>
      <c r="B468" s="128"/>
      <c r="C468" s="473" t="s">
        <v>1527</v>
      </c>
      <c r="D468" s="133">
        <v>8.6999999999999993</v>
      </c>
      <c r="E468" s="128">
        <f>ROUND($D$468*'MINI SSR 2024-25'!F30,2)</f>
        <v>736.19</v>
      </c>
      <c r="F468" s="128">
        <f>ROUND($D$468*'MINI SSR 2024-25'!G30,2)</f>
        <v>1054.27</v>
      </c>
      <c r="G468" s="128">
        <f>ROUND($D$468*'MINI SSR 2024-25'!H30,2)</f>
        <v>1372.16</v>
      </c>
      <c r="H468" s="10"/>
    </row>
    <row r="469" spans="1:11" ht="25.5" hidden="1">
      <c r="A469" s="128"/>
      <c r="B469" s="128"/>
      <c r="C469" s="473" t="s">
        <v>1079</v>
      </c>
      <c r="D469" s="128"/>
      <c r="E469" s="128"/>
      <c r="F469" s="644">
        <f>(SUM(G461:G463)+F468)*10%</f>
        <v>350.05200000000002</v>
      </c>
      <c r="G469" s="644">
        <f>(SUM(G461:G463)+G468)*20%</f>
        <v>763.68200000000002</v>
      </c>
      <c r="H469" s="10"/>
    </row>
    <row r="470" spans="1:11" hidden="1">
      <c r="A470" s="128"/>
      <c r="B470" s="128"/>
      <c r="C470" s="557" t="s">
        <v>848</v>
      </c>
      <c r="D470" s="128"/>
      <c r="E470" s="210">
        <f>SUM(E466:E469)</f>
        <v>9261.090000000002</v>
      </c>
      <c r="F470" s="209">
        <f>SUM(F466:F469)</f>
        <v>9929.2220000000016</v>
      </c>
      <c r="G470" s="209">
        <f>SUM(G466:G469)</f>
        <v>10660.742000000002</v>
      </c>
      <c r="H470" s="10"/>
    </row>
    <row r="471" spans="1:11" hidden="1">
      <c r="A471" s="128"/>
      <c r="B471" s="128"/>
      <c r="C471" s="557" t="s">
        <v>119</v>
      </c>
      <c r="D471" s="128"/>
      <c r="E471" s="210">
        <f>ROUND(E470/10,2)</f>
        <v>926.11</v>
      </c>
      <c r="F471" s="209">
        <f>ROUND(F470/10,2)</f>
        <v>992.92</v>
      </c>
      <c r="G471" s="209">
        <f>ROUND(G470/10,2)</f>
        <v>1066.07</v>
      </c>
      <c r="H471" s="10"/>
    </row>
    <row r="472" spans="1:11" ht="127.5" hidden="1">
      <c r="A472" s="81">
        <v>30</v>
      </c>
      <c r="B472" s="207" t="s">
        <v>1108</v>
      </c>
      <c r="C472" s="473" t="s">
        <v>961</v>
      </c>
      <c r="D472" s="128"/>
      <c r="E472" s="128"/>
      <c r="F472" s="128"/>
      <c r="G472" s="207"/>
    </row>
    <row r="473" spans="1:11" hidden="1">
      <c r="A473" s="81"/>
      <c r="B473" s="207"/>
      <c r="C473" s="557" t="s">
        <v>84</v>
      </c>
      <c r="D473" s="128"/>
      <c r="E473" s="128"/>
      <c r="F473" s="128"/>
      <c r="G473" s="204"/>
    </row>
    <row r="474" spans="1:11" hidden="1">
      <c r="A474" s="81"/>
      <c r="B474" s="207"/>
      <c r="C474" s="557" t="s">
        <v>60</v>
      </c>
      <c r="D474" s="128"/>
      <c r="E474" s="128"/>
      <c r="F474" s="128"/>
      <c r="G474" s="204"/>
    </row>
    <row r="475" spans="1:11" ht="25.5" hidden="1">
      <c r="A475" s="81"/>
      <c r="B475" s="207"/>
      <c r="C475" s="473" t="s">
        <v>964</v>
      </c>
      <c r="D475" s="128" t="s">
        <v>11</v>
      </c>
      <c r="E475" s="134">
        <v>110</v>
      </c>
      <c r="F475" s="208">
        <f>'MINI SSR 2024-25'!C27</f>
        <v>30</v>
      </c>
      <c r="G475" s="125">
        <f>ROUND(E475*F475,2)</f>
        <v>3300</v>
      </c>
    </row>
    <row r="476" spans="1:11" hidden="1">
      <c r="A476" s="81"/>
      <c r="B476" s="207"/>
      <c r="C476" s="473" t="s">
        <v>962</v>
      </c>
      <c r="D476" s="128" t="s">
        <v>35</v>
      </c>
      <c r="E476" s="208">
        <v>0.1</v>
      </c>
      <c r="F476" s="208">
        <f>G25</f>
        <v>2195.65</v>
      </c>
      <c r="G476" s="125">
        <f>ROUND(E476*F476,2)</f>
        <v>219.57</v>
      </c>
    </row>
    <row r="477" spans="1:11" hidden="1">
      <c r="A477" s="128"/>
      <c r="B477" s="128"/>
      <c r="C477" s="557" t="s">
        <v>68</v>
      </c>
      <c r="D477" s="128"/>
      <c r="E477" s="208"/>
      <c r="F477" s="208"/>
      <c r="G477" s="125"/>
    </row>
    <row r="478" spans="1:11" hidden="1">
      <c r="A478" s="128"/>
      <c r="B478" s="128"/>
      <c r="C478" s="473" t="s">
        <v>64</v>
      </c>
      <c r="D478" s="128" t="s">
        <v>27</v>
      </c>
      <c r="E478" s="208">
        <v>0.42</v>
      </c>
      <c r="F478" s="208">
        <f>'MINI SSR 2024-25'!$H$3</f>
        <v>710</v>
      </c>
      <c r="G478" s="125">
        <f>ROUND(E478*F478,2)</f>
        <v>298.2</v>
      </c>
      <c r="K478" s="19"/>
    </row>
    <row r="479" spans="1:11" hidden="1">
      <c r="A479" s="128"/>
      <c r="B479" s="128"/>
      <c r="C479" s="473" t="s">
        <v>69</v>
      </c>
      <c r="D479" s="128" t="s">
        <v>27</v>
      </c>
      <c r="E479" s="208">
        <v>0.92</v>
      </c>
      <c r="F479" s="208">
        <f>'MINI SSR 2024-25'!$H$4</f>
        <v>640</v>
      </c>
      <c r="G479" s="125">
        <f>ROUND(E479*F479,2)</f>
        <v>588.79999999999995</v>
      </c>
      <c r="K479" s="19"/>
    </row>
    <row r="480" spans="1:11" hidden="1">
      <c r="A480" s="128"/>
      <c r="B480" s="128"/>
      <c r="C480" s="473" t="s">
        <v>367</v>
      </c>
      <c r="D480" s="128" t="s">
        <v>27</v>
      </c>
      <c r="E480" s="208">
        <v>0.7</v>
      </c>
      <c r="F480" s="208">
        <f>'MINI SSR 2024-25'!$H$5</f>
        <v>595</v>
      </c>
      <c r="G480" s="125">
        <f>ROUND(E480*F480,2)</f>
        <v>416.5</v>
      </c>
      <c r="K480" s="19"/>
    </row>
    <row r="481" spans="1:11" hidden="1">
      <c r="A481" s="128"/>
      <c r="B481" s="128"/>
      <c r="C481" s="473" t="s">
        <v>963</v>
      </c>
      <c r="D481" s="128" t="s">
        <v>27</v>
      </c>
      <c r="E481" s="208">
        <v>2.1</v>
      </c>
      <c r="F481" s="208">
        <f>'MINI SSR 2024-25'!$H$5</f>
        <v>595</v>
      </c>
      <c r="G481" s="125">
        <f>ROUND(E481*F481,2)</f>
        <v>1249.5</v>
      </c>
      <c r="K481" s="19"/>
    </row>
    <row r="482" spans="1:11" ht="13.5" hidden="1" thickBot="1">
      <c r="A482" s="128"/>
      <c r="B482" s="128"/>
      <c r="C482" s="557" t="s">
        <v>86</v>
      </c>
      <c r="D482" s="128"/>
      <c r="E482" s="128"/>
      <c r="F482" s="128"/>
      <c r="G482" s="209">
        <f>SUM(G475:G481)</f>
        <v>6072.57</v>
      </c>
      <c r="K482" s="205"/>
    </row>
    <row r="483" spans="1:11" hidden="1">
      <c r="A483" s="128"/>
      <c r="B483" s="128"/>
      <c r="C483" s="557"/>
      <c r="D483" s="128"/>
      <c r="E483" s="207" t="s">
        <v>163</v>
      </c>
      <c r="F483" s="210" t="s">
        <v>164</v>
      </c>
      <c r="G483" s="210" t="s">
        <v>165</v>
      </c>
      <c r="H483" s="10"/>
    </row>
    <row r="484" spans="1:11" hidden="1">
      <c r="A484" s="128"/>
      <c r="B484" s="128"/>
      <c r="C484" s="557" t="s">
        <v>194</v>
      </c>
      <c r="D484" s="128"/>
      <c r="E484" s="208">
        <f>G482</f>
        <v>6072.57</v>
      </c>
      <c r="F484" s="204">
        <f>G482</f>
        <v>6072.57</v>
      </c>
      <c r="G484" s="204">
        <f>G482*1</f>
        <v>6072.57</v>
      </c>
      <c r="H484" s="10"/>
    </row>
    <row r="485" spans="1:11" hidden="1">
      <c r="A485" s="128"/>
      <c r="B485" s="128"/>
      <c r="C485" s="473" t="s">
        <v>1526</v>
      </c>
      <c r="D485" s="133">
        <v>4.3499999999999996</v>
      </c>
      <c r="E485" s="128">
        <f>ROUND('MINI SSR 2024-25'!E30*$D$485,2)</f>
        <v>46.89</v>
      </c>
      <c r="F485" s="633">
        <f>E485</f>
        <v>46.89</v>
      </c>
      <c r="G485" s="633">
        <f>F485</f>
        <v>46.89</v>
      </c>
      <c r="H485" s="10"/>
    </row>
    <row r="486" spans="1:11" hidden="1">
      <c r="A486" s="128"/>
      <c r="B486" s="128"/>
      <c r="C486" s="473" t="s">
        <v>1527</v>
      </c>
      <c r="D486" s="133">
        <v>4.3499999999999996</v>
      </c>
      <c r="E486" s="128">
        <f>ROUND('MINI SSR 2024-25'!F30*$D$486,2)</f>
        <v>368.1</v>
      </c>
      <c r="F486" s="128">
        <f>ROUND('MINI SSR 2024-25'!G30*$D$486,2)</f>
        <v>527.13</v>
      </c>
      <c r="G486" s="128">
        <f>ROUND('MINI SSR 2024-25'!H30*$D$486,2)</f>
        <v>686.08</v>
      </c>
      <c r="H486" s="10"/>
    </row>
    <row r="487" spans="1:11" ht="25.5" hidden="1">
      <c r="A487" s="128"/>
      <c r="B487" s="128"/>
      <c r="C487" s="473" t="s">
        <v>1079</v>
      </c>
      <c r="D487" s="128"/>
      <c r="E487" s="128"/>
      <c r="F487" s="633">
        <f>ROUND((G478+G479+G481+G480+F486)*0.2,2)</f>
        <v>616.03</v>
      </c>
      <c r="G487" s="633">
        <f>ROUND((G478+G479+G481+G480+G486)*0.2,2)</f>
        <v>647.82000000000005</v>
      </c>
      <c r="H487" s="10"/>
    </row>
    <row r="488" spans="1:11" hidden="1">
      <c r="A488" s="128"/>
      <c r="B488" s="128"/>
      <c r="C488" s="557" t="s">
        <v>86</v>
      </c>
      <c r="D488" s="128"/>
      <c r="E488" s="210">
        <f>SUM(E484:E487)</f>
        <v>6487.56</v>
      </c>
      <c r="F488" s="209">
        <f>SUM(F484:F487)</f>
        <v>7262.62</v>
      </c>
      <c r="G488" s="209">
        <f>SUM(G484:G487)</f>
        <v>7453.36</v>
      </c>
      <c r="H488" s="10"/>
    </row>
    <row r="489" spans="1:11" ht="89.25">
      <c r="A489" s="81">
        <v>12</v>
      </c>
      <c r="B489" s="207" t="s">
        <v>87</v>
      </c>
      <c r="C489" s="473" t="s">
        <v>1097</v>
      </c>
      <c r="D489" s="128"/>
      <c r="E489" s="128"/>
      <c r="F489" s="128"/>
      <c r="G489" s="207"/>
    </row>
    <row r="490" spans="1:11">
      <c r="A490" s="81"/>
      <c r="B490" s="207"/>
      <c r="C490" s="557" t="s">
        <v>42</v>
      </c>
      <c r="D490" s="128"/>
      <c r="E490" s="128"/>
      <c r="F490" s="128"/>
      <c r="G490" s="204"/>
    </row>
    <row r="491" spans="1:11">
      <c r="A491" s="81"/>
      <c r="B491" s="207"/>
      <c r="C491" s="557" t="s">
        <v>60</v>
      </c>
      <c r="D491" s="207"/>
      <c r="E491" s="207"/>
      <c r="F491" s="207"/>
      <c r="G491" s="204"/>
    </row>
    <row r="492" spans="1:11">
      <c r="A492" s="81"/>
      <c r="B492" s="207"/>
      <c r="C492" s="473" t="s">
        <v>43</v>
      </c>
      <c r="D492" s="128" t="s">
        <v>35</v>
      </c>
      <c r="E492" s="208">
        <v>0.15</v>
      </c>
      <c r="F492" s="208">
        <f>G10</f>
        <v>3208.16</v>
      </c>
      <c r="G492" s="125">
        <f>ROUND(E492*F492,2)</f>
        <v>481.22</v>
      </c>
    </row>
    <row r="493" spans="1:11">
      <c r="A493" s="128"/>
      <c r="B493" s="128"/>
      <c r="C493" s="557" t="s">
        <v>68</v>
      </c>
      <c r="D493" s="128"/>
      <c r="E493" s="208"/>
      <c r="F493" s="208"/>
      <c r="G493" s="125"/>
    </row>
    <row r="494" spans="1:11">
      <c r="A494" s="128"/>
      <c r="B494" s="128"/>
      <c r="C494" s="473" t="s">
        <v>64</v>
      </c>
      <c r="D494" s="128" t="s">
        <v>27</v>
      </c>
      <c r="E494" s="208">
        <v>0.45</v>
      </c>
      <c r="F494" s="208">
        <f>'MINI SSR 2024-25'!$H$3</f>
        <v>710</v>
      </c>
      <c r="G494" s="125">
        <f>ROUND(E494*F494,2)</f>
        <v>319.5</v>
      </c>
      <c r="K494" s="19">
        <f>G494</f>
        <v>319.5</v>
      </c>
    </row>
    <row r="495" spans="1:11">
      <c r="A495" s="128"/>
      <c r="B495" s="128"/>
      <c r="C495" s="473" t="s">
        <v>69</v>
      </c>
      <c r="D495" s="128" t="s">
        <v>27</v>
      </c>
      <c r="E495" s="208">
        <v>1.05</v>
      </c>
      <c r="F495" s="208">
        <f>'MINI SSR 2024-25'!$H$4</f>
        <v>640</v>
      </c>
      <c r="G495" s="125">
        <f>ROUND(E495*F495,2)</f>
        <v>672</v>
      </c>
      <c r="H495" s="10"/>
      <c r="K495" s="19">
        <f>G495</f>
        <v>672</v>
      </c>
    </row>
    <row r="496" spans="1:11">
      <c r="A496" s="128"/>
      <c r="B496" s="128"/>
      <c r="C496" s="473" t="s">
        <v>85</v>
      </c>
      <c r="D496" s="128" t="s">
        <v>27</v>
      </c>
      <c r="E496" s="208">
        <v>2.8</v>
      </c>
      <c r="F496" s="208">
        <f>'MINI SSR 2024-25'!$H$5</f>
        <v>595</v>
      </c>
      <c r="G496" s="125">
        <f>ROUND(E496*F496,2)</f>
        <v>1666</v>
      </c>
      <c r="K496" s="19">
        <f>G496</f>
        <v>1666</v>
      </c>
    </row>
    <row r="497" spans="1:11">
      <c r="A497" s="128"/>
      <c r="B497" s="128"/>
      <c r="C497" s="557" t="s">
        <v>88</v>
      </c>
      <c r="D497" s="128"/>
      <c r="E497" s="128"/>
      <c r="F497" s="128"/>
      <c r="G497" s="131">
        <f>SUM(G492:G496)</f>
        <v>3138.7200000000003</v>
      </c>
      <c r="K497" s="645">
        <f>SUM(K494:K496)</f>
        <v>2657.5</v>
      </c>
    </row>
    <row r="498" spans="1:11">
      <c r="A498" s="128"/>
      <c r="B498" s="128"/>
      <c r="C498" s="557"/>
      <c r="D498" s="128"/>
      <c r="E498" s="207" t="s">
        <v>163</v>
      </c>
      <c r="F498" s="207" t="s">
        <v>164</v>
      </c>
      <c r="G498" s="210" t="s">
        <v>165</v>
      </c>
      <c r="H498" s="10"/>
    </row>
    <row r="499" spans="1:11">
      <c r="A499" s="128"/>
      <c r="B499" s="128"/>
      <c r="C499" s="557" t="s">
        <v>1068</v>
      </c>
      <c r="D499" s="128"/>
      <c r="E499" s="208">
        <f>G497</f>
        <v>3138.7200000000003</v>
      </c>
      <c r="F499" s="208">
        <f>G497</f>
        <v>3138.7200000000003</v>
      </c>
      <c r="G499" s="204">
        <f>G497</f>
        <v>3138.7200000000003</v>
      </c>
      <c r="H499" s="10"/>
    </row>
    <row r="500" spans="1:11">
      <c r="A500" s="128"/>
      <c r="B500" s="128"/>
      <c r="C500" s="473" t="s">
        <v>1532</v>
      </c>
      <c r="D500" s="208">
        <v>10</v>
      </c>
      <c r="E500" s="208">
        <f>ROUND($D$500*'MINI SSR 2024-25'!E33,2)</f>
        <v>25.7</v>
      </c>
      <c r="F500" s="208">
        <f>E500</f>
        <v>25.7</v>
      </c>
      <c r="G500" s="204">
        <f>E500</f>
        <v>25.7</v>
      </c>
      <c r="H500" s="10"/>
    </row>
    <row r="501" spans="1:11">
      <c r="A501" s="128"/>
      <c r="B501" s="128"/>
      <c r="C501" s="473" t="s">
        <v>1527</v>
      </c>
      <c r="D501" s="208">
        <v>10</v>
      </c>
      <c r="E501" s="208">
        <f>ROUND($D$501*'MINI SSR 2024-25'!F33,2)</f>
        <v>169.4</v>
      </c>
      <c r="F501" s="208">
        <f>ROUND($D$501*'MINI SSR 2024-25'!G33,2)</f>
        <v>240.4</v>
      </c>
      <c r="G501" s="204">
        <f>ROUND($D$501*'MINI SSR 2024-25'!H33,2)</f>
        <v>311.3</v>
      </c>
      <c r="H501" s="10"/>
    </row>
    <row r="502" spans="1:11" ht="25.5">
      <c r="A502" s="128"/>
      <c r="B502" s="128"/>
      <c r="C502" s="473" t="s">
        <v>1079</v>
      </c>
      <c r="D502" s="128"/>
      <c r="E502" s="128"/>
      <c r="F502" s="208">
        <f>ROUND((G494+G495+G496+F501)*0.1,2)</f>
        <v>289.79000000000002</v>
      </c>
      <c r="G502" s="204">
        <f>ROUND((G494+G495+G496+G501)*0.2,2)</f>
        <v>593.76</v>
      </c>
      <c r="H502" s="10"/>
    </row>
    <row r="503" spans="1:11">
      <c r="A503" s="128"/>
      <c r="B503" s="128"/>
      <c r="C503" s="473" t="s">
        <v>2194</v>
      </c>
      <c r="D503" s="128"/>
      <c r="E503" s="208">
        <f>ROUND((E499+E500+E501+E502)*$C$3,2)</f>
        <v>453.9</v>
      </c>
      <c r="F503" s="208">
        <f>ROUND((F499+F500+F501+F502)*$C$3,2)</f>
        <v>503.02</v>
      </c>
      <c r="G503" s="208">
        <f>ROUND((G499+G500+G501+G502)*$C$3,2)</f>
        <v>554.05999999999995</v>
      </c>
      <c r="H503" s="10"/>
    </row>
    <row r="504" spans="1:11">
      <c r="A504" s="128"/>
      <c r="B504" s="128"/>
      <c r="C504" s="557" t="s">
        <v>88</v>
      </c>
      <c r="D504" s="128"/>
      <c r="E504" s="208">
        <f>SUM(E499:E503)</f>
        <v>3787.7200000000003</v>
      </c>
      <c r="F504" s="208">
        <f>SUM(F499:F503)</f>
        <v>4197.63</v>
      </c>
      <c r="G504" s="208">
        <f>SUM(G499:G503)</f>
        <v>4623.5400000000009</v>
      </c>
      <c r="H504" s="10"/>
    </row>
    <row r="505" spans="1:11">
      <c r="A505" s="128"/>
      <c r="B505" s="128"/>
      <c r="C505" s="557" t="s">
        <v>119</v>
      </c>
      <c r="D505" s="128"/>
      <c r="E505" s="210">
        <f>ROUND(E504/10,2)</f>
        <v>378.77</v>
      </c>
      <c r="F505" s="210">
        <f>ROUND(F504/10,2)</f>
        <v>419.76</v>
      </c>
      <c r="G505" s="209">
        <f>ROUND(G504/10,2)</f>
        <v>462.35</v>
      </c>
      <c r="H505" s="165"/>
    </row>
    <row r="506" spans="1:11" ht="89.25" hidden="1">
      <c r="A506" s="81">
        <v>7</v>
      </c>
      <c r="B506" s="207" t="s">
        <v>89</v>
      </c>
      <c r="C506" s="473" t="s">
        <v>1098</v>
      </c>
      <c r="D506" s="128"/>
      <c r="E506" s="128"/>
      <c r="F506" s="128"/>
      <c r="G506" s="207"/>
    </row>
    <row r="507" spans="1:11" hidden="1">
      <c r="A507" s="81"/>
      <c r="B507" s="207"/>
      <c r="C507" s="557" t="s">
        <v>42</v>
      </c>
      <c r="D507" s="128"/>
      <c r="E507" s="128"/>
      <c r="F507" s="128"/>
      <c r="G507" s="204"/>
    </row>
    <row r="508" spans="1:11" hidden="1">
      <c r="A508" s="81"/>
      <c r="B508" s="207"/>
      <c r="C508" s="557" t="s">
        <v>60</v>
      </c>
      <c r="D508" s="207"/>
      <c r="E508" s="207"/>
      <c r="F508" s="207"/>
      <c r="G508" s="204"/>
    </row>
    <row r="509" spans="1:11" hidden="1">
      <c r="A509" s="81"/>
      <c r="B509" s="207"/>
      <c r="C509" s="473" t="s">
        <v>48</v>
      </c>
      <c r="D509" s="128" t="s">
        <v>35</v>
      </c>
      <c r="E509" s="208">
        <v>0.15</v>
      </c>
      <c r="F509" s="208">
        <f>G20</f>
        <v>2398.15</v>
      </c>
      <c r="G509" s="125">
        <f>ROUND(E509*F509,2)</f>
        <v>359.72</v>
      </c>
    </row>
    <row r="510" spans="1:11" hidden="1">
      <c r="A510" s="128"/>
      <c r="B510" s="128"/>
      <c r="C510" s="557" t="s">
        <v>68</v>
      </c>
      <c r="D510" s="128"/>
      <c r="E510" s="208"/>
      <c r="F510" s="208"/>
      <c r="G510" s="125"/>
    </row>
    <row r="511" spans="1:11" hidden="1">
      <c r="A511" s="128"/>
      <c r="B511" s="128"/>
      <c r="C511" s="473" t="s">
        <v>64</v>
      </c>
      <c r="D511" s="128" t="s">
        <v>27</v>
      </c>
      <c r="E511" s="208">
        <v>0.45</v>
      </c>
      <c r="F511" s="208">
        <f>'MINI SSR 2024-25'!$H$3</f>
        <v>710</v>
      </c>
      <c r="G511" s="125">
        <f>ROUND(E511*F511,2)</f>
        <v>319.5</v>
      </c>
      <c r="K511" s="19"/>
    </row>
    <row r="512" spans="1:11" hidden="1">
      <c r="A512" s="128"/>
      <c r="B512" s="128"/>
      <c r="C512" s="473" t="s">
        <v>69</v>
      </c>
      <c r="D512" s="128" t="s">
        <v>27</v>
      </c>
      <c r="E512" s="208">
        <v>1.05</v>
      </c>
      <c r="F512" s="208">
        <f>'MINI SSR 2024-25'!$H$4</f>
        <v>640</v>
      </c>
      <c r="G512" s="125">
        <f>ROUND(E512*F512,2)</f>
        <v>672</v>
      </c>
      <c r="H512" s="10"/>
      <c r="K512" s="19"/>
    </row>
    <row r="513" spans="1:11" hidden="1">
      <c r="A513" s="128"/>
      <c r="B513" s="128"/>
      <c r="C513" s="473" t="s">
        <v>85</v>
      </c>
      <c r="D513" s="128" t="s">
        <v>27</v>
      </c>
      <c r="E513" s="208">
        <v>2.8</v>
      </c>
      <c r="F513" s="208">
        <f>'MINI SSR 2024-25'!$H$5</f>
        <v>595</v>
      </c>
      <c r="G513" s="125">
        <f>ROUND(E513*F513,2)</f>
        <v>1666</v>
      </c>
      <c r="K513" s="19"/>
    </row>
    <row r="514" spans="1:11" hidden="1">
      <c r="A514" s="128"/>
      <c r="B514" s="128"/>
      <c r="C514" s="557" t="s">
        <v>88</v>
      </c>
      <c r="D514" s="128"/>
      <c r="E514" s="128"/>
      <c r="F514" s="128"/>
      <c r="G514" s="209">
        <f>SUM(G509:G513)</f>
        <v>3017.2200000000003</v>
      </c>
      <c r="K514" s="645"/>
    </row>
    <row r="515" spans="1:11" hidden="1">
      <c r="A515" s="128"/>
      <c r="B515" s="128"/>
      <c r="C515" s="557"/>
      <c r="D515" s="128"/>
      <c r="E515" s="207" t="s">
        <v>163</v>
      </c>
      <c r="F515" s="207" t="s">
        <v>164</v>
      </c>
      <c r="G515" s="210" t="s">
        <v>165</v>
      </c>
      <c r="H515" s="10"/>
    </row>
    <row r="516" spans="1:11" hidden="1">
      <c r="A516" s="128"/>
      <c r="B516" s="128"/>
      <c r="C516" s="557" t="s">
        <v>1068</v>
      </c>
      <c r="D516" s="128"/>
      <c r="E516" s="208">
        <f>G514</f>
        <v>3017.2200000000003</v>
      </c>
      <c r="F516" s="208">
        <f>G514</f>
        <v>3017.2200000000003</v>
      </c>
      <c r="G516" s="204">
        <f>G514</f>
        <v>3017.2200000000003</v>
      </c>
      <c r="H516" s="10"/>
    </row>
    <row r="517" spans="1:11" hidden="1">
      <c r="A517" s="128"/>
      <c r="B517" s="128"/>
      <c r="C517" s="473" t="s">
        <v>1528</v>
      </c>
      <c r="D517" s="208">
        <v>10</v>
      </c>
      <c r="E517" s="208">
        <f>ROUND($D$517*'MINI SSR 2024-25'!E36,2)</f>
        <v>10.8</v>
      </c>
      <c r="F517" s="208">
        <f>E517</f>
        <v>10.8</v>
      </c>
      <c r="G517" s="204">
        <f>E517</f>
        <v>10.8</v>
      </c>
      <c r="H517" s="10"/>
    </row>
    <row r="518" spans="1:11" hidden="1">
      <c r="A518" s="128"/>
      <c r="B518" s="128"/>
      <c r="C518" s="473" t="s">
        <v>1527</v>
      </c>
      <c r="D518" s="208">
        <v>10</v>
      </c>
      <c r="E518" s="208">
        <f>ROUND($D$518*'MINI SSR 2024-25'!F36,2)</f>
        <v>84.7</v>
      </c>
      <c r="F518" s="208">
        <f>ROUND($D$518*'MINI SSR 2024-25'!G36,2)</f>
        <v>121.2</v>
      </c>
      <c r="G518" s="204">
        <f>ROUND($D$518*'MINI SSR 2024-25'!H36,2)</f>
        <v>157.69999999999999</v>
      </c>
      <c r="H518" s="10"/>
    </row>
    <row r="519" spans="1:11" ht="25.5" hidden="1">
      <c r="A519" s="128"/>
      <c r="B519" s="128"/>
      <c r="C519" s="473" t="s">
        <v>1079</v>
      </c>
      <c r="D519" s="128"/>
      <c r="E519" s="128"/>
      <c r="F519" s="208">
        <f>ROUND((G511+G512+G513+F518)*0.1,2)</f>
        <v>277.87</v>
      </c>
      <c r="G519" s="204">
        <f>ROUND((G511+G512+G513+G518)*0.2,2)</f>
        <v>563.04</v>
      </c>
      <c r="H519" s="10"/>
    </row>
    <row r="520" spans="1:11" hidden="1">
      <c r="A520" s="128"/>
      <c r="B520" s="128"/>
      <c r="C520" s="473" t="s">
        <v>2194</v>
      </c>
      <c r="D520" s="128"/>
      <c r="E520" s="204">
        <v>0</v>
      </c>
      <c r="F520" s="204">
        <v>0</v>
      </c>
      <c r="G520" s="204">
        <v>0</v>
      </c>
      <c r="H520" s="10"/>
    </row>
    <row r="521" spans="1:11" hidden="1">
      <c r="A521" s="128"/>
      <c r="B521" s="128"/>
      <c r="C521" s="557" t="s">
        <v>88</v>
      </c>
      <c r="D521" s="128"/>
      <c r="E521" s="208">
        <f>SUM(E516:E520)</f>
        <v>3112.7200000000003</v>
      </c>
      <c r="F521" s="208">
        <f>SUM(F516:F520)</f>
        <v>3427.09</v>
      </c>
      <c r="G521" s="208">
        <f>SUM(G516:G520)</f>
        <v>3748.76</v>
      </c>
      <c r="H521" s="10"/>
    </row>
    <row r="522" spans="1:11" hidden="1">
      <c r="A522" s="128"/>
      <c r="B522" s="128"/>
      <c r="C522" s="557" t="s">
        <v>119</v>
      </c>
      <c r="D522" s="128"/>
      <c r="E522" s="210">
        <f>ROUND(E521/10,2)</f>
        <v>311.27</v>
      </c>
      <c r="F522" s="210">
        <f>ROUND(F521/10,2)</f>
        <v>342.71</v>
      </c>
      <c r="G522" s="209">
        <f>ROUND(G521/10,2)</f>
        <v>374.88</v>
      </c>
      <c r="H522" s="165"/>
    </row>
    <row r="523" spans="1:11" ht="89.25" hidden="1">
      <c r="A523" s="81">
        <v>8</v>
      </c>
      <c r="B523" s="207" t="s">
        <v>89</v>
      </c>
      <c r="C523" s="473" t="s">
        <v>1099</v>
      </c>
      <c r="D523" s="128"/>
      <c r="E523" s="128"/>
      <c r="F523" s="128"/>
      <c r="G523" s="207"/>
    </row>
    <row r="524" spans="1:11" hidden="1">
      <c r="A524" s="81"/>
      <c r="B524" s="207"/>
      <c r="C524" s="557" t="s">
        <v>42</v>
      </c>
      <c r="D524" s="128"/>
      <c r="E524" s="128"/>
      <c r="F524" s="128"/>
      <c r="G524" s="204"/>
    </row>
    <row r="525" spans="1:11" hidden="1">
      <c r="A525" s="81"/>
      <c r="B525" s="207"/>
      <c r="C525" s="557" t="s">
        <v>60</v>
      </c>
      <c r="D525" s="128"/>
      <c r="E525" s="128"/>
      <c r="F525" s="128"/>
      <c r="G525" s="204"/>
    </row>
    <row r="526" spans="1:11" hidden="1">
      <c r="A526" s="81"/>
      <c r="B526" s="207"/>
      <c r="C526" s="473" t="s">
        <v>48</v>
      </c>
      <c r="D526" s="128" t="s">
        <v>35</v>
      </c>
      <c r="E526" s="208">
        <v>0.21</v>
      </c>
      <c r="F526" s="208">
        <f>G20</f>
        <v>2398.15</v>
      </c>
      <c r="G526" s="125">
        <f>ROUND(E526*F526,2)</f>
        <v>503.61</v>
      </c>
    </row>
    <row r="527" spans="1:11" hidden="1">
      <c r="A527" s="128"/>
      <c r="B527" s="128"/>
      <c r="C527" s="557" t="s">
        <v>68</v>
      </c>
      <c r="D527" s="128"/>
      <c r="E527" s="208"/>
      <c r="F527" s="208"/>
      <c r="G527" s="125"/>
    </row>
    <row r="528" spans="1:11" hidden="1">
      <c r="A528" s="128"/>
      <c r="B528" s="128"/>
      <c r="C528" s="473" t="s">
        <v>64</v>
      </c>
      <c r="D528" s="128" t="s">
        <v>27</v>
      </c>
      <c r="E528" s="208">
        <v>0.45</v>
      </c>
      <c r="F528" s="208">
        <f>'MINI SSR 2024-25'!$H$3</f>
        <v>710</v>
      </c>
      <c r="G528" s="125">
        <f>ROUND(E528*F528,2)</f>
        <v>319.5</v>
      </c>
      <c r="K528" s="19">
        <f>G528</f>
        <v>319.5</v>
      </c>
    </row>
    <row r="529" spans="1:11" hidden="1">
      <c r="A529" s="128"/>
      <c r="B529" s="128"/>
      <c r="C529" s="473" t="s">
        <v>69</v>
      </c>
      <c r="D529" s="128" t="s">
        <v>27</v>
      </c>
      <c r="E529" s="208">
        <v>1.05</v>
      </c>
      <c r="F529" s="208">
        <f>'MINI SSR 2024-25'!$H$4</f>
        <v>640</v>
      </c>
      <c r="G529" s="125">
        <f>ROUND(E529*F529,2)</f>
        <v>672</v>
      </c>
      <c r="H529" s="10"/>
      <c r="K529" s="19">
        <f>G529</f>
        <v>672</v>
      </c>
    </row>
    <row r="530" spans="1:11" hidden="1">
      <c r="A530" s="128"/>
      <c r="B530" s="128"/>
      <c r="C530" s="473" t="s">
        <v>85</v>
      </c>
      <c r="D530" s="128" t="s">
        <v>27</v>
      </c>
      <c r="E530" s="208">
        <v>2.8</v>
      </c>
      <c r="F530" s="208">
        <f>'MINI SSR 2024-25'!$H$5</f>
        <v>595</v>
      </c>
      <c r="G530" s="125">
        <f>ROUND(E530*F530,2)</f>
        <v>1666</v>
      </c>
      <c r="K530" s="19">
        <f>G530</f>
        <v>1666</v>
      </c>
    </row>
    <row r="531" spans="1:11" hidden="1">
      <c r="A531" s="128"/>
      <c r="B531" s="128"/>
      <c r="C531" s="557" t="s">
        <v>88</v>
      </c>
      <c r="D531" s="128"/>
      <c r="E531" s="128"/>
      <c r="F531" s="128"/>
      <c r="G531" s="209">
        <f>SUM(G526:G530)</f>
        <v>3161.11</v>
      </c>
      <c r="K531" s="645">
        <f>SUM(K528:K530)</f>
        <v>2657.5</v>
      </c>
    </row>
    <row r="532" spans="1:11" hidden="1">
      <c r="A532" s="128"/>
      <c r="B532" s="128"/>
      <c r="C532" s="557"/>
      <c r="D532" s="128"/>
      <c r="E532" s="207" t="s">
        <v>163</v>
      </c>
      <c r="F532" s="207" t="s">
        <v>164</v>
      </c>
      <c r="G532" s="210" t="s">
        <v>165</v>
      </c>
      <c r="H532" s="10"/>
    </row>
    <row r="533" spans="1:11" hidden="1">
      <c r="A533" s="128"/>
      <c r="B533" s="128"/>
      <c r="C533" s="557" t="s">
        <v>1068</v>
      </c>
      <c r="D533" s="128"/>
      <c r="E533" s="208">
        <f>G531</f>
        <v>3161.11</v>
      </c>
      <c r="F533" s="208">
        <f>G531</f>
        <v>3161.11</v>
      </c>
      <c r="G533" s="204">
        <f>G531</f>
        <v>3161.11</v>
      </c>
      <c r="H533" s="10"/>
    </row>
    <row r="534" spans="1:11" hidden="1">
      <c r="A534" s="128"/>
      <c r="B534" s="128"/>
      <c r="C534" s="473" t="s">
        <v>1528</v>
      </c>
      <c r="D534" s="208">
        <v>10</v>
      </c>
      <c r="E534" s="208">
        <f>ROUND($D$517*'MINI SSR 2024-25'!$E$36,2)</f>
        <v>10.8</v>
      </c>
      <c r="F534" s="208">
        <f>E534</f>
        <v>10.8</v>
      </c>
      <c r="G534" s="204">
        <f>E534</f>
        <v>10.8</v>
      </c>
      <c r="H534" s="10"/>
    </row>
    <row r="535" spans="1:11" hidden="1">
      <c r="A535" s="128"/>
      <c r="B535" s="128"/>
      <c r="C535" s="473" t="s">
        <v>1527</v>
      </c>
      <c r="D535" s="208">
        <v>10</v>
      </c>
      <c r="E535" s="208">
        <f>ROUND($D$518*'MINI SSR 2024-25'!$F$36,2)</f>
        <v>84.7</v>
      </c>
      <c r="F535" s="208">
        <f>ROUND($D$518*'MINI SSR 2024-25'!$G$36,2)</f>
        <v>121.2</v>
      </c>
      <c r="G535" s="204">
        <f>ROUND($D$518*'MINI SSR 2024-25'!$H$36,2)</f>
        <v>157.69999999999999</v>
      </c>
      <c r="H535" s="10"/>
    </row>
    <row r="536" spans="1:11" ht="25.5" hidden="1">
      <c r="A536" s="128"/>
      <c r="B536" s="128"/>
      <c r="C536" s="473" t="s">
        <v>1079</v>
      </c>
      <c r="D536" s="128"/>
      <c r="E536" s="128"/>
      <c r="F536" s="208">
        <f>ROUND((G528+G529+G530+F535)*0.1,2)</f>
        <v>277.87</v>
      </c>
      <c r="G536" s="204">
        <f>ROUND((G528+G529+G530+G535)*0.2,2)</f>
        <v>563.04</v>
      </c>
      <c r="H536" s="10"/>
    </row>
    <row r="537" spans="1:11" hidden="1">
      <c r="A537" s="128"/>
      <c r="B537" s="128"/>
      <c r="C537" s="473" t="s">
        <v>2194</v>
      </c>
      <c r="D537" s="128"/>
      <c r="E537" s="204">
        <v>0</v>
      </c>
      <c r="F537" s="204">
        <v>0</v>
      </c>
      <c r="G537" s="204">
        <v>0</v>
      </c>
      <c r="H537" s="10"/>
    </row>
    <row r="538" spans="1:11" hidden="1">
      <c r="A538" s="128"/>
      <c r="B538" s="128"/>
      <c r="C538" s="557" t="s">
        <v>88</v>
      </c>
      <c r="D538" s="128"/>
      <c r="E538" s="208">
        <f>SUM(E533:E537)</f>
        <v>3256.61</v>
      </c>
      <c r="F538" s="208">
        <f>SUM(F533:F537)</f>
        <v>3570.98</v>
      </c>
      <c r="G538" s="208">
        <f>SUM(G533:G537)</f>
        <v>3892.65</v>
      </c>
      <c r="H538" s="10"/>
    </row>
    <row r="539" spans="1:11" hidden="1">
      <c r="A539" s="128"/>
      <c r="B539" s="128"/>
      <c r="C539" s="557" t="s">
        <v>119</v>
      </c>
      <c r="D539" s="128"/>
      <c r="E539" s="210">
        <f>ROUND(E538/10,2)</f>
        <v>325.66000000000003</v>
      </c>
      <c r="F539" s="210">
        <f>ROUND(F538/10,2)</f>
        <v>357.1</v>
      </c>
      <c r="G539" s="209">
        <f>ROUND(G538/10,2)</f>
        <v>389.27</v>
      </c>
      <c r="H539" s="165"/>
    </row>
    <row r="540" spans="1:11" ht="89.25" hidden="1">
      <c r="A540" s="81">
        <v>34</v>
      </c>
      <c r="B540" s="207" t="s">
        <v>89</v>
      </c>
      <c r="C540" s="473" t="s">
        <v>1100</v>
      </c>
      <c r="D540" s="128"/>
      <c r="E540" s="128"/>
      <c r="F540" s="128"/>
      <c r="G540" s="207" t="s">
        <v>89</v>
      </c>
    </row>
    <row r="541" spans="1:11" hidden="1">
      <c r="A541" s="81"/>
      <c r="B541" s="207"/>
      <c r="C541" s="557" t="s">
        <v>42</v>
      </c>
      <c r="D541" s="128"/>
      <c r="E541" s="128"/>
      <c r="F541" s="128"/>
      <c r="G541" s="204"/>
    </row>
    <row r="542" spans="1:11" hidden="1">
      <c r="A542" s="81"/>
      <c r="B542" s="207"/>
      <c r="C542" s="557" t="s">
        <v>60</v>
      </c>
      <c r="D542" s="128"/>
      <c r="E542" s="128"/>
      <c r="F542" s="128"/>
      <c r="G542" s="204"/>
    </row>
    <row r="543" spans="1:11" hidden="1">
      <c r="A543" s="81"/>
      <c r="B543" s="207"/>
      <c r="C543" s="473" t="s">
        <v>43</v>
      </c>
      <c r="D543" s="128" t="s">
        <v>35</v>
      </c>
      <c r="E543" s="208">
        <v>0.21</v>
      </c>
      <c r="F543" s="208">
        <f>G10</f>
        <v>3208.16</v>
      </c>
      <c r="G543" s="125">
        <f>ROUND(E543*F543,2)</f>
        <v>673.71</v>
      </c>
    </row>
    <row r="544" spans="1:11" hidden="1">
      <c r="A544" s="128"/>
      <c r="B544" s="128"/>
      <c r="C544" s="557" t="s">
        <v>68</v>
      </c>
      <c r="D544" s="128"/>
      <c r="E544" s="208"/>
      <c r="F544" s="208"/>
      <c r="G544" s="125"/>
    </row>
    <row r="545" spans="1:11" hidden="1">
      <c r="A545" s="128"/>
      <c r="B545" s="128"/>
      <c r="C545" s="473" t="s">
        <v>64</v>
      </c>
      <c r="D545" s="128" t="s">
        <v>27</v>
      </c>
      <c r="E545" s="208">
        <v>0.45</v>
      </c>
      <c r="F545" s="208">
        <f>'MINI SSR 2024-25'!$H$3</f>
        <v>710</v>
      </c>
      <c r="G545" s="125">
        <f>ROUND(E545*F545,2)</f>
        <v>319.5</v>
      </c>
      <c r="K545" s="19">
        <f>G545</f>
        <v>319.5</v>
      </c>
    </row>
    <row r="546" spans="1:11" hidden="1">
      <c r="A546" s="128"/>
      <c r="B546" s="128"/>
      <c r="C546" s="473" t="s">
        <v>69</v>
      </c>
      <c r="D546" s="128" t="s">
        <v>27</v>
      </c>
      <c r="E546" s="208">
        <v>1.05</v>
      </c>
      <c r="F546" s="208">
        <f>'MINI SSR 2024-25'!$H$4</f>
        <v>640</v>
      </c>
      <c r="G546" s="125">
        <f>ROUND(E546*F546,2)</f>
        <v>672</v>
      </c>
      <c r="H546" s="10"/>
      <c r="K546" s="19">
        <f>G546</f>
        <v>672</v>
      </c>
    </row>
    <row r="547" spans="1:11" hidden="1">
      <c r="A547" s="128"/>
      <c r="B547" s="128"/>
      <c r="C547" s="473" t="s">
        <v>85</v>
      </c>
      <c r="D547" s="128" t="s">
        <v>27</v>
      </c>
      <c r="E547" s="208">
        <v>2.8</v>
      </c>
      <c r="F547" s="208">
        <f>'MINI SSR 2024-25'!$H$5</f>
        <v>595</v>
      </c>
      <c r="G547" s="125">
        <f>ROUND(E547*F547,2)</f>
        <v>1666</v>
      </c>
      <c r="K547" s="19">
        <f>G547</f>
        <v>1666</v>
      </c>
    </row>
    <row r="548" spans="1:11" hidden="1">
      <c r="A548" s="128"/>
      <c r="B548" s="128"/>
      <c r="C548" s="557" t="s">
        <v>88</v>
      </c>
      <c r="D548" s="128"/>
      <c r="E548" s="128"/>
      <c r="F548" s="128"/>
      <c r="G548" s="209">
        <f>SUM(G543:G547)</f>
        <v>3331.21</v>
      </c>
      <c r="K548" s="645">
        <f>SUM(K545:K547)</f>
        <v>2657.5</v>
      </c>
    </row>
    <row r="549" spans="1:11" hidden="1">
      <c r="A549" s="128"/>
      <c r="B549" s="128"/>
      <c r="C549" s="557"/>
      <c r="D549" s="128"/>
      <c r="E549" s="207" t="s">
        <v>163</v>
      </c>
      <c r="F549" s="207" t="s">
        <v>164</v>
      </c>
      <c r="G549" s="210" t="s">
        <v>165</v>
      </c>
      <c r="H549" s="10"/>
    </row>
    <row r="550" spans="1:11" hidden="1">
      <c r="A550" s="128"/>
      <c r="B550" s="128"/>
      <c r="C550" s="557" t="s">
        <v>1068</v>
      </c>
      <c r="D550" s="128"/>
      <c r="E550" s="208">
        <f>G548</f>
        <v>3331.21</v>
      </c>
      <c r="F550" s="208">
        <f>G548</f>
        <v>3331.21</v>
      </c>
      <c r="G550" s="204">
        <f>G548</f>
        <v>3331.21</v>
      </c>
      <c r="H550" s="10"/>
    </row>
    <row r="551" spans="1:11" hidden="1">
      <c r="A551" s="128"/>
      <c r="B551" s="128"/>
      <c r="C551" s="473" t="s">
        <v>1528</v>
      </c>
      <c r="D551" s="208">
        <v>10</v>
      </c>
      <c r="E551" s="208">
        <f>ROUND($D$517*'MINI SSR 2024-25'!$E$36,2)</f>
        <v>10.8</v>
      </c>
      <c r="F551" s="208">
        <f>E551</f>
        <v>10.8</v>
      </c>
      <c r="G551" s="204">
        <f>E551</f>
        <v>10.8</v>
      </c>
      <c r="H551" s="10"/>
    </row>
    <row r="552" spans="1:11" hidden="1">
      <c r="A552" s="128"/>
      <c r="B552" s="128"/>
      <c r="C552" s="473" t="s">
        <v>1527</v>
      </c>
      <c r="D552" s="208">
        <v>10</v>
      </c>
      <c r="E552" s="208">
        <f>ROUND($D$518*'MINI SSR 2024-25'!$F$36,2)</f>
        <v>84.7</v>
      </c>
      <c r="F552" s="208">
        <f>ROUND($D$518*'MINI SSR 2024-25'!$G$36,2)</f>
        <v>121.2</v>
      </c>
      <c r="G552" s="204">
        <f>ROUND($D$518*'MINI SSR 2024-25'!$H$36,2)</f>
        <v>157.69999999999999</v>
      </c>
      <c r="H552" s="10"/>
    </row>
    <row r="553" spans="1:11" ht="25.5" hidden="1">
      <c r="A553" s="128"/>
      <c r="B553" s="128"/>
      <c r="C553" s="473" t="s">
        <v>1079</v>
      </c>
      <c r="D553" s="128"/>
      <c r="E553" s="128"/>
      <c r="F553" s="208">
        <f>ROUND((G545+G546+G547+F552)*0.1,2)</f>
        <v>277.87</v>
      </c>
      <c r="G553" s="204">
        <f>ROUND((G545+G546+G547+G552)*0.2,2)</f>
        <v>563.04</v>
      </c>
      <c r="H553" s="10"/>
    </row>
    <row r="554" spans="1:11" hidden="1">
      <c r="A554" s="128"/>
      <c r="B554" s="128"/>
      <c r="C554" s="557" t="s">
        <v>88</v>
      </c>
      <c r="D554" s="128"/>
      <c r="E554" s="208">
        <f>SUM(E550:E553)</f>
        <v>3426.71</v>
      </c>
      <c r="F554" s="208">
        <f>SUM(F550:F553)</f>
        <v>3741.08</v>
      </c>
      <c r="G554" s="204">
        <f>SUM(G550:G553)</f>
        <v>4062.75</v>
      </c>
      <c r="H554" s="10"/>
    </row>
    <row r="555" spans="1:11" hidden="1">
      <c r="A555" s="128"/>
      <c r="B555" s="128"/>
      <c r="C555" s="557" t="s">
        <v>119</v>
      </c>
      <c r="D555" s="128"/>
      <c r="E555" s="210">
        <f>ROUND(E554/10,2)</f>
        <v>342.67</v>
      </c>
      <c r="F555" s="210">
        <f>ROUND(F554/10,2)</f>
        <v>374.11</v>
      </c>
      <c r="G555" s="209">
        <f>ROUND(G554/10,2)</f>
        <v>406.28</v>
      </c>
      <c r="H555" s="165"/>
    </row>
    <row r="556" spans="1:11" ht="102">
      <c r="A556" s="81">
        <v>13</v>
      </c>
      <c r="B556" s="207" t="s">
        <v>1139</v>
      </c>
      <c r="C556" s="473" t="s">
        <v>747</v>
      </c>
      <c r="D556" s="128"/>
      <c r="E556" s="128"/>
      <c r="F556" s="128"/>
      <c r="G556" s="207"/>
    </row>
    <row r="557" spans="1:11">
      <c r="A557" s="81"/>
      <c r="B557" s="207"/>
      <c r="C557" s="557" t="s">
        <v>42</v>
      </c>
      <c r="D557" s="128"/>
      <c r="E557" s="128"/>
      <c r="F557" s="128"/>
      <c r="G557" s="204"/>
    </row>
    <row r="558" spans="1:11">
      <c r="A558" s="81"/>
      <c r="B558" s="207"/>
      <c r="C558" s="557" t="s">
        <v>308</v>
      </c>
      <c r="D558" s="128"/>
      <c r="E558" s="128"/>
      <c r="F558" s="128"/>
      <c r="G558" s="204"/>
    </row>
    <row r="559" spans="1:11">
      <c r="A559" s="81"/>
      <c r="B559" s="207"/>
      <c r="C559" s="473" t="s">
        <v>107</v>
      </c>
      <c r="D559" s="128" t="s">
        <v>4</v>
      </c>
      <c r="E559" s="208">
        <v>31.7</v>
      </c>
      <c r="F559" s="208">
        <f>'lead 24-25'!L8</f>
        <v>4218.8</v>
      </c>
      <c r="G559" s="125">
        <f>ROUND(E559*F559/1000,2)</f>
        <v>133.74</v>
      </c>
    </row>
    <row r="560" spans="1:11">
      <c r="A560" s="81"/>
      <c r="B560" s="207"/>
      <c r="C560" s="473" t="s">
        <v>309</v>
      </c>
      <c r="D560" s="128" t="s">
        <v>35</v>
      </c>
      <c r="E560" s="208">
        <v>0.11</v>
      </c>
      <c r="F560" s="208">
        <f>'lead 24-25'!L13</f>
        <v>1013.4699999999982</v>
      </c>
      <c r="G560" s="125">
        <f>ROUND(E560*F560,2)</f>
        <v>111.48</v>
      </c>
    </row>
    <row r="561" spans="1:11">
      <c r="A561" s="81"/>
      <c r="B561" s="207"/>
      <c r="C561" s="557" t="s">
        <v>310</v>
      </c>
      <c r="D561" s="128"/>
      <c r="E561" s="128"/>
      <c r="F561" s="128"/>
      <c r="G561" s="204"/>
    </row>
    <row r="562" spans="1:11">
      <c r="A562" s="81"/>
      <c r="B562" s="207"/>
      <c r="C562" s="473" t="s">
        <v>107</v>
      </c>
      <c r="D562" s="128" t="s">
        <v>4</v>
      </c>
      <c r="E562" s="208">
        <v>19.2</v>
      </c>
      <c r="F562" s="208">
        <f>F559</f>
        <v>4218.8</v>
      </c>
      <c r="G562" s="125">
        <f>ROUND(E562*F562/1000,2)</f>
        <v>81</v>
      </c>
    </row>
    <row r="563" spans="1:11">
      <c r="A563" s="81"/>
      <c r="B563" s="207"/>
      <c r="C563" s="473" t="s">
        <v>309</v>
      </c>
      <c r="D563" s="128" t="s">
        <v>35</v>
      </c>
      <c r="E563" s="208">
        <v>0.04</v>
      </c>
      <c r="F563" s="208">
        <f>F560</f>
        <v>1013.4699999999982</v>
      </c>
      <c r="G563" s="125">
        <f>ROUND(E563*F563,2)</f>
        <v>40.54</v>
      </c>
    </row>
    <row r="564" spans="1:11">
      <c r="A564" s="128"/>
      <c r="B564" s="128"/>
      <c r="C564" s="557" t="s">
        <v>68</v>
      </c>
      <c r="D564" s="128"/>
      <c r="E564" s="208"/>
      <c r="F564" s="208"/>
      <c r="G564" s="125"/>
    </row>
    <row r="565" spans="1:11">
      <c r="A565" s="128"/>
      <c r="B565" s="128"/>
      <c r="C565" s="473" t="s">
        <v>64</v>
      </c>
      <c r="D565" s="128" t="s">
        <v>27</v>
      </c>
      <c r="E565" s="208">
        <v>0.63</v>
      </c>
      <c r="F565" s="208">
        <f>'MINI SSR 2024-25'!$H$3</f>
        <v>710</v>
      </c>
      <c r="G565" s="125">
        <f>ROUND(E565*F565,2)</f>
        <v>447.3</v>
      </c>
      <c r="K565" s="19">
        <f>G565</f>
        <v>447.3</v>
      </c>
    </row>
    <row r="566" spans="1:11">
      <c r="A566" s="128"/>
      <c r="B566" s="128"/>
      <c r="C566" s="473" t="s">
        <v>69</v>
      </c>
      <c r="D566" s="128" t="s">
        <v>27</v>
      </c>
      <c r="E566" s="208">
        <v>1.47</v>
      </c>
      <c r="F566" s="208">
        <f>'MINI SSR 2024-25'!$H$4</f>
        <v>640</v>
      </c>
      <c r="G566" s="125">
        <f>ROUND(E566*F566,2)</f>
        <v>940.8</v>
      </c>
      <c r="H566" s="10"/>
      <c r="K566" s="19">
        <f>G566</f>
        <v>940.8</v>
      </c>
    </row>
    <row r="567" spans="1:11">
      <c r="A567" s="128"/>
      <c r="B567" s="128"/>
      <c r="C567" s="473" t="s">
        <v>85</v>
      </c>
      <c r="D567" s="128" t="s">
        <v>27</v>
      </c>
      <c r="E567" s="208">
        <v>3.9</v>
      </c>
      <c r="F567" s="208">
        <f>'MINI SSR 2024-25'!$H$5</f>
        <v>595</v>
      </c>
      <c r="G567" s="125">
        <f>ROUND(E567*F567,2)</f>
        <v>2320.5</v>
      </c>
      <c r="K567" s="19">
        <f>G567</f>
        <v>2320.5</v>
      </c>
    </row>
    <row r="568" spans="1:11">
      <c r="A568" s="128"/>
      <c r="B568" s="128"/>
      <c r="C568" s="557" t="s">
        <v>88</v>
      </c>
      <c r="D568" s="128"/>
      <c r="E568" s="128"/>
      <c r="F568" s="128"/>
      <c r="G568" s="209">
        <f>SUM(G559:G567)</f>
        <v>4075.36</v>
      </c>
      <c r="K568" s="645">
        <f>SUM(K565:K567)</f>
        <v>3708.6</v>
      </c>
    </row>
    <row r="569" spans="1:11">
      <c r="A569" s="128"/>
      <c r="B569" s="128"/>
      <c r="C569" s="557"/>
      <c r="D569" s="128"/>
      <c r="E569" s="207" t="s">
        <v>163</v>
      </c>
      <c r="F569" s="207" t="s">
        <v>164</v>
      </c>
      <c r="G569" s="210" t="s">
        <v>165</v>
      </c>
      <c r="H569" s="10"/>
    </row>
    <row r="570" spans="1:11">
      <c r="A570" s="128"/>
      <c r="B570" s="128"/>
      <c r="C570" s="557" t="s">
        <v>1068</v>
      </c>
      <c r="D570" s="128"/>
      <c r="E570" s="208">
        <f>G568</f>
        <v>4075.36</v>
      </c>
      <c r="F570" s="208">
        <f>G568</f>
        <v>4075.36</v>
      </c>
      <c r="G570" s="204">
        <f>F570</f>
        <v>4075.36</v>
      </c>
      <c r="H570" s="10"/>
    </row>
    <row r="571" spans="1:11">
      <c r="A571" s="128"/>
      <c r="B571" s="128"/>
      <c r="C571" s="473" t="s">
        <v>1528</v>
      </c>
      <c r="D571" s="208">
        <v>10</v>
      </c>
      <c r="E571" s="208">
        <f>ROUND($D$517*'MINI SSR 2024-25'!$E$36,2)</f>
        <v>10.8</v>
      </c>
      <c r="F571" s="208">
        <f>E571</f>
        <v>10.8</v>
      </c>
      <c r="G571" s="204">
        <f>E571</f>
        <v>10.8</v>
      </c>
      <c r="H571" s="10"/>
    </row>
    <row r="572" spans="1:11">
      <c r="A572" s="128"/>
      <c r="B572" s="128"/>
      <c r="C572" s="473" t="s">
        <v>1527</v>
      </c>
      <c r="D572" s="208">
        <v>10</v>
      </c>
      <c r="E572" s="208">
        <f>ROUND($D$518*'MINI SSR 2024-25'!$F$36,2)</f>
        <v>84.7</v>
      </c>
      <c r="F572" s="208">
        <f>ROUND($D$518*'MINI SSR 2024-25'!$G$36,2)</f>
        <v>121.2</v>
      </c>
      <c r="G572" s="204">
        <f>ROUND($D$518*'MINI SSR 2024-25'!$H$36,2)</f>
        <v>157.69999999999999</v>
      </c>
      <c r="H572" s="10"/>
    </row>
    <row r="573" spans="1:11" ht="25.5">
      <c r="A573" s="128"/>
      <c r="B573" s="128"/>
      <c r="C573" s="473" t="s">
        <v>1079</v>
      </c>
      <c r="D573" s="128"/>
      <c r="E573" s="128"/>
      <c r="F573" s="208">
        <f>ROUND((G565+G566+G567+F572)*0.1,2)</f>
        <v>382.98</v>
      </c>
      <c r="G573" s="204">
        <f>ROUND((G565+G566+G567+G572)*0.1,2)</f>
        <v>386.63</v>
      </c>
      <c r="H573" s="10"/>
    </row>
    <row r="574" spans="1:11">
      <c r="A574" s="128"/>
      <c r="B574" s="128"/>
      <c r="C574" s="473" t="s">
        <v>2194</v>
      </c>
      <c r="D574" s="128"/>
      <c r="E574" s="208">
        <f>ROUND((E570+E571+E572+E573)*$C$3,2)</f>
        <v>567.86</v>
      </c>
      <c r="F574" s="208">
        <f>ROUND((F570+F571+F572+F573)*$C$3,2)</f>
        <v>624.97</v>
      </c>
      <c r="G574" s="208">
        <f>ROUND((G570+G571+G572+G573)*$C$3,2)</f>
        <v>630.44000000000005</v>
      </c>
      <c r="H574" s="10"/>
    </row>
    <row r="575" spans="1:11">
      <c r="A575" s="128"/>
      <c r="B575" s="128"/>
      <c r="C575" s="557" t="s">
        <v>88</v>
      </c>
      <c r="D575" s="128"/>
      <c r="E575" s="208">
        <f>SUM(E570:E574)</f>
        <v>4738.72</v>
      </c>
      <c r="F575" s="208">
        <f>SUM(F570:F574)</f>
        <v>5215.3100000000004</v>
      </c>
      <c r="G575" s="208">
        <f>SUM(G570:G574)</f>
        <v>5260.93</v>
      </c>
      <c r="H575" s="10"/>
    </row>
    <row r="576" spans="1:11">
      <c r="A576" s="128"/>
      <c r="B576" s="128"/>
      <c r="C576" s="557" t="s">
        <v>119</v>
      </c>
      <c r="D576" s="128"/>
      <c r="E576" s="210">
        <f>ROUND(E575/10,2)</f>
        <v>473.87</v>
      </c>
      <c r="F576" s="210">
        <f>ROUND(F575/10,2)</f>
        <v>521.53</v>
      </c>
      <c r="G576" s="209">
        <f>ROUND(G575/10,2)</f>
        <v>526.09</v>
      </c>
      <c r="H576" s="165"/>
    </row>
    <row r="577" spans="1:11" ht="102">
      <c r="A577" s="81">
        <v>14</v>
      </c>
      <c r="B577" s="207" t="s">
        <v>1140</v>
      </c>
      <c r="C577" s="473" t="s">
        <v>307</v>
      </c>
      <c r="D577" s="128"/>
      <c r="E577" s="128"/>
      <c r="F577" s="128"/>
      <c r="G577" s="207"/>
    </row>
    <row r="578" spans="1:11">
      <c r="A578" s="81"/>
      <c r="B578" s="207"/>
      <c r="C578" s="557" t="s">
        <v>42</v>
      </c>
      <c r="D578" s="128"/>
      <c r="E578" s="128"/>
      <c r="F578" s="128"/>
      <c r="G578" s="204"/>
    </row>
    <row r="579" spans="1:11">
      <c r="A579" s="81"/>
      <c r="B579" s="207"/>
      <c r="C579" s="557" t="s">
        <v>308</v>
      </c>
      <c r="D579" s="128"/>
      <c r="E579" s="128"/>
      <c r="F579" s="128"/>
      <c r="G579" s="204"/>
    </row>
    <row r="580" spans="1:11">
      <c r="A580" s="81"/>
      <c r="B580" s="207"/>
      <c r="C580" s="473" t="s">
        <v>107</v>
      </c>
      <c r="D580" s="128" t="s">
        <v>4</v>
      </c>
      <c r="E580" s="208">
        <v>43</v>
      </c>
      <c r="F580" s="208">
        <f>F559</f>
        <v>4218.8</v>
      </c>
      <c r="G580" s="125">
        <f>ROUND(E580*F580/1000,2)</f>
        <v>181.41</v>
      </c>
    </row>
    <row r="581" spans="1:11">
      <c r="A581" s="81"/>
      <c r="B581" s="207"/>
      <c r="C581" s="473" t="s">
        <v>309</v>
      </c>
      <c r="D581" s="128" t="s">
        <v>35</v>
      </c>
      <c r="E581" s="208">
        <v>0.18</v>
      </c>
      <c r="F581" s="208">
        <f>F560</f>
        <v>1013.4699999999982</v>
      </c>
      <c r="G581" s="125">
        <f>ROUND(E581*F581,2)</f>
        <v>182.42</v>
      </c>
    </row>
    <row r="582" spans="1:11">
      <c r="A582" s="81"/>
      <c r="B582" s="207"/>
      <c r="C582" s="557" t="s">
        <v>310</v>
      </c>
      <c r="D582" s="128"/>
      <c r="E582" s="128"/>
      <c r="F582" s="128"/>
      <c r="G582" s="204"/>
    </row>
    <row r="583" spans="1:11">
      <c r="A583" s="81"/>
      <c r="B583" s="207"/>
      <c r="C583" s="473" t="s">
        <v>107</v>
      </c>
      <c r="D583" s="128" t="s">
        <v>4</v>
      </c>
      <c r="E583" s="208">
        <v>14.5</v>
      </c>
      <c r="F583" s="208">
        <f>F580</f>
        <v>4218.8</v>
      </c>
      <c r="G583" s="125">
        <f>ROUND(E583*F583/1000,2)</f>
        <v>61.17</v>
      </c>
    </row>
    <row r="584" spans="1:11">
      <c r="A584" s="81"/>
      <c r="B584" s="207"/>
      <c r="C584" s="473" t="s">
        <v>309</v>
      </c>
      <c r="D584" s="128" t="s">
        <v>35</v>
      </c>
      <c r="E584" s="208">
        <v>0.04</v>
      </c>
      <c r="F584" s="208">
        <f>F581</f>
        <v>1013.4699999999982</v>
      </c>
      <c r="G584" s="125">
        <f>ROUND(E584*F584,2)</f>
        <v>40.54</v>
      </c>
    </row>
    <row r="585" spans="1:11">
      <c r="A585" s="128"/>
      <c r="B585" s="128"/>
      <c r="C585" s="557" t="s">
        <v>68</v>
      </c>
      <c r="D585" s="128"/>
      <c r="E585" s="208"/>
      <c r="F585" s="208"/>
      <c r="G585" s="125"/>
    </row>
    <row r="586" spans="1:11">
      <c r="A586" s="128"/>
      <c r="B586" s="128"/>
      <c r="C586" s="473" t="s">
        <v>64</v>
      </c>
      <c r="D586" s="128" t="s">
        <v>27</v>
      </c>
      <c r="E586" s="208">
        <v>0.63</v>
      </c>
      <c r="F586" s="208">
        <f>'MINI SSR 2024-25'!$H$3</f>
        <v>710</v>
      </c>
      <c r="G586" s="125">
        <f>ROUND(E586*F586,2)</f>
        <v>447.3</v>
      </c>
      <c r="K586" s="19">
        <f>G586</f>
        <v>447.3</v>
      </c>
    </row>
    <row r="587" spans="1:11">
      <c r="A587" s="128"/>
      <c r="B587" s="128"/>
      <c r="C587" s="473" t="s">
        <v>69</v>
      </c>
      <c r="D587" s="128" t="s">
        <v>27</v>
      </c>
      <c r="E587" s="208">
        <v>1.47</v>
      </c>
      <c r="F587" s="208">
        <f>'MINI SSR 2024-25'!$H$4</f>
        <v>640</v>
      </c>
      <c r="G587" s="125">
        <f>ROUND(E587*F587,2)</f>
        <v>940.8</v>
      </c>
      <c r="H587" s="10"/>
      <c r="K587" s="19">
        <f>G587</f>
        <v>940.8</v>
      </c>
    </row>
    <row r="588" spans="1:11">
      <c r="A588" s="128"/>
      <c r="B588" s="128"/>
      <c r="C588" s="473" t="s">
        <v>85</v>
      </c>
      <c r="D588" s="128" t="s">
        <v>27</v>
      </c>
      <c r="E588" s="208">
        <v>3.9</v>
      </c>
      <c r="F588" s="208">
        <f>'MINI SSR 2024-25'!$H$5</f>
        <v>595</v>
      </c>
      <c r="G588" s="125">
        <f>ROUND(E588*F588,2)</f>
        <v>2320.5</v>
      </c>
      <c r="K588" s="19">
        <f>G588</f>
        <v>2320.5</v>
      </c>
    </row>
    <row r="589" spans="1:11">
      <c r="A589" s="128"/>
      <c r="B589" s="128"/>
      <c r="C589" s="557" t="s">
        <v>88</v>
      </c>
      <c r="D589" s="128"/>
      <c r="E589" s="128"/>
      <c r="F589" s="128"/>
      <c r="G589" s="209">
        <f>SUM(G580:G588)</f>
        <v>4174.1399999999994</v>
      </c>
      <c r="K589" s="645">
        <f>SUM(K586:K588)</f>
        <v>3708.6</v>
      </c>
    </row>
    <row r="590" spans="1:11">
      <c r="A590" s="128"/>
      <c r="B590" s="128"/>
      <c r="C590" s="557"/>
      <c r="D590" s="128"/>
      <c r="E590" s="207" t="s">
        <v>163</v>
      </c>
      <c r="F590" s="207" t="s">
        <v>164</v>
      </c>
      <c r="G590" s="210" t="s">
        <v>165</v>
      </c>
      <c r="H590" s="10"/>
    </row>
    <row r="591" spans="1:11">
      <c r="A591" s="128"/>
      <c r="B591" s="128"/>
      <c r="C591" s="557" t="s">
        <v>1068</v>
      </c>
      <c r="D591" s="128"/>
      <c r="E591" s="208">
        <f>G589</f>
        <v>4174.1399999999994</v>
      </c>
      <c r="F591" s="208">
        <f>G589</f>
        <v>4174.1399999999994</v>
      </c>
      <c r="G591" s="204">
        <f>F591</f>
        <v>4174.1399999999994</v>
      </c>
      <c r="H591" s="10"/>
    </row>
    <row r="592" spans="1:11">
      <c r="A592" s="128"/>
      <c r="B592" s="128"/>
      <c r="C592" s="473" t="s">
        <v>1528</v>
      </c>
      <c r="D592" s="208">
        <v>10</v>
      </c>
      <c r="E592" s="208">
        <f>ROUND($D$517*'MINI SSR 2024-25'!$E$36,2)</f>
        <v>10.8</v>
      </c>
      <c r="F592" s="208">
        <f>E592</f>
        <v>10.8</v>
      </c>
      <c r="G592" s="204">
        <f>E592</f>
        <v>10.8</v>
      </c>
      <c r="H592" s="10"/>
    </row>
    <row r="593" spans="1:11">
      <c r="A593" s="128"/>
      <c r="B593" s="128"/>
      <c r="C593" s="473" t="s">
        <v>1527</v>
      </c>
      <c r="D593" s="208">
        <v>10</v>
      </c>
      <c r="E593" s="208">
        <f>ROUND($D$518*'MINI SSR 2024-25'!$F$36,2)</f>
        <v>84.7</v>
      </c>
      <c r="F593" s="208">
        <f>ROUND($D$518*'MINI SSR 2024-25'!$G$36,2)</f>
        <v>121.2</v>
      </c>
      <c r="G593" s="204">
        <f>ROUND($D$518*'MINI SSR 2024-25'!$H$36,2)</f>
        <v>157.69999999999999</v>
      </c>
      <c r="H593" s="10"/>
    </row>
    <row r="594" spans="1:11" ht="25.5">
      <c r="A594" s="128"/>
      <c r="B594" s="128"/>
      <c r="C594" s="473" t="s">
        <v>1079</v>
      </c>
      <c r="D594" s="128"/>
      <c r="E594" s="128"/>
      <c r="F594" s="208">
        <f>ROUND((G586+G587+G588+F593)*0.1,2)</f>
        <v>382.98</v>
      </c>
      <c r="G594" s="204">
        <f>ROUND((G586+G587+G588+G593)*0.1,2)</f>
        <v>386.63</v>
      </c>
      <c r="H594" s="10"/>
    </row>
    <row r="595" spans="1:11">
      <c r="A595" s="128"/>
      <c r="B595" s="128"/>
      <c r="C595" s="473" t="s">
        <v>2194</v>
      </c>
      <c r="D595" s="128"/>
      <c r="E595" s="208">
        <f>ROUND((E591+E592+E593+E594)*$C$3,2)</f>
        <v>581.30999999999995</v>
      </c>
      <c r="F595" s="208">
        <f>ROUND((F591+F592+F593+F594)*$C$3,2)</f>
        <v>638.41999999999996</v>
      </c>
      <c r="G595" s="208">
        <f>ROUND((G591+G592+G593+G594)*$C$3,2)</f>
        <v>643.89</v>
      </c>
      <c r="H595" s="10"/>
    </row>
    <row r="596" spans="1:11">
      <c r="A596" s="128"/>
      <c r="B596" s="128"/>
      <c r="C596" s="557" t="s">
        <v>88</v>
      </c>
      <c r="D596" s="128"/>
      <c r="E596" s="208">
        <f>SUM(E591:E595)</f>
        <v>4850.9499999999989</v>
      </c>
      <c r="F596" s="208">
        <f>SUM(F591:F595)</f>
        <v>5327.5399999999991</v>
      </c>
      <c r="G596" s="208">
        <f>SUM(G591:G595)</f>
        <v>5373.16</v>
      </c>
      <c r="H596" s="10"/>
    </row>
    <row r="597" spans="1:11">
      <c r="A597" s="128"/>
      <c r="B597" s="128"/>
      <c r="C597" s="557" t="s">
        <v>119</v>
      </c>
      <c r="D597" s="128"/>
      <c r="E597" s="210">
        <f>ROUND(E596/10,2)</f>
        <v>485.1</v>
      </c>
      <c r="F597" s="210">
        <f>ROUND(F596/10,2)</f>
        <v>532.75</v>
      </c>
      <c r="G597" s="209">
        <f>ROUND(G596/10,2)</f>
        <v>537.32000000000005</v>
      </c>
      <c r="H597" s="165"/>
    </row>
    <row r="598" spans="1:11" ht="165.75" hidden="1">
      <c r="A598" s="81">
        <v>37</v>
      </c>
      <c r="B598" s="207"/>
      <c r="C598" s="473" t="s">
        <v>943</v>
      </c>
      <c r="D598" s="128"/>
      <c r="E598" s="128"/>
      <c r="F598" s="128"/>
      <c r="G598" s="204"/>
      <c r="H598" s="10"/>
    </row>
    <row r="599" spans="1:11" hidden="1">
      <c r="A599" s="128"/>
      <c r="B599" s="128"/>
      <c r="C599" s="473" t="s">
        <v>817</v>
      </c>
      <c r="D599" s="128"/>
      <c r="E599" s="208"/>
      <c r="F599" s="208"/>
      <c r="G599" s="125"/>
      <c r="H599" s="10"/>
    </row>
    <row r="600" spans="1:11" hidden="1">
      <c r="A600" s="128"/>
      <c r="B600" s="128"/>
      <c r="C600" s="473" t="s">
        <v>812</v>
      </c>
      <c r="D600" s="128"/>
      <c r="E600" s="208"/>
      <c r="F600" s="208"/>
      <c r="G600" s="125"/>
      <c r="H600" s="10"/>
    </row>
    <row r="601" spans="1:11" hidden="1">
      <c r="A601" s="128"/>
      <c r="B601" s="128"/>
      <c r="C601" s="473" t="s">
        <v>1537</v>
      </c>
      <c r="D601" s="208" t="s">
        <v>77</v>
      </c>
      <c r="E601" s="208">
        <v>13.3</v>
      </c>
      <c r="F601" s="619">
        <f>'MINI SSR 2024-25'!C43</f>
        <v>23</v>
      </c>
      <c r="G601" s="125">
        <f>ROUND(E601*F601,2)</f>
        <v>305.89999999999998</v>
      </c>
      <c r="K601" s="19"/>
    </row>
    <row r="602" spans="1:11" hidden="1">
      <c r="A602" s="81"/>
      <c r="B602" s="207"/>
      <c r="C602" s="473" t="s">
        <v>944</v>
      </c>
      <c r="D602" s="208" t="s">
        <v>35</v>
      </c>
      <c r="E602" s="208">
        <v>0.25</v>
      </c>
      <c r="F602" s="619">
        <f>G10</f>
        <v>3208.16</v>
      </c>
      <c r="G602" s="125">
        <f t="shared" ref="G602:G604" si="6">ROUND(E602*F602,2)</f>
        <v>802.04</v>
      </c>
      <c r="H602" s="10"/>
    </row>
    <row r="603" spans="1:11" hidden="1">
      <c r="A603" s="81"/>
      <c r="B603" s="207"/>
      <c r="C603" s="473" t="s">
        <v>945</v>
      </c>
      <c r="D603" s="208" t="s">
        <v>90</v>
      </c>
      <c r="E603" s="208">
        <v>50</v>
      </c>
      <c r="F603" s="619">
        <f>'lead 24-25'!L8</f>
        <v>4218.8</v>
      </c>
      <c r="G603" s="125">
        <f>ROUND(E603*F603/1000,2)</f>
        <v>210.94</v>
      </c>
      <c r="H603" s="10"/>
    </row>
    <row r="604" spans="1:11" ht="25.5" hidden="1">
      <c r="A604" s="81"/>
      <c r="B604" s="207"/>
      <c r="C604" s="473" t="s">
        <v>946</v>
      </c>
      <c r="D604" s="208" t="s">
        <v>77</v>
      </c>
      <c r="E604" s="208">
        <v>21.8</v>
      </c>
      <c r="F604" s="619">
        <f>E576</f>
        <v>473.87</v>
      </c>
      <c r="G604" s="125">
        <f t="shared" si="6"/>
        <v>10330.370000000001</v>
      </c>
      <c r="H604" s="10"/>
    </row>
    <row r="605" spans="1:11" hidden="1">
      <c r="A605" s="81"/>
      <c r="B605" s="207"/>
      <c r="C605" s="557" t="s">
        <v>947</v>
      </c>
      <c r="D605" s="128"/>
      <c r="E605" s="128"/>
      <c r="F605" s="619"/>
      <c r="G605" s="125"/>
      <c r="H605" s="10"/>
    </row>
    <row r="606" spans="1:11" hidden="1">
      <c r="A606" s="81"/>
      <c r="B606" s="207"/>
      <c r="C606" s="473" t="s">
        <v>814</v>
      </c>
      <c r="D606" s="208" t="s">
        <v>27</v>
      </c>
      <c r="E606" s="208">
        <v>8</v>
      </c>
      <c r="F606" s="208">
        <f>'MINI SSR 2024-25'!$H$3</f>
        <v>710</v>
      </c>
      <c r="G606" s="125">
        <f t="shared" ref="G606:G607" si="7">ROUND(E606*F606,2)</f>
        <v>5680</v>
      </c>
      <c r="H606" s="10"/>
    </row>
    <row r="607" spans="1:11" hidden="1">
      <c r="A607" s="81"/>
      <c r="B607" s="207"/>
      <c r="C607" s="473" t="s">
        <v>813</v>
      </c>
      <c r="D607" s="208" t="s">
        <v>27</v>
      </c>
      <c r="E607" s="208">
        <v>10</v>
      </c>
      <c r="F607" s="208">
        <f>'MINI SSR 2024-25'!$H$5</f>
        <v>595</v>
      </c>
      <c r="G607" s="125">
        <f t="shared" si="7"/>
        <v>5950</v>
      </c>
      <c r="H607" s="10"/>
    </row>
    <row r="608" spans="1:11" hidden="1">
      <c r="A608" s="81"/>
      <c r="B608" s="207"/>
      <c r="C608" s="557" t="s">
        <v>948</v>
      </c>
      <c r="D608" s="208"/>
      <c r="E608" s="208"/>
      <c r="F608" s="619"/>
      <c r="G608" s="125"/>
      <c r="H608" s="10"/>
    </row>
    <row r="609" spans="1:11" hidden="1">
      <c r="A609" s="81"/>
      <c r="B609" s="207"/>
      <c r="C609" s="473" t="s">
        <v>62</v>
      </c>
      <c r="D609" s="208" t="s">
        <v>949</v>
      </c>
      <c r="E609" s="208">
        <v>2</v>
      </c>
      <c r="F609" s="619">
        <f>'MINI SSR 2024-25'!C30</f>
        <v>708.08</v>
      </c>
      <c r="G609" s="125">
        <f t="shared" ref="G609" si="8">ROUND(E609*F609,2)</f>
        <v>1416.16</v>
      </c>
      <c r="H609" s="10"/>
    </row>
    <row r="610" spans="1:11" hidden="1">
      <c r="A610" s="81"/>
      <c r="B610" s="207"/>
      <c r="C610" s="557" t="s">
        <v>818</v>
      </c>
      <c r="D610" s="646"/>
      <c r="E610" s="646"/>
      <c r="F610" s="646" t="s">
        <v>104</v>
      </c>
      <c r="G610" s="125">
        <f>SUM(G601:G609)</f>
        <v>24695.41</v>
      </c>
      <c r="H610" s="10"/>
    </row>
    <row r="611" spans="1:11" hidden="1">
      <c r="A611" s="81"/>
      <c r="B611" s="207"/>
      <c r="C611" s="473"/>
      <c r="D611" s="619"/>
      <c r="E611" s="646" t="s">
        <v>163</v>
      </c>
      <c r="F611" s="646" t="s">
        <v>164</v>
      </c>
      <c r="G611" s="125"/>
      <c r="H611" s="10"/>
    </row>
    <row r="612" spans="1:11" hidden="1">
      <c r="A612" s="81"/>
      <c r="B612" s="207"/>
      <c r="C612" s="473" t="s">
        <v>816</v>
      </c>
      <c r="D612" s="619"/>
      <c r="E612" s="619">
        <f>G610</f>
        <v>24695.41</v>
      </c>
      <c r="F612" s="619">
        <f>G610</f>
        <v>24695.41</v>
      </c>
      <c r="G612" s="125"/>
      <c r="H612" s="10"/>
    </row>
    <row r="613" spans="1:11" ht="25.5" hidden="1">
      <c r="A613" s="81"/>
      <c r="B613" s="207"/>
      <c r="C613" s="473" t="s">
        <v>819</v>
      </c>
      <c r="D613" s="647" t="s">
        <v>317</v>
      </c>
      <c r="E613" s="619">
        <f>ROUND(D613*'MINI SSR 2024-25'!E36,2)</f>
        <v>10.8</v>
      </c>
      <c r="F613" s="619">
        <f>E613</f>
        <v>10.8</v>
      </c>
      <c r="G613" s="125"/>
      <c r="H613" s="10"/>
    </row>
    <row r="614" spans="1:11" hidden="1">
      <c r="A614" s="81"/>
      <c r="B614" s="207"/>
      <c r="C614" s="473" t="s">
        <v>1538</v>
      </c>
      <c r="D614" s="647" t="s">
        <v>317</v>
      </c>
      <c r="E614" s="619">
        <f>ROUND(D614*'MINI SSR 2024-25'!F36,2)</f>
        <v>84.7</v>
      </c>
      <c r="F614" s="619">
        <f>ROUND(D614*'MINI SSR 2024-25'!G36,2)</f>
        <v>121.2</v>
      </c>
      <c r="G614" s="125"/>
      <c r="H614" s="10"/>
    </row>
    <row r="615" spans="1:11" hidden="1">
      <c r="A615" s="81"/>
      <c r="B615" s="207"/>
      <c r="C615" s="473" t="s">
        <v>820</v>
      </c>
      <c r="D615" s="211" t="s">
        <v>317</v>
      </c>
      <c r="E615" s="648">
        <v>0</v>
      </c>
      <c r="F615" s="648">
        <f>ROUND(((SUM(G606:G607)+F614)*D615/100),2)</f>
        <v>1175.1199999999999</v>
      </c>
      <c r="G615" s="125"/>
      <c r="H615" s="10"/>
    </row>
    <row r="616" spans="1:11" hidden="1">
      <c r="A616" s="81"/>
      <c r="B616" s="207"/>
      <c r="C616" s="557" t="s">
        <v>818</v>
      </c>
      <c r="D616" s="211"/>
      <c r="E616" s="619">
        <f>SUM(E612:E615)</f>
        <v>24790.91</v>
      </c>
      <c r="F616" s="619">
        <f>SUM(F612:F615)</f>
        <v>26002.53</v>
      </c>
      <c r="G616" s="125"/>
      <c r="H616" s="10"/>
    </row>
    <row r="617" spans="1:11" hidden="1">
      <c r="A617" s="81"/>
      <c r="B617" s="207"/>
      <c r="C617" s="557" t="s">
        <v>821</v>
      </c>
      <c r="D617" s="208"/>
      <c r="E617" s="646">
        <f>ROUND(E616/10,2)</f>
        <v>2479.09</v>
      </c>
      <c r="F617" s="646">
        <f>ROUND(F616/10,2)</f>
        <v>2600.25</v>
      </c>
      <c r="G617" s="125"/>
      <c r="H617" s="10"/>
    </row>
    <row r="618" spans="1:11" ht="102">
      <c r="A618" s="81">
        <v>15</v>
      </c>
      <c r="B618" s="207" t="s">
        <v>1104</v>
      </c>
      <c r="C618" s="473" t="s">
        <v>1103</v>
      </c>
      <c r="D618" s="128"/>
      <c r="E618" s="128"/>
      <c r="F618" s="128"/>
      <c r="G618" s="207"/>
    </row>
    <row r="619" spans="1:11">
      <c r="A619" s="81"/>
      <c r="B619" s="207"/>
      <c r="C619" s="557" t="s">
        <v>42</v>
      </c>
      <c r="D619" s="128"/>
      <c r="E619" s="128"/>
      <c r="F619" s="128"/>
      <c r="G619" s="204"/>
    </row>
    <row r="620" spans="1:11">
      <c r="A620" s="81"/>
      <c r="B620" s="207"/>
      <c r="C620" s="557" t="s">
        <v>60</v>
      </c>
      <c r="D620" s="128"/>
      <c r="E620" s="128"/>
      <c r="F620" s="128"/>
      <c r="G620" s="204"/>
    </row>
    <row r="621" spans="1:11">
      <c r="A621" s="81"/>
      <c r="B621" s="207"/>
      <c r="C621" s="473" t="s">
        <v>43</v>
      </c>
      <c r="D621" s="128" t="s">
        <v>35</v>
      </c>
      <c r="E621" s="208">
        <v>0.15</v>
      </c>
      <c r="F621" s="208">
        <f>G10</f>
        <v>3208.16</v>
      </c>
      <c r="G621" s="125">
        <f>ROUND(E621*F621,2)</f>
        <v>481.22</v>
      </c>
    </row>
    <row r="622" spans="1:11">
      <c r="A622" s="81"/>
      <c r="B622" s="207"/>
      <c r="C622" s="473" t="s">
        <v>1540</v>
      </c>
      <c r="D622" s="128" t="s">
        <v>4</v>
      </c>
      <c r="E622" s="208">
        <v>2</v>
      </c>
      <c r="F622" s="208">
        <f>'MINI SSR 2024-25'!$C$44</f>
        <v>86</v>
      </c>
      <c r="G622" s="125">
        <f>ROUND(E622*F622,2)</f>
        <v>172</v>
      </c>
    </row>
    <row r="623" spans="1:11">
      <c r="A623" s="128"/>
      <c r="B623" s="128"/>
      <c r="C623" s="557" t="s">
        <v>68</v>
      </c>
      <c r="D623" s="128"/>
      <c r="E623" s="208"/>
      <c r="F623" s="208"/>
      <c r="G623" s="125"/>
    </row>
    <row r="624" spans="1:11">
      <c r="A624" s="128"/>
      <c r="B624" s="128"/>
      <c r="C624" s="473" t="s">
        <v>64</v>
      </c>
      <c r="D624" s="128" t="s">
        <v>27</v>
      </c>
      <c r="E624" s="208">
        <v>0.45</v>
      </c>
      <c r="F624" s="208">
        <f>'MINI SSR 2024-25'!$H$3</f>
        <v>710</v>
      </c>
      <c r="G624" s="125">
        <f>ROUND(E624*F624,2)</f>
        <v>319.5</v>
      </c>
      <c r="K624" s="19">
        <f>G624</f>
        <v>319.5</v>
      </c>
    </row>
    <row r="625" spans="1:11">
      <c r="A625" s="128"/>
      <c r="B625" s="128"/>
      <c r="C625" s="473" t="s">
        <v>69</v>
      </c>
      <c r="D625" s="128" t="s">
        <v>27</v>
      </c>
      <c r="E625" s="208">
        <v>1.05</v>
      </c>
      <c r="F625" s="208">
        <f>'MINI SSR 2024-25'!$H$4</f>
        <v>640</v>
      </c>
      <c r="G625" s="125">
        <f>ROUND(E625*F625,2)</f>
        <v>672</v>
      </c>
      <c r="H625" s="10"/>
      <c r="K625" s="19">
        <f>G625</f>
        <v>672</v>
      </c>
    </row>
    <row r="626" spans="1:11">
      <c r="A626" s="128"/>
      <c r="B626" s="128"/>
      <c r="C626" s="473" t="s">
        <v>85</v>
      </c>
      <c r="D626" s="128" t="s">
        <v>27</v>
      </c>
      <c r="E626" s="208">
        <v>2.8</v>
      </c>
      <c r="F626" s="208">
        <f>'MINI SSR 2024-25'!$H$5</f>
        <v>595</v>
      </c>
      <c r="G626" s="125">
        <f>ROUND(E626*F626,2)</f>
        <v>1666</v>
      </c>
      <c r="K626" s="19">
        <f>G626</f>
        <v>1666</v>
      </c>
    </row>
    <row r="627" spans="1:11">
      <c r="A627" s="128"/>
      <c r="B627" s="128"/>
      <c r="C627" s="557" t="s">
        <v>88</v>
      </c>
      <c r="D627" s="128"/>
      <c r="E627" s="128"/>
      <c r="F627" s="128"/>
      <c r="G627" s="209">
        <f>SUM(G621:G626)</f>
        <v>3310.7200000000003</v>
      </c>
      <c r="K627" s="645">
        <f>SUM(K624:K626)</f>
        <v>2657.5</v>
      </c>
    </row>
    <row r="628" spans="1:11">
      <c r="A628" s="128"/>
      <c r="B628" s="128"/>
      <c r="C628" s="557"/>
      <c r="D628" s="128"/>
      <c r="E628" s="207" t="s">
        <v>163</v>
      </c>
      <c r="F628" s="207" t="s">
        <v>164</v>
      </c>
      <c r="G628" s="210" t="s">
        <v>164</v>
      </c>
      <c r="H628" s="10"/>
    </row>
    <row r="629" spans="1:11">
      <c r="A629" s="128"/>
      <c r="B629" s="128"/>
      <c r="C629" s="557" t="s">
        <v>1068</v>
      </c>
      <c r="D629" s="128"/>
      <c r="E629" s="208">
        <f>G627</f>
        <v>3310.7200000000003</v>
      </c>
      <c r="F629" s="208">
        <f>G627</f>
        <v>3310.7200000000003</v>
      </c>
      <c r="G629" s="204">
        <f>G627</f>
        <v>3310.7200000000003</v>
      </c>
      <c r="H629" s="10"/>
    </row>
    <row r="630" spans="1:11" ht="25.5">
      <c r="A630" s="128"/>
      <c r="B630" s="128"/>
      <c r="C630" s="473" t="s">
        <v>1079</v>
      </c>
      <c r="D630" s="128"/>
      <c r="E630" s="128"/>
      <c r="F630" s="204">
        <f>(SUM(G624:G626)*10%)</f>
        <v>265.75</v>
      </c>
      <c r="G630" s="204">
        <f>(SUM(G624:G626)*20%)</f>
        <v>531.5</v>
      </c>
      <c r="H630" s="10"/>
    </row>
    <row r="631" spans="1:11">
      <c r="A631" s="128"/>
      <c r="B631" s="128"/>
      <c r="C631" s="473" t="s">
        <v>2194</v>
      </c>
      <c r="D631" s="128"/>
      <c r="E631" s="208">
        <f>ROUND((E629+E630)*$C$3,2)</f>
        <v>450.75</v>
      </c>
      <c r="F631" s="208">
        <f>ROUND((F629+F630)*$C$3,2)</f>
        <v>486.94</v>
      </c>
      <c r="G631" s="208">
        <f>ROUND((G629+G630)*$C$3,2)</f>
        <v>523.12</v>
      </c>
      <c r="H631" s="10"/>
    </row>
    <row r="632" spans="1:11">
      <c r="A632" s="128"/>
      <c r="B632" s="128"/>
      <c r="C632" s="557" t="s">
        <v>88</v>
      </c>
      <c r="D632" s="128"/>
      <c r="E632" s="208">
        <f>SUM(E629:E631)</f>
        <v>3761.4700000000003</v>
      </c>
      <c r="F632" s="208">
        <f>SUM(F629:F631)</f>
        <v>4063.4100000000003</v>
      </c>
      <c r="G632" s="208">
        <f>SUM(G629:G631)</f>
        <v>4365.34</v>
      </c>
      <c r="H632" s="10"/>
    </row>
    <row r="633" spans="1:11">
      <c r="A633" s="128"/>
      <c r="B633" s="128"/>
      <c r="C633" s="557" t="s">
        <v>119</v>
      </c>
      <c r="D633" s="128"/>
      <c r="E633" s="210">
        <f>ROUND(E632/10,2)</f>
        <v>376.15</v>
      </c>
      <c r="F633" s="210">
        <f>ROUND(F632/10,2)</f>
        <v>406.34</v>
      </c>
      <c r="G633" s="209">
        <f>ROUND(G632/10,2)</f>
        <v>436.53</v>
      </c>
      <c r="H633" s="165"/>
    </row>
    <row r="634" spans="1:11" ht="102" hidden="1">
      <c r="A634" s="81">
        <v>39</v>
      </c>
      <c r="B634" s="207" t="s">
        <v>1104</v>
      </c>
      <c r="C634" s="473" t="s">
        <v>847</v>
      </c>
      <c r="D634" s="128"/>
      <c r="E634" s="128"/>
      <c r="F634" s="128"/>
      <c r="G634" s="207" t="s">
        <v>141</v>
      </c>
    </row>
    <row r="635" spans="1:11" hidden="1">
      <c r="A635" s="81"/>
      <c r="B635" s="207"/>
      <c r="C635" s="557" t="s">
        <v>42</v>
      </c>
      <c r="D635" s="128"/>
      <c r="E635" s="128"/>
      <c r="F635" s="128"/>
      <c r="G635" s="204"/>
    </row>
    <row r="636" spans="1:11" hidden="1">
      <c r="A636" s="81"/>
      <c r="B636" s="207"/>
      <c r="C636" s="557" t="s">
        <v>60</v>
      </c>
      <c r="D636" s="128"/>
      <c r="E636" s="128"/>
      <c r="F636" s="128"/>
      <c r="G636" s="204"/>
    </row>
    <row r="637" spans="1:11" hidden="1">
      <c r="A637" s="81"/>
      <c r="B637" s="207"/>
      <c r="C637" s="473" t="s">
        <v>43</v>
      </c>
      <c r="D637" s="128" t="s">
        <v>35</v>
      </c>
      <c r="E637" s="208">
        <v>0.21</v>
      </c>
      <c r="F637" s="208">
        <f>G25</f>
        <v>2195.65</v>
      </c>
      <c r="G637" s="125">
        <f>ROUND(E637*F637,2)</f>
        <v>461.09</v>
      </c>
    </row>
    <row r="638" spans="1:11" hidden="1">
      <c r="A638" s="81"/>
      <c r="B638" s="207"/>
      <c r="C638" s="473" t="s">
        <v>1540</v>
      </c>
      <c r="D638" s="128" t="s">
        <v>4</v>
      </c>
      <c r="E638" s="208">
        <v>2</v>
      </c>
      <c r="F638" s="208">
        <f>'MINI SSR 2024-25'!$C$44</f>
        <v>86</v>
      </c>
      <c r="G638" s="125">
        <f>ROUND(E638*F638,2)</f>
        <v>172</v>
      </c>
    </row>
    <row r="639" spans="1:11" hidden="1">
      <c r="A639" s="128"/>
      <c r="B639" s="128"/>
      <c r="C639" s="557" t="s">
        <v>68</v>
      </c>
      <c r="D639" s="128"/>
      <c r="E639" s="208"/>
      <c r="F639" s="208"/>
      <c r="G639" s="125"/>
    </row>
    <row r="640" spans="1:11" hidden="1">
      <c r="A640" s="128"/>
      <c r="B640" s="128"/>
      <c r="C640" s="473" t="s">
        <v>64</v>
      </c>
      <c r="D640" s="128" t="s">
        <v>27</v>
      </c>
      <c r="E640" s="208">
        <v>0.66</v>
      </c>
      <c r="F640" s="208">
        <f>'MINI SSR 2024-25'!$H$3</f>
        <v>710</v>
      </c>
      <c r="G640" s="125">
        <f>ROUND(E640*F640,2)</f>
        <v>468.6</v>
      </c>
      <c r="K640" s="19">
        <f>G640</f>
        <v>468.6</v>
      </c>
    </row>
    <row r="641" spans="1:11" hidden="1">
      <c r="A641" s="128"/>
      <c r="B641" s="128"/>
      <c r="C641" s="473" t="s">
        <v>69</v>
      </c>
      <c r="D641" s="128" t="s">
        <v>27</v>
      </c>
      <c r="E641" s="208">
        <v>1.54</v>
      </c>
      <c r="F641" s="208">
        <f>'MINI SSR 2024-25'!$H$4</f>
        <v>640</v>
      </c>
      <c r="G641" s="125">
        <f>ROUND(E641*F641,2)</f>
        <v>985.6</v>
      </c>
      <c r="H641" s="10"/>
      <c r="K641" s="19">
        <f>G641</f>
        <v>985.6</v>
      </c>
    </row>
    <row r="642" spans="1:11" hidden="1">
      <c r="A642" s="128"/>
      <c r="B642" s="128"/>
      <c r="C642" s="473" t="s">
        <v>85</v>
      </c>
      <c r="D642" s="128" t="s">
        <v>27</v>
      </c>
      <c r="E642" s="208">
        <v>3.7</v>
      </c>
      <c r="F642" s="208">
        <f>'MINI SSR 2024-25'!$H$5</f>
        <v>595</v>
      </c>
      <c r="G642" s="125">
        <f>ROUND(E642*F642,2)</f>
        <v>2201.5</v>
      </c>
      <c r="K642" s="19">
        <f>G642</f>
        <v>2201.5</v>
      </c>
    </row>
    <row r="643" spans="1:11" hidden="1">
      <c r="A643" s="128"/>
      <c r="B643" s="128"/>
      <c r="C643" s="557" t="s">
        <v>88</v>
      </c>
      <c r="D643" s="128"/>
      <c r="E643" s="128"/>
      <c r="F643" s="128"/>
      <c r="G643" s="209">
        <f>SUM(G637:G642)</f>
        <v>4288.79</v>
      </c>
      <c r="K643" s="645">
        <f>SUM(K640:K642)</f>
        <v>3655.7</v>
      </c>
    </row>
    <row r="644" spans="1:11" hidden="1">
      <c r="A644" s="128"/>
      <c r="B644" s="128"/>
      <c r="C644" s="557"/>
      <c r="D644" s="128"/>
      <c r="E644" s="207" t="s">
        <v>163</v>
      </c>
      <c r="F644" s="207" t="s">
        <v>164</v>
      </c>
      <c r="G644" s="210" t="s">
        <v>165</v>
      </c>
      <c r="H644" s="10"/>
    </row>
    <row r="645" spans="1:11" hidden="1">
      <c r="A645" s="128"/>
      <c r="B645" s="128"/>
      <c r="C645" s="557" t="s">
        <v>1068</v>
      </c>
      <c r="D645" s="128"/>
      <c r="E645" s="208">
        <f>G643</f>
        <v>4288.79</v>
      </c>
      <c r="F645" s="208">
        <f>G643</f>
        <v>4288.79</v>
      </c>
      <c r="G645" s="204">
        <f>G643</f>
        <v>4288.79</v>
      </c>
      <c r="H645" s="10"/>
    </row>
    <row r="646" spans="1:11" ht="25.5" hidden="1">
      <c r="A646" s="128"/>
      <c r="B646" s="128"/>
      <c r="C646" s="473" t="s">
        <v>1079</v>
      </c>
      <c r="D646" s="128"/>
      <c r="E646" s="128"/>
      <c r="F646" s="204">
        <f>(SUM(G640:G642)*10%)</f>
        <v>365.57</v>
      </c>
      <c r="G646" s="204">
        <f>(SUM(G640:G642)*20%)</f>
        <v>731.14</v>
      </c>
      <c r="H646" s="10"/>
    </row>
    <row r="647" spans="1:11" hidden="1">
      <c r="A647" s="128"/>
      <c r="B647" s="128"/>
      <c r="C647" s="557" t="s">
        <v>88</v>
      </c>
      <c r="D647" s="128"/>
      <c r="E647" s="208">
        <f>SUM(E645:E646)</f>
        <v>4288.79</v>
      </c>
      <c r="F647" s="208">
        <f>SUM(F645:F646)</f>
        <v>4654.3599999999997</v>
      </c>
      <c r="G647" s="204">
        <f>SUM(G645:G646)</f>
        <v>5019.93</v>
      </c>
      <c r="H647" s="10"/>
    </row>
    <row r="648" spans="1:11" hidden="1">
      <c r="A648" s="128"/>
      <c r="B648" s="128"/>
      <c r="C648" s="557" t="s">
        <v>119</v>
      </c>
      <c r="D648" s="128"/>
      <c r="E648" s="210">
        <f>ROUND(E647/10,2)</f>
        <v>428.88</v>
      </c>
      <c r="F648" s="210">
        <f>ROUND(F647/10,2)</f>
        <v>465.44</v>
      </c>
      <c r="G648" s="209">
        <f>ROUND(G647/10,2)</f>
        <v>501.99</v>
      </c>
      <c r="H648" s="165"/>
    </row>
    <row r="649" spans="1:11" ht="165.75" hidden="1">
      <c r="A649" s="81">
        <v>9</v>
      </c>
      <c r="B649" s="207" t="s">
        <v>651</v>
      </c>
      <c r="C649" s="473" t="s">
        <v>650</v>
      </c>
      <c r="D649" s="128"/>
      <c r="E649" s="128"/>
      <c r="F649" s="128"/>
      <c r="G649" s="207" t="s">
        <v>651</v>
      </c>
    </row>
    <row r="650" spans="1:11" hidden="1">
      <c r="A650" s="81"/>
      <c r="B650" s="207"/>
      <c r="C650" s="557" t="s">
        <v>42</v>
      </c>
      <c r="D650" s="128"/>
      <c r="E650" s="128"/>
      <c r="F650" s="128"/>
      <c r="G650" s="204"/>
    </row>
    <row r="651" spans="1:11" hidden="1">
      <c r="A651" s="81"/>
      <c r="B651" s="207"/>
      <c r="C651" s="557" t="s">
        <v>60</v>
      </c>
      <c r="D651" s="128"/>
      <c r="E651" s="128"/>
      <c r="F651" s="128"/>
      <c r="G651" s="204"/>
    </row>
    <row r="652" spans="1:11" ht="25.5" hidden="1">
      <c r="A652" s="81"/>
      <c r="B652" s="207"/>
      <c r="C652" s="473" t="s">
        <v>652</v>
      </c>
      <c r="D652" s="128" t="s">
        <v>77</v>
      </c>
      <c r="E652" s="208">
        <v>10.1</v>
      </c>
      <c r="F652" s="208">
        <f>'lead 24-25'!L23</f>
        <v>2366.9152000000004</v>
      </c>
      <c r="G652" s="125">
        <f>ROUND(E652*F652/1,2)</f>
        <v>23905.84</v>
      </c>
    </row>
    <row r="653" spans="1:11" hidden="1">
      <c r="A653" s="81"/>
      <c r="B653" s="207"/>
      <c r="C653" s="473" t="s">
        <v>91</v>
      </c>
      <c r="D653" s="128" t="s">
        <v>4</v>
      </c>
      <c r="E653" s="208">
        <v>36</v>
      </c>
      <c r="F653" s="208">
        <f>'lead 24-25'!L8</f>
        <v>4218.8</v>
      </c>
      <c r="G653" s="125">
        <f>ROUND(E653*F653/1000,2)</f>
        <v>151.88</v>
      </c>
    </row>
    <row r="654" spans="1:11" hidden="1">
      <c r="A654" s="81"/>
      <c r="B654" s="207"/>
      <c r="C654" s="473" t="s">
        <v>92</v>
      </c>
      <c r="D654" s="128" t="s">
        <v>4</v>
      </c>
      <c r="E654" s="208">
        <v>33</v>
      </c>
      <c r="F654" s="208">
        <f>F653</f>
        <v>4218.8</v>
      </c>
      <c r="G654" s="125">
        <f>ROUND(E654*F654/1000,2)</f>
        <v>139.22</v>
      </c>
    </row>
    <row r="655" spans="1:11" hidden="1">
      <c r="A655" s="81"/>
      <c r="B655" s="207"/>
      <c r="C655" s="473" t="s">
        <v>93</v>
      </c>
      <c r="D655" s="128" t="s">
        <v>4</v>
      </c>
      <c r="E655" s="208">
        <v>6</v>
      </c>
      <c r="F655" s="208">
        <f>F654</f>
        <v>4218.8</v>
      </c>
      <c r="G655" s="125">
        <f>ROUND(E655*F655/1000,2)</f>
        <v>25.31</v>
      </c>
    </row>
    <row r="656" spans="1:11" hidden="1">
      <c r="A656" s="81"/>
      <c r="B656" s="207"/>
      <c r="C656" s="473" t="s">
        <v>113</v>
      </c>
      <c r="D656" s="128" t="s">
        <v>35</v>
      </c>
      <c r="E656" s="208">
        <v>0.2</v>
      </c>
      <c r="F656" s="208">
        <f>'lead 24-25'!L13</f>
        <v>1013.4699999999982</v>
      </c>
      <c r="G656" s="125">
        <f>ROUND(E656*F656,2)</f>
        <v>202.69</v>
      </c>
    </row>
    <row r="657" spans="1:11" hidden="1">
      <c r="A657" s="128"/>
      <c r="B657" s="128"/>
      <c r="C657" s="557" t="s">
        <v>68</v>
      </c>
      <c r="D657" s="128"/>
      <c r="E657" s="208"/>
      <c r="F657" s="208"/>
      <c r="G657" s="125"/>
    </row>
    <row r="658" spans="1:11" hidden="1">
      <c r="A658" s="128"/>
      <c r="B658" s="128"/>
      <c r="C658" s="473" t="s">
        <v>64</v>
      </c>
      <c r="D658" s="128" t="s">
        <v>27</v>
      </c>
      <c r="E658" s="208">
        <v>3</v>
      </c>
      <c r="F658" s="208">
        <f>'MINI SSR 2024-25'!$H$3</f>
        <v>710</v>
      </c>
      <c r="G658" s="125">
        <f>ROUND(E658*F658,2)</f>
        <v>2130</v>
      </c>
      <c r="K658" s="19">
        <f>G658</f>
        <v>2130</v>
      </c>
    </row>
    <row r="659" spans="1:11" hidden="1">
      <c r="A659" s="128"/>
      <c r="B659" s="128"/>
      <c r="C659" s="473" t="s">
        <v>69</v>
      </c>
      <c r="D659" s="128" t="s">
        <v>27</v>
      </c>
      <c r="E659" s="208">
        <v>1</v>
      </c>
      <c r="F659" s="208">
        <f>'MINI SSR 2024-25'!$H$4</f>
        <v>640</v>
      </c>
      <c r="G659" s="125">
        <f>ROUND(E659*F659,2)</f>
        <v>640</v>
      </c>
      <c r="K659" s="19">
        <f>G659</f>
        <v>640</v>
      </c>
    </row>
    <row r="660" spans="1:11" hidden="1">
      <c r="A660" s="128"/>
      <c r="B660" s="128"/>
      <c r="C660" s="473" t="s">
        <v>85</v>
      </c>
      <c r="D660" s="128" t="s">
        <v>27</v>
      </c>
      <c r="E660" s="208">
        <v>8</v>
      </c>
      <c r="F660" s="208">
        <f>'MINI SSR 2024-25'!$H$5</f>
        <v>595</v>
      </c>
      <c r="G660" s="125">
        <f>ROUND(E660*F660,2)</f>
        <v>4760</v>
      </c>
      <c r="K660" s="19">
        <f>G660</f>
        <v>4760</v>
      </c>
    </row>
    <row r="661" spans="1:11" hidden="1">
      <c r="A661" s="128"/>
      <c r="B661" s="128"/>
      <c r="C661" s="473" t="s">
        <v>845</v>
      </c>
      <c r="D661" s="128"/>
      <c r="E661" s="208">
        <v>0.01</v>
      </c>
      <c r="F661" s="208">
        <f>SUM(G653:G660)</f>
        <v>8049.1</v>
      </c>
      <c r="G661" s="125">
        <f>ROUND(E661*F661,2)</f>
        <v>80.489999999999995</v>
      </c>
      <c r="K661" s="19">
        <f>G661</f>
        <v>80.489999999999995</v>
      </c>
    </row>
    <row r="662" spans="1:11" hidden="1">
      <c r="A662" s="128"/>
      <c r="B662" s="128"/>
      <c r="C662" s="557" t="s">
        <v>88</v>
      </c>
      <c r="D662" s="128"/>
      <c r="E662" s="128"/>
      <c r="F662" s="128"/>
      <c r="G662" s="209">
        <f>SUM(G652:G661)</f>
        <v>32035.430000000004</v>
      </c>
      <c r="K662" s="645">
        <f>SUM(K658:K660)</f>
        <v>7530</v>
      </c>
    </row>
    <row r="663" spans="1:11" hidden="1">
      <c r="A663" s="128"/>
      <c r="B663" s="128"/>
      <c r="C663" s="557"/>
      <c r="D663" s="128"/>
      <c r="E663" s="207" t="s">
        <v>163</v>
      </c>
      <c r="F663" s="207" t="s">
        <v>164</v>
      </c>
      <c r="G663" s="210" t="s">
        <v>165</v>
      </c>
      <c r="H663" s="10"/>
    </row>
    <row r="664" spans="1:11" hidden="1">
      <c r="A664" s="128"/>
      <c r="B664" s="128"/>
      <c r="C664" s="557" t="s">
        <v>1068</v>
      </c>
      <c r="D664" s="128"/>
      <c r="E664" s="208">
        <f>G662</f>
        <v>32035.430000000004</v>
      </c>
      <c r="F664" s="208">
        <f>G662</f>
        <v>32035.430000000004</v>
      </c>
      <c r="G664" s="204">
        <f>G662</f>
        <v>32035.430000000004</v>
      </c>
      <c r="H664" s="10"/>
    </row>
    <row r="665" spans="1:11" ht="25.5" hidden="1">
      <c r="A665" s="128"/>
      <c r="B665" s="128"/>
      <c r="C665" s="473" t="s">
        <v>1079</v>
      </c>
      <c r="D665" s="128"/>
      <c r="E665" s="208"/>
      <c r="F665" s="204">
        <f>ROUND((G658+G659+G660)*0.1,2)</f>
        <v>753</v>
      </c>
      <c r="G665" s="204">
        <f>ROUND((G658+G659+G660)*0.2,2)</f>
        <v>1506</v>
      </c>
      <c r="H665" s="10"/>
    </row>
    <row r="666" spans="1:11" hidden="1">
      <c r="A666" s="128"/>
      <c r="B666" s="128"/>
      <c r="C666" s="473" t="s">
        <v>2194</v>
      </c>
      <c r="D666" s="128"/>
      <c r="E666" s="204">
        <v>0</v>
      </c>
      <c r="F666" s="204">
        <v>0</v>
      </c>
      <c r="G666" s="204">
        <v>0</v>
      </c>
      <c r="H666" s="10"/>
    </row>
    <row r="667" spans="1:11" hidden="1">
      <c r="A667" s="128"/>
      <c r="B667" s="128"/>
      <c r="C667" s="557" t="s">
        <v>88</v>
      </c>
      <c r="D667" s="128"/>
      <c r="E667" s="208">
        <f>SUM(E664:E666)</f>
        <v>32035.430000000004</v>
      </c>
      <c r="F667" s="208">
        <f>SUM(F664:F666)</f>
        <v>32788.430000000008</v>
      </c>
      <c r="G667" s="208">
        <f>SUM(G664:G666)</f>
        <v>33541.430000000008</v>
      </c>
      <c r="H667" s="10"/>
    </row>
    <row r="668" spans="1:11" hidden="1">
      <c r="A668" s="128"/>
      <c r="B668" s="128"/>
      <c r="C668" s="557" t="s">
        <v>119</v>
      </c>
      <c r="D668" s="128"/>
      <c r="E668" s="210">
        <f>ROUND(E667/10,2)</f>
        <v>3203.54</v>
      </c>
      <c r="F668" s="210">
        <f>ROUND(F667/10,2)</f>
        <v>3278.84</v>
      </c>
      <c r="G668" s="209">
        <f>ROUND(G667/10,2)</f>
        <v>3354.14</v>
      </c>
      <c r="H668" s="165"/>
    </row>
    <row r="669" spans="1:11" ht="153" hidden="1">
      <c r="A669" s="81">
        <v>10</v>
      </c>
      <c r="B669" s="207" t="s">
        <v>653</v>
      </c>
      <c r="C669" s="473" t="s">
        <v>656</v>
      </c>
      <c r="D669" s="128"/>
      <c r="E669" s="128"/>
      <c r="F669" s="128"/>
      <c r="G669" s="207"/>
    </row>
    <row r="670" spans="1:11" hidden="1">
      <c r="A670" s="81"/>
      <c r="B670" s="207"/>
      <c r="C670" s="557" t="s">
        <v>42</v>
      </c>
      <c r="D670" s="128"/>
      <c r="E670" s="128"/>
      <c r="F670" s="128"/>
      <c r="G670" s="204"/>
    </row>
    <row r="671" spans="1:11" hidden="1">
      <c r="A671" s="81"/>
      <c r="B671" s="207"/>
      <c r="C671" s="557" t="s">
        <v>60</v>
      </c>
      <c r="D671" s="128"/>
      <c r="E671" s="128"/>
      <c r="F671" s="128"/>
      <c r="G671" s="204"/>
    </row>
    <row r="672" spans="1:11" ht="25.5" hidden="1">
      <c r="A672" s="81"/>
      <c r="B672" s="207"/>
      <c r="C672" s="473" t="s">
        <v>652</v>
      </c>
      <c r="D672" s="128" t="s">
        <v>77</v>
      </c>
      <c r="E672" s="208">
        <v>10.1</v>
      </c>
      <c r="F672" s="208">
        <f>F652</f>
        <v>2366.9152000000004</v>
      </c>
      <c r="G672" s="125">
        <f>ROUND(E672*F672/1,2)</f>
        <v>23905.84</v>
      </c>
    </row>
    <row r="673" spans="1:11" hidden="1">
      <c r="A673" s="81"/>
      <c r="B673" s="207"/>
      <c r="C673" s="473" t="s">
        <v>654</v>
      </c>
      <c r="D673" s="128" t="s">
        <v>35</v>
      </c>
      <c r="E673" s="208">
        <v>0.12</v>
      </c>
      <c r="F673" s="208">
        <f>F656</f>
        <v>1013.4699999999982</v>
      </c>
      <c r="G673" s="125">
        <f>ROUND(E673*F673,2)</f>
        <v>121.62</v>
      </c>
    </row>
    <row r="674" spans="1:11" hidden="1">
      <c r="A674" s="81"/>
      <c r="B674" s="207"/>
      <c r="C674" s="473" t="s">
        <v>105</v>
      </c>
      <c r="D674" s="128" t="s">
        <v>4</v>
      </c>
      <c r="E674" s="208">
        <v>57.6</v>
      </c>
      <c r="F674" s="208">
        <f>F653</f>
        <v>4218.8</v>
      </c>
      <c r="G674" s="125">
        <f>ROUND(E674*F674/1000,2)</f>
        <v>243</v>
      </c>
    </row>
    <row r="675" spans="1:11" hidden="1">
      <c r="A675" s="81"/>
      <c r="B675" s="207"/>
      <c r="C675" s="473" t="s">
        <v>92</v>
      </c>
      <c r="D675" s="128" t="s">
        <v>4</v>
      </c>
      <c r="E675" s="208">
        <v>33</v>
      </c>
      <c r="F675" s="208">
        <f>F654</f>
        <v>4218.8</v>
      </c>
      <c r="G675" s="125">
        <f>ROUND(E675*F675/1000,2)</f>
        <v>139.22</v>
      </c>
    </row>
    <row r="676" spans="1:11" hidden="1">
      <c r="A676" s="81"/>
      <c r="B676" s="207"/>
      <c r="C676" s="473" t="s">
        <v>655</v>
      </c>
      <c r="D676" s="128" t="s">
        <v>4</v>
      </c>
      <c r="E676" s="208">
        <v>5</v>
      </c>
      <c r="F676" s="208">
        <f>'MINI SSR 2024-25'!C45</f>
        <v>27.95</v>
      </c>
      <c r="G676" s="125">
        <f>ROUND(E676*F676,2)</f>
        <v>139.75</v>
      </c>
    </row>
    <row r="677" spans="1:11" hidden="1">
      <c r="A677" s="128"/>
      <c r="B677" s="128"/>
      <c r="C677" s="557" t="s">
        <v>68</v>
      </c>
      <c r="D677" s="128"/>
      <c r="E677" s="208"/>
      <c r="F677" s="208"/>
      <c r="G677" s="125"/>
    </row>
    <row r="678" spans="1:11" hidden="1">
      <c r="A678" s="128"/>
      <c r="B678" s="128"/>
      <c r="C678" s="473" t="s">
        <v>64</v>
      </c>
      <c r="D678" s="128" t="s">
        <v>27</v>
      </c>
      <c r="E678" s="208">
        <v>2.1</v>
      </c>
      <c r="F678" s="208">
        <f>'MINI SSR 2024-25'!$H$3</f>
        <v>710</v>
      </c>
      <c r="G678" s="125">
        <f>ROUND(E678*F678,2)</f>
        <v>1491</v>
      </c>
      <c r="K678" s="19">
        <f>G678</f>
        <v>1491</v>
      </c>
    </row>
    <row r="679" spans="1:11" hidden="1">
      <c r="A679" s="128"/>
      <c r="B679" s="128"/>
      <c r="C679" s="473" t="s">
        <v>69</v>
      </c>
      <c r="D679" s="128" t="s">
        <v>27</v>
      </c>
      <c r="E679" s="208">
        <v>4.9000000000000004</v>
      </c>
      <c r="F679" s="208">
        <f>'MINI SSR 2024-25'!$H$4</f>
        <v>640</v>
      </c>
      <c r="G679" s="125">
        <f>ROUND(E679*F679,2)</f>
        <v>3136</v>
      </c>
      <c r="K679" s="19">
        <f>G679</f>
        <v>3136</v>
      </c>
    </row>
    <row r="680" spans="1:11" hidden="1">
      <c r="A680" s="128"/>
      <c r="B680" s="128"/>
      <c r="C680" s="473" t="s">
        <v>85</v>
      </c>
      <c r="D680" s="128" t="s">
        <v>27</v>
      </c>
      <c r="E680" s="208">
        <v>0.8</v>
      </c>
      <c r="F680" s="208">
        <f>'MINI SSR 2024-25'!$H$5</f>
        <v>595</v>
      </c>
      <c r="G680" s="125">
        <f>ROUND(E680*F680,2)</f>
        <v>476</v>
      </c>
      <c r="K680" s="19">
        <f>G680</f>
        <v>476</v>
      </c>
    </row>
    <row r="681" spans="1:11" hidden="1">
      <c r="A681" s="128"/>
      <c r="B681" s="128"/>
      <c r="C681" s="473" t="s">
        <v>845</v>
      </c>
      <c r="D681" s="128"/>
      <c r="E681" s="208">
        <v>0.01</v>
      </c>
      <c r="F681" s="208">
        <f>SUM(G673:G680)</f>
        <v>5746.59</v>
      </c>
      <c r="G681" s="125">
        <f>ROUND(E681*F681,2)</f>
        <v>57.47</v>
      </c>
      <c r="K681" s="19">
        <f>G681</f>
        <v>57.47</v>
      </c>
    </row>
    <row r="682" spans="1:11" hidden="1">
      <c r="A682" s="128"/>
      <c r="B682" s="128"/>
      <c r="C682" s="557" t="s">
        <v>88</v>
      </c>
      <c r="D682" s="128"/>
      <c r="E682" s="128"/>
      <c r="F682" s="128"/>
      <c r="G682" s="209">
        <f>SUM(G672:G681)</f>
        <v>29709.9</v>
      </c>
      <c r="K682" s="645">
        <f>SUM(K678:K680)</f>
        <v>5103</v>
      </c>
    </row>
    <row r="683" spans="1:11" hidden="1">
      <c r="A683" s="128"/>
      <c r="B683" s="128"/>
      <c r="C683" s="557"/>
      <c r="D683" s="128"/>
      <c r="E683" s="207" t="s">
        <v>163</v>
      </c>
      <c r="F683" s="207" t="s">
        <v>163</v>
      </c>
      <c r="G683" s="210" t="s">
        <v>164</v>
      </c>
      <c r="H683" s="10"/>
    </row>
    <row r="684" spans="1:11" hidden="1">
      <c r="A684" s="128"/>
      <c r="B684" s="128"/>
      <c r="C684" s="557" t="s">
        <v>1068</v>
      </c>
      <c r="D684" s="128"/>
      <c r="E684" s="208">
        <f>G682</f>
        <v>29709.9</v>
      </c>
      <c r="F684" s="208">
        <f>G682</f>
        <v>29709.9</v>
      </c>
      <c r="G684" s="204">
        <f>G682</f>
        <v>29709.9</v>
      </c>
      <c r="H684" s="10"/>
    </row>
    <row r="685" spans="1:11" hidden="1">
      <c r="A685" s="128"/>
      <c r="B685" s="128"/>
      <c r="C685" s="473" t="s">
        <v>1141</v>
      </c>
      <c r="D685" s="128"/>
      <c r="E685" s="208"/>
      <c r="F685" s="204">
        <f>ROUND((G678+G679+G680)*0.1,2)</f>
        <v>510.3</v>
      </c>
      <c r="G685" s="204">
        <f>ROUND((G678+G679+G680)*0.2,2)</f>
        <v>1020.6</v>
      </c>
      <c r="H685" s="10"/>
    </row>
    <row r="686" spans="1:11" hidden="1">
      <c r="A686" s="128"/>
      <c r="B686" s="128"/>
      <c r="C686" s="473" t="s">
        <v>2194</v>
      </c>
      <c r="D686" s="128"/>
      <c r="E686" s="204">
        <v>0</v>
      </c>
      <c r="F686" s="204">
        <v>0</v>
      </c>
      <c r="G686" s="204">
        <v>0</v>
      </c>
      <c r="H686" s="10"/>
    </row>
    <row r="687" spans="1:11" hidden="1">
      <c r="A687" s="128"/>
      <c r="B687" s="128"/>
      <c r="C687" s="557" t="s">
        <v>88</v>
      </c>
      <c r="D687" s="128"/>
      <c r="E687" s="208">
        <f>SUM(E684:E686)</f>
        <v>29709.9</v>
      </c>
      <c r="F687" s="208">
        <f>SUM(F684:F686)</f>
        <v>30220.2</v>
      </c>
      <c r="G687" s="208">
        <f>SUM(G684:G686)</f>
        <v>30730.5</v>
      </c>
      <c r="H687" s="10"/>
    </row>
    <row r="688" spans="1:11" hidden="1">
      <c r="A688" s="128"/>
      <c r="B688" s="128"/>
      <c r="C688" s="557" t="s">
        <v>119</v>
      </c>
      <c r="D688" s="128"/>
      <c r="E688" s="210">
        <f>ROUND(E687/10,2)</f>
        <v>2970.99</v>
      </c>
      <c r="F688" s="210">
        <f>ROUND(F687/10,2)</f>
        <v>3022.02</v>
      </c>
      <c r="G688" s="209">
        <f>ROUND(G687/10,2)</f>
        <v>3073.05</v>
      </c>
      <c r="H688" s="165"/>
    </row>
    <row r="689" spans="1:11" ht="38.25" hidden="1">
      <c r="A689" s="81">
        <v>42</v>
      </c>
      <c r="B689" s="207"/>
      <c r="C689" s="473" t="s">
        <v>881</v>
      </c>
      <c r="D689" s="128"/>
      <c r="E689" s="128"/>
      <c r="F689" s="128"/>
      <c r="G689" s="111"/>
      <c r="H689" s="10"/>
    </row>
    <row r="690" spans="1:11" hidden="1">
      <c r="A690" s="111"/>
      <c r="B690" s="111"/>
      <c r="C690" s="473" t="s">
        <v>882</v>
      </c>
      <c r="D690" s="81" t="s">
        <v>271</v>
      </c>
      <c r="E690" s="113">
        <v>1</v>
      </c>
      <c r="F690" s="12">
        <f>'MINI SSR 2024-25'!C46</f>
        <v>529</v>
      </c>
      <c r="G690" s="125">
        <f>ROUND(E690*F690,2)</f>
        <v>529</v>
      </c>
      <c r="H690" s="10"/>
    </row>
    <row r="691" spans="1:11" hidden="1">
      <c r="A691" s="111"/>
      <c r="B691" s="111"/>
      <c r="C691" s="557" t="s">
        <v>369</v>
      </c>
      <c r="D691" s="81"/>
      <c r="E691" s="12"/>
      <c r="F691" s="12"/>
      <c r="G691" s="131">
        <f>SUM(G690:G690)</f>
        <v>529</v>
      </c>
      <c r="H691" s="165"/>
    </row>
    <row r="692" spans="1:11" ht="140.25" hidden="1">
      <c r="A692" s="81">
        <v>6</v>
      </c>
      <c r="B692" s="207" t="s">
        <v>659</v>
      </c>
      <c r="C692" s="473" t="s">
        <v>658</v>
      </c>
      <c r="D692" s="128"/>
      <c r="E692" s="128"/>
      <c r="F692" s="128"/>
      <c r="G692" s="207"/>
    </row>
    <row r="693" spans="1:11" hidden="1">
      <c r="A693" s="81"/>
      <c r="B693" s="207"/>
      <c r="C693" s="557" t="s">
        <v>42</v>
      </c>
      <c r="D693" s="128"/>
      <c r="E693" s="128"/>
      <c r="F693" s="128"/>
      <c r="G693" s="204"/>
    </row>
    <row r="694" spans="1:11" hidden="1">
      <c r="A694" s="81"/>
      <c r="B694" s="207"/>
      <c r="C694" s="557" t="s">
        <v>60</v>
      </c>
      <c r="D694" s="128"/>
      <c r="E694" s="128"/>
      <c r="F694" s="128"/>
      <c r="G694" s="204"/>
    </row>
    <row r="695" spans="1:11" ht="25.5" hidden="1">
      <c r="A695" s="81"/>
      <c r="B695" s="207"/>
      <c r="C695" s="473" t="s">
        <v>662</v>
      </c>
      <c r="D695" s="128" t="s">
        <v>77</v>
      </c>
      <c r="E695" s="208">
        <v>10.050000000000001</v>
      </c>
      <c r="F695" s="208">
        <f>'MINI SSR 2024-25'!C20</f>
        <v>315</v>
      </c>
      <c r="G695" s="125">
        <f>ROUND(E695*F695/1,2)</f>
        <v>3165.75</v>
      </c>
    </row>
    <row r="696" spans="1:11" hidden="1">
      <c r="A696" s="81"/>
      <c r="B696" s="207"/>
      <c r="C696" s="473" t="s">
        <v>660</v>
      </c>
      <c r="D696" s="128" t="s">
        <v>4</v>
      </c>
      <c r="E696" s="208">
        <v>28.8</v>
      </c>
      <c r="F696" s="208">
        <f>F674</f>
        <v>4218.8</v>
      </c>
      <c r="G696" s="125">
        <f>ROUND(E696*F696/1000,2)</f>
        <v>121.5</v>
      </c>
    </row>
    <row r="697" spans="1:11" hidden="1">
      <c r="A697" s="81"/>
      <c r="B697" s="207"/>
      <c r="C697" s="473" t="s">
        <v>92</v>
      </c>
      <c r="D697" s="128" t="s">
        <v>4</v>
      </c>
      <c r="E697" s="208">
        <v>33</v>
      </c>
      <c r="F697" s="208">
        <f>F696</f>
        <v>4218.8</v>
      </c>
      <c r="G697" s="125">
        <f>ROUND(E697*F697/1000,2)</f>
        <v>139.22</v>
      </c>
    </row>
    <row r="698" spans="1:11" hidden="1">
      <c r="A698" s="81"/>
      <c r="B698" s="207"/>
      <c r="C698" s="473" t="s">
        <v>93</v>
      </c>
      <c r="D698" s="128" t="s">
        <v>4</v>
      </c>
      <c r="E698" s="208">
        <v>6</v>
      </c>
      <c r="F698" s="208">
        <f>F697</f>
        <v>4218.8</v>
      </c>
      <c r="G698" s="125">
        <f>ROUND(E698*F698/1000,2)</f>
        <v>25.31</v>
      </c>
    </row>
    <row r="699" spans="1:11" hidden="1">
      <c r="A699" s="81"/>
      <c r="B699" s="207"/>
      <c r="C699" s="473" t="s">
        <v>661</v>
      </c>
      <c r="D699" s="128" t="s">
        <v>35</v>
      </c>
      <c r="E699" s="208">
        <v>0.12</v>
      </c>
      <c r="F699" s="208">
        <f>'lead 24-25'!L13</f>
        <v>1013.4699999999982</v>
      </c>
      <c r="G699" s="125">
        <f>ROUND(E699*F699,2)</f>
        <v>121.62</v>
      </c>
    </row>
    <row r="700" spans="1:11" hidden="1">
      <c r="A700" s="128"/>
      <c r="B700" s="128"/>
      <c r="C700" s="557" t="s">
        <v>68</v>
      </c>
      <c r="D700" s="128"/>
      <c r="E700" s="208"/>
      <c r="F700" s="208"/>
      <c r="G700" s="125"/>
    </row>
    <row r="701" spans="1:11" hidden="1">
      <c r="A701" s="128"/>
      <c r="B701" s="128"/>
      <c r="C701" s="473" t="s">
        <v>69</v>
      </c>
      <c r="D701" s="128" t="s">
        <v>27</v>
      </c>
      <c r="E701" s="208">
        <v>0.96</v>
      </c>
      <c r="F701" s="208">
        <f>'MINI SSR 2024-25'!$H$4</f>
        <v>640</v>
      </c>
      <c r="G701" s="125">
        <f>ROUND(E701*F701,2)</f>
        <v>614.4</v>
      </c>
      <c r="K701" s="19">
        <f>G701</f>
        <v>614.4</v>
      </c>
    </row>
    <row r="702" spans="1:11" hidden="1">
      <c r="A702" s="128"/>
      <c r="B702" s="128"/>
      <c r="C702" s="473" t="s">
        <v>219</v>
      </c>
      <c r="D702" s="128" t="s">
        <v>27</v>
      </c>
      <c r="E702" s="208">
        <v>2.2400000000000002</v>
      </c>
      <c r="F702" s="208">
        <f>'MINI SSR 2024-25'!$H$5</f>
        <v>595</v>
      </c>
      <c r="G702" s="125">
        <f>ROUND(E702*F702,2)</f>
        <v>1332.8</v>
      </c>
      <c r="K702" s="19">
        <f>G702</f>
        <v>1332.8</v>
      </c>
    </row>
    <row r="703" spans="1:11" hidden="1">
      <c r="A703" s="128"/>
      <c r="B703" s="128"/>
      <c r="C703" s="473" t="s">
        <v>85</v>
      </c>
      <c r="D703" s="128" t="s">
        <v>27</v>
      </c>
      <c r="E703" s="208">
        <v>3.3</v>
      </c>
      <c r="F703" s="208">
        <f>'MINI SSR 2024-25'!$H$5</f>
        <v>595</v>
      </c>
      <c r="G703" s="125">
        <f>ROUND(E703*F703,2)</f>
        <v>1963.5</v>
      </c>
      <c r="K703" s="19">
        <f>G703</f>
        <v>1963.5</v>
      </c>
    </row>
    <row r="704" spans="1:11" hidden="1">
      <c r="A704" s="128"/>
      <c r="B704" s="128"/>
      <c r="C704" s="557" t="s">
        <v>88</v>
      </c>
      <c r="D704" s="128"/>
      <c r="E704" s="128"/>
      <c r="F704" s="128"/>
      <c r="G704" s="209">
        <f>SUM(G695:G703)</f>
        <v>7484.0999999999995</v>
      </c>
      <c r="K704" s="645">
        <f>SUM(K701:K703)</f>
        <v>3910.7</v>
      </c>
    </row>
    <row r="705" spans="1:8" hidden="1">
      <c r="A705" s="128"/>
      <c r="B705" s="128"/>
      <c r="C705" s="557"/>
      <c r="D705" s="128"/>
      <c r="E705" s="207" t="s">
        <v>163</v>
      </c>
      <c r="F705" s="207" t="s">
        <v>164</v>
      </c>
      <c r="G705" s="210" t="s">
        <v>165</v>
      </c>
      <c r="H705" s="10"/>
    </row>
    <row r="706" spans="1:8" hidden="1">
      <c r="A706" s="128"/>
      <c r="B706" s="128"/>
      <c r="C706" s="557" t="s">
        <v>1068</v>
      </c>
      <c r="D706" s="128"/>
      <c r="E706" s="208">
        <f>G704</f>
        <v>7484.0999999999995</v>
      </c>
      <c r="F706" s="208">
        <f>G704</f>
        <v>7484.0999999999995</v>
      </c>
      <c r="G706" s="204">
        <f>G704</f>
        <v>7484.0999999999995</v>
      </c>
      <c r="H706" s="10"/>
    </row>
    <row r="707" spans="1:8" ht="25.5" hidden="1">
      <c r="A707" s="128"/>
      <c r="B707" s="128"/>
      <c r="C707" s="473" t="s">
        <v>1079</v>
      </c>
      <c r="D707" s="128"/>
      <c r="E707" s="208"/>
      <c r="F707" s="204">
        <f>ROUND((G702+G701+G703)*0.1,2)</f>
        <v>391.07</v>
      </c>
      <c r="G707" s="204">
        <f>ROUND((G703+G701+G702)*0.2,2)</f>
        <v>782.14</v>
      </c>
      <c r="H707" s="10"/>
    </row>
    <row r="708" spans="1:8" hidden="1">
      <c r="A708" s="128"/>
      <c r="B708" s="128"/>
      <c r="C708" s="557" t="s">
        <v>88</v>
      </c>
      <c r="D708" s="128"/>
      <c r="E708" s="208">
        <f>SUM(E706:E707)</f>
        <v>7484.0999999999995</v>
      </c>
      <c r="F708" s="208">
        <f>SUM(F706:F707)</f>
        <v>7875.1699999999992</v>
      </c>
      <c r="G708" s="204">
        <f>SUM(G706:G707)</f>
        <v>8266.24</v>
      </c>
      <c r="H708" s="10"/>
    </row>
    <row r="709" spans="1:8" hidden="1">
      <c r="A709" s="128"/>
      <c r="B709" s="128"/>
      <c r="C709" s="557" t="s">
        <v>119</v>
      </c>
      <c r="D709" s="128"/>
      <c r="E709" s="210">
        <f>ROUND(E708/10,2)</f>
        <v>748.41</v>
      </c>
      <c r="F709" s="210">
        <f>ROUND(F708/10,2)</f>
        <v>787.52</v>
      </c>
      <c r="G709" s="209">
        <f>ROUND(G708/10,2)</f>
        <v>826.62</v>
      </c>
      <c r="H709" s="165"/>
    </row>
    <row r="710" spans="1:8" ht="127.5" hidden="1">
      <c r="A710" s="81">
        <v>44</v>
      </c>
      <c r="B710" s="207" t="s">
        <v>200</v>
      </c>
      <c r="C710" s="473" t="s">
        <v>664</v>
      </c>
      <c r="D710" s="128"/>
      <c r="E710" s="128"/>
      <c r="F710" s="128"/>
      <c r="G710" s="207"/>
      <c r="H710" s="10"/>
    </row>
    <row r="711" spans="1:8" hidden="1">
      <c r="A711" s="81"/>
      <c r="B711" s="207"/>
      <c r="C711" s="557" t="s">
        <v>42</v>
      </c>
      <c r="D711" s="128"/>
      <c r="E711" s="128"/>
      <c r="F711" s="128"/>
      <c r="G711" s="204"/>
      <c r="H711" s="10"/>
    </row>
    <row r="712" spans="1:8" hidden="1">
      <c r="A712" s="81"/>
      <c r="B712" s="207"/>
      <c r="C712" s="557" t="s">
        <v>60</v>
      </c>
      <c r="D712" s="128"/>
      <c r="E712" s="128"/>
      <c r="F712" s="128"/>
      <c r="G712" s="204"/>
      <c r="H712" s="10"/>
    </row>
    <row r="713" spans="1:8" ht="25.5" hidden="1">
      <c r="A713" s="81"/>
      <c r="B713" s="207"/>
      <c r="C713" s="473" t="s">
        <v>662</v>
      </c>
      <c r="D713" s="128" t="s">
        <v>77</v>
      </c>
      <c r="E713" s="208">
        <v>10.1</v>
      </c>
      <c r="F713" s="208">
        <f>'MINI SSR 2024-25'!C20</f>
        <v>315</v>
      </c>
      <c r="G713" s="125">
        <f>ROUND(E713*F713/1,2)</f>
        <v>3181.5</v>
      </c>
      <c r="H713" s="10"/>
    </row>
    <row r="714" spans="1:8" hidden="1">
      <c r="A714" s="81"/>
      <c r="B714" s="207"/>
      <c r="C714" s="473" t="s">
        <v>201</v>
      </c>
      <c r="D714" s="128" t="s">
        <v>35</v>
      </c>
      <c r="E714" s="208">
        <v>0.12</v>
      </c>
      <c r="F714" s="208">
        <f>F699</f>
        <v>1013.4699999999982</v>
      </c>
      <c r="G714" s="125">
        <f>ROUND(E714*F714,2)</f>
        <v>121.62</v>
      </c>
      <c r="H714" s="10"/>
    </row>
    <row r="715" spans="1:8" hidden="1">
      <c r="A715" s="81"/>
      <c r="B715" s="207"/>
      <c r="C715" s="473" t="s">
        <v>202</v>
      </c>
      <c r="D715" s="128" t="s">
        <v>4</v>
      </c>
      <c r="E715" s="208">
        <v>34.56</v>
      </c>
      <c r="F715" s="208">
        <f>F696</f>
        <v>4218.8</v>
      </c>
      <c r="G715" s="125">
        <f>ROUND(E715*F715/1000,2)</f>
        <v>145.80000000000001</v>
      </c>
      <c r="H715" s="10"/>
    </row>
    <row r="716" spans="1:8" hidden="1">
      <c r="A716" s="81"/>
      <c r="B716" s="207"/>
      <c r="C716" s="473" t="s">
        <v>203</v>
      </c>
      <c r="D716" s="128" t="s">
        <v>4</v>
      </c>
      <c r="E716" s="208">
        <v>33</v>
      </c>
      <c r="F716" s="208">
        <f>F715</f>
        <v>4218.8</v>
      </c>
      <c r="G716" s="125">
        <f>ROUND(E716*F716/1000,2)</f>
        <v>139.22</v>
      </c>
      <c r="H716" s="10"/>
    </row>
    <row r="717" spans="1:8" hidden="1">
      <c r="A717" s="81"/>
      <c r="B717" s="207"/>
      <c r="C717" s="473" t="s">
        <v>205</v>
      </c>
      <c r="D717" s="128" t="s">
        <v>4</v>
      </c>
      <c r="E717" s="208">
        <v>2</v>
      </c>
      <c r="F717" s="208">
        <f>'MINI SSR 2024-25'!C45</f>
        <v>27.95</v>
      </c>
      <c r="G717" s="125">
        <f>ROUND(E717*F717,2)</f>
        <v>55.9</v>
      </c>
      <c r="H717" s="10"/>
    </row>
    <row r="718" spans="1:8" hidden="1">
      <c r="A718" s="128"/>
      <c r="B718" s="128"/>
      <c r="C718" s="557" t="s">
        <v>68</v>
      </c>
      <c r="D718" s="128"/>
      <c r="E718" s="208"/>
      <c r="F718" s="208"/>
      <c r="G718" s="125"/>
      <c r="H718" s="10"/>
    </row>
    <row r="719" spans="1:8" hidden="1">
      <c r="A719" s="128"/>
      <c r="B719" s="128"/>
      <c r="C719" s="473" t="s">
        <v>64</v>
      </c>
      <c r="D719" s="128" t="s">
        <v>27</v>
      </c>
      <c r="E719" s="208">
        <v>0.96</v>
      </c>
      <c r="F719" s="208">
        <f>'MINI SSR 2024-25'!$H$3</f>
        <v>710</v>
      </c>
      <c r="G719" s="125">
        <f>ROUND(E719*F719,2)</f>
        <v>681.6</v>
      </c>
      <c r="H719" s="10"/>
    </row>
    <row r="720" spans="1:8" hidden="1">
      <c r="A720" s="128"/>
      <c r="B720" s="128"/>
      <c r="C720" s="473" t="s">
        <v>69</v>
      </c>
      <c r="D720" s="128" t="s">
        <v>27</v>
      </c>
      <c r="E720" s="208">
        <v>2.2400000000000002</v>
      </c>
      <c r="F720" s="208">
        <f>'MINI SSR 2024-25'!$H$4</f>
        <v>640</v>
      </c>
      <c r="G720" s="125">
        <f>ROUND(E720*F720,2)</f>
        <v>1433.6</v>
      </c>
      <c r="H720" s="10"/>
    </row>
    <row r="721" spans="1:8" hidden="1">
      <c r="A721" s="128"/>
      <c r="B721" s="128"/>
      <c r="C721" s="473" t="s">
        <v>85</v>
      </c>
      <c r="D721" s="128" t="s">
        <v>27</v>
      </c>
      <c r="E721" s="208">
        <v>3.3</v>
      </c>
      <c r="F721" s="208">
        <f>'MINI SSR 2024-25'!$H$5</f>
        <v>595</v>
      </c>
      <c r="G721" s="125">
        <f>ROUND(E721*F721,2)</f>
        <v>1963.5</v>
      </c>
      <c r="H721" s="10"/>
    </row>
    <row r="722" spans="1:8" hidden="1">
      <c r="A722" s="128"/>
      <c r="B722" s="128"/>
      <c r="C722" s="557" t="s">
        <v>88</v>
      </c>
      <c r="D722" s="128"/>
      <c r="E722" s="128"/>
      <c r="F722" s="128"/>
      <c r="G722" s="209">
        <f>SUM(G713:G721)</f>
        <v>7722.74</v>
      </c>
      <c r="H722" s="10"/>
    </row>
    <row r="723" spans="1:8" hidden="1">
      <c r="A723" s="128"/>
      <c r="B723" s="128"/>
      <c r="C723" s="557"/>
      <c r="D723" s="128"/>
      <c r="E723" s="207" t="s">
        <v>163</v>
      </c>
      <c r="F723" s="207" t="s">
        <v>164</v>
      </c>
      <c r="G723" s="210" t="s">
        <v>165</v>
      </c>
      <c r="H723" s="10"/>
    </row>
    <row r="724" spans="1:8" hidden="1">
      <c r="A724" s="128"/>
      <c r="B724" s="128"/>
      <c r="C724" s="557" t="s">
        <v>1069</v>
      </c>
      <c r="D724" s="128"/>
      <c r="E724" s="208">
        <f>G722</f>
        <v>7722.74</v>
      </c>
      <c r="F724" s="208">
        <f>G722</f>
        <v>7722.74</v>
      </c>
      <c r="G724" s="204">
        <f>G722</f>
        <v>7722.74</v>
      </c>
      <c r="H724" s="10"/>
    </row>
    <row r="725" spans="1:8" ht="25.5" hidden="1">
      <c r="A725" s="128"/>
      <c r="B725" s="128"/>
      <c r="C725" s="473" t="s">
        <v>172</v>
      </c>
      <c r="D725" s="128"/>
      <c r="E725" s="208"/>
      <c r="F725" s="204">
        <f>ROUND((G720+G719+G721)*0.1,2)</f>
        <v>407.87</v>
      </c>
      <c r="G725" s="204">
        <f>ROUND((G721+G719+G720)*0.2,2)</f>
        <v>815.74</v>
      </c>
      <c r="H725" s="10"/>
    </row>
    <row r="726" spans="1:8" hidden="1">
      <c r="A726" s="128"/>
      <c r="B726" s="128"/>
      <c r="C726" s="557" t="s">
        <v>195</v>
      </c>
      <c r="D726" s="128"/>
      <c r="E726" s="208">
        <f>SUM(E724:E725)</f>
        <v>7722.74</v>
      </c>
      <c r="F726" s="208">
        <f>SUM(F724:F725)</f>
        <v>8130.61</v>
      </c>
      <c r="G726" s="204">
        <f>SUM(G724:G725)</f>
        <v>8538.48</v>
      </c>
      <c r="H726" s="10"/>
    </row>
    <row r="727" spans="1:8" hidden="1">
      <c r="A727" s="128"/>
      <c r="B727" s="128"/>
      <c r="C727" s="557" t="s">
        <v>183</v>
      </c>
      <c r="D727" s="128"/>
      <c r="E727" s="210">
        <f>ROUND(E726/10,2)</f>
        <v>772.27</v>
      </c>
      <c r="F727" s="210">
        <f>ROUND(F726/10,2)</f>
        <v>813.06</v>
      </c>
      <c r="G727" s="209">
        <f>ROUND(G726/10,2)</f>
        <v>853.85</v>
      </c>
      <c r="H727" s="165"/>
    </row>
    <row r="728" spans="1:8" ht="165.75">
      <c r="A728" s="81">
        <v>16</v>
      </c>
      <c r="B728" s="207" t="s">
        <v>196</v>
      </c>
      <c r="C728" s="473" t="s">
        <v>212</v>
      </c>
      <c r="D728" s="128"/>
      <c r="E728" s="128"/>
      <c r="F728" s="128"/>
      <c r="G728" s="207"/>
      <c r="H728" s="10"/>
    </row>
    <row r="729" spans="1:8">
      <c r="A729" s="81"/>
      <c r="B729" s="207"/>
      <c r="C729" s="557" t="s">
        <v>42</v>
      </c>
      <c r="D729" s="128"/>
      <c r="E729" s="128"/>
      <c r="F729" s="128"/>
      <c r="G729" s="204"/>
      <c r="H729" s="10"/>
    </row>
    <row r="730" spans="1:8">
      <c r="A730" s="81"/>
      <c r="B730" s="207"/>
      <c r="C730" s="557" t="s">
        <v>60</v>
      </c>
      <c r="D730" s="128"/>
      <c r="E730" s="128"/>
      <c r="F730" s="128"/>
      <c r="G730" s="204"/>
      <c r="H730" s="10"/>
    </row>
    <row r="731" spans="1:8">
      <c r="A731" s="81"/>
      <c r="B731" s="207"/>
      <c r="C731" s="473" t="s">
        <v>204</v>
      </c>
      <c r="D731" s="128" t="s">
        <v>77</v>
      </c>
      <c r="E731" s="208">
        <v>10.1</v>
      </c>
      <c r="F731" s="208">
        <f>'MINI SSR 2024-25'!C21</f>
        <v>625</v>
      </c>
      <c r="G731" s="125">
        <f>ROUND(E731*F731,2)</f>
        <v>6312.5</v>
      </c>
      <c r="H731" s="10"/>
    </row>
    <row r="732" spans="1:8">
      <c r="A732" s="81"/>
      <c r="B732" s="207"/>
      <c r="C732" s="473" t="s">
        <v>91</v>
      </c>
      <c r="D732" s="128" t="s">
        <v>4</v>
      </c>
      <c r="E732" s="208">
        <v>21.6</v>
      </c>
      <c r="F732" s="208">
        <f>'lead 24-25'!L8</f>
        <v>4218.8</v>
      </c>
      <c r="G732" s="125">
        <f>ROUND(E732*F732/1000,2)</f>
        <v>91.13</v>
      </c>
      <c r="H732" s="10"/>
    </row>
    <row r="733" spans="1:8">
      <c r="A733" s="81"/>
      <c r="B733" s="207"/>
      <c r="C733" s="473" t="s">
        <v>92</v>
      </c>
      <c r="D733" s="128" t="s">
        <v>4</v>
      </c>
      <c r="E733" s="208">
        <v>33</v>
      </c>
      <c r="F733" s="208">
        <f>F732</f>
        <v>4218.8</v>
      </c>
      <c r="G733" s="125">
        <f>ROUND(E733*F733/1000,2)</f>
        <v>139.22</v>
      </c>
      <c r="H733" s="10"/>
    </row>
    <row r="734" spans="1:8">
      <c r="A734" s="81"/>
      <c r="B734" s="207"/>
      <c r="C734" s="473" t="s">
        <v>197</v>
      </c>
      <c r="D734" s="128" t="s">
        <v>4</v>
      </c>
      <c r="E734" s="208">
        <v>6</v>
      </c>
      <c r="F734" s="208">
        <f>F733</f>
        <v>4218.8</v>
      </c>
      <c r="G734" s="125">
        <f>ROUND(E734*F734/1000,2)</f>
        <v>25.31</v>
      </c>
      <c r="H734" s="10"/>
    </row>
    <row r="735" spans="1:8">
      <c r="A735" s="81"/>
      <c r="B735" s="207"/>
      <c r="C735" s="473" t="s">
        <v>198</v>
      </c>
      <c r="D735" s="128" t="s">
        <v>35</v>
      </c>
      <c r="E735" s="208">
        <v>0.12</v>
      </c>
      <c r="F735" s="208">
        <f>'lead 24-25'!L13</f>
        <v>1013.4699999999982</v>
      </c>
      <c r="G735" s="125">
        <f>ROUND(E735*F735,2)</f>
        <v>121.62</v>
      </c>
      <c r="H735" s="10"/>
    </row>
    <row r="736" spans="1:8">
      <c r="A736" s="81"/>
      <c r="B736" s="207"/>
      <c r="C736" s="473" t="s">
        <v>199</v>
      </c>
      <c r="D736" s="128" t="s">
        <v>35</v>
      </c>
      <c r="E736" s="208">
        <v>0.02</v>
      </c>
      <c r="F736" s="208">
        <f>F735</f>
        <v>1013.4699999999982</v>
      </c>
      <c r="G736" s="125">
        <f>ROUND(E736*F736,2)</f>
        <v>20.27</v>
      </c>
      <c r="H736" s="10"/>
    </row>
    <row r="737" spans="1:8">
      <c r="A737" s="128"/>
      <c r="B737" s="128"/>
      <c r="C737" s="557" t="s">
        <v>68</v>
      </c>
      <c r="D737" s="128"/>
      <c r="E737" s="208"/>
      <c r="F737" s="208"/>
      <c r="G737" s="125"/>
      <c r="H737" s="10"/>
    </row>
    <row r="738" spans="1:8">
      <c r="A738" s="128"/>
      <c r="B738" s="128"/>
      <c r="C738" s="473" t="s">
        <v>64</v>
      </c>
      <c r="D738" s="128" t="s">
        <v>27</v>
      </c>
      <c r="E738" s="208">
        <v>0.96</v>
      </c>
      <c r="F738" s="208">
        <f>'MINI SSR 2024-25'!$H$3</f>
        <v>710</v>
      </c>
      <c r="G738" s="125">
        <f>ROUND(E738*F738,2)</f>
        <v>681.6</v>
      </c>
      <c r="H738" s="10"/>
    </row>
    <row r="739" spans="1:8">
      <c r="A739" s="128"/>
      <c r="B739" s="128"/>
      <c r="C739" s="473" t="s">
        <v>69</v>
      </c>
      <c r="D739" s="128" t="s">
        <v>27</v>
      </c>
      <c r="E739" s="208">
        <v>2.2400000000000002</v>
      </c>
      <c r="F739" s="208">
        <f>'MINI SSR 2024-25'!$H$4</f>
        <v>640</v>
      </c>
      <c r="G739" s="125">
        <f>ROUND(E739*F739,2)</f>
        <v>1433.6</v>
      </c>
      <c r="H739" s="10"/>
    </row>
    <row r="740" spans="1:8">
      <c r="A740" s="128"/>
      <c r="B740" s="128"/>
      <c r="C740" s="473" t="s">
        <v>85</v>
      </c>
      <c r="D740" s="128" t="s">
        <v>27</v>
      </c>
      <c r="E740" s="208">
        <v>3.3</v>
      </c>
      <c r="F740" s="208">
        <f>'MINI SSR 2024-25'!$H$5</f>
        <v>595</v>
      </c>
      <c r="G740" s="125">
        <f>ROUND(E740*F740,2)</f>
        <v>1963.5</v>
      </c>
      <c r="H740" s="10"/>
    </row>
    <row r="741" spans="1:8">
      <c r="A741" s="128"/>
      <c r="B741" s="128"/>
      <c r="C741" s="473" t="s">
        <v>988</v>
      </c>
      <c r="D741" s="128"/>
      <c r="E741" s="208">
        <v>0.01</v>
      </c>
      <c r="F741" s="208">
        <f>SUM(G731:G740)</f>
        <v>10788.750000000002</v>
      </c>
      <c r="G741" s="125">
        <f>ROUND(E741*F741,2)</f>
        <v>107.89</v>
      </c>
      <c r="H741" s="10"/>
    </row>
    <row r="742" spans="1:8">
      <c r="A742" s="128"/>
      <c r="B742" s="128"/>
      <c r="C742" s="557" t="s">
        <v>88</v>
      </c>
      <c r="D742" s="128"/>
      <c r="E742" s="128"/>
      <c r="F742" s="128"/>
      <c r="G742" s="209">
        <f>SUM(G731:G741)</f>
        <v>10896.640000000001</v>
      </c>
      <c r="H742" s="10"/>
    </row>
    <row r="743" spans="1:8">
      <c r="A743" s="128"/>
      <c r="B743" s="128"/>
      <c r="C743" s="557"/>
      <c r="D743" s="128"/>
      <c r="E743" s="207" t="s">
        <v>163</v>
      </c>
      <c r="F743" s="207" t="s">
        <v>164</v>
      </c>
      <c r="G743" s="210" t="s">
        <v>165</v>
      </c>
      <c r="H743" s="10"/>
    </row>
    <row r="744" spans="1:8">
      <c r="A744" s="128"/>
      <c r="B744" s="128"/>
      <c r="C744" s="557" t="s">
        <v>1069</v>
      </c>
      <c r="D744" s="128"/>
      <c r="E744" s="208">
        <f>G742</f>
        <v>10896.640000000001</v>
      </c>
      <c r="F744" s="208">
        <f>G742</f>
        <v>10896.640000000001</v>
      </c>
      <c r="G744" s="204">
        <f>G742</f>
        <v>10896.640000000001</v>
      </c>
      <c r="H744" s="10"/>
    </row>
    <row r="745" spans="1:8" ht="25.5">
      <c r="A745" s="128"/>
      <c r="B745" s="128"/>
      <c r="C745" s="473" t="s">
        <v>172</v>
      </c>
      <c r="D745" s="128"/>
      <c r="E745" s="128"/>
      <c r="F745" s="208">
        <f>ROUND((G738+G739+G740)*0.1,2)</f>
        <v>407.87</v>
      </c>
      <c r="G745" s="633">
        <f>ROUND((G738+G739+G740)*0.2,2)</f>
        <v>815.74</v>
      </c>
      <c r="H745" s="10"/>
    </row>
    <row r="746" spans="1:8">
      <c r="A746" s="128"/>
      <c r="B746" s="128"/>
      <c r="C746" s="473" t="s">
        <v>2194</v>
      </c>
      <c r="D746" s="128"/>
      <c r="E746" s="208">
        <f>ROUND((E744+E745)*$C$3,2)</f>
        <v>1483.58</v>
      </c>
      <c r="F746" s="208">
        <f>ROUND((F744+F745)*$C$3,2)</f>
        <v>1539.11</v>
      </c>
      <c r="G746" s="208">
        <f>ROUND((G744+G745)*$C$3,2)</f>
        <v>1594.64</v>
      </c>
      <c r="H746" s="10"/>
    </row>
    <row r="747" spans="1:8">
      <c r="A747" s="128"/>
      <c r="B747" s="128"/>
      <c r="C747" s="557" t="s">
        <v>195</v>
      </c>
      <c r="D747" s="128"/>
      <c r="E747" s="210">
        <f>SUM(E744:E746)</f>
        <v>12380.220000000001</v>
      </c>
      <c r="F747" s="210">
        <f>SUM(F744:F746)</f>
        <v>12843.620000000003</v>
      </c>
      <c r="G747" s="210">
        <f>SUM(G744:G746)</f>
        <v>13307.02</v>
      </c>
      <c r="H747" s="10"/>
    </row>
    <row r="748" spans="1:8">
      <c r="A748" s="128"/>
      <c r="B748" s="128"/>
      <c r="C748" s="557" t="s">
        <v>183</v>
      </c>
      <c r="D748" s="128"/>
      <c r="E748" s="210">
        <f>ROUND(E747/10,2)</f>
        <v>1238.02</v>
      </c>
      <c r="F748" s="210">
        <f>ROUND(F747/10,2)</f>
        <v>1284.3599999999999</v>
      </c>
      <c r="G748" s="209">
        <f>ROUND(G747/10,2)</f>
        <v>1330.7</v>
      </c>
      <c r="H748" s="165"/>
    </row>
    <row r="749" spans="1:8" ht="127.5">
      <c r="A749" s="81">
        <v>17</v>
      </c>
      <c r="B749" s="207" t="s">
        <v>200</v>
      </c>
      <c r="C749" s="473" t="s">
        <v>213</v>
      </c>
      <c r="D749" s="128"/>
      <c r="E749" s="128"/>
      <c r="F749" s="128"/>
      <c r="G749" s="207"/>
      <c r="H749" s="10"/>
    </row>
    <row r="750" spans="1:8">
      <c r="A750" s="81"/>
      <c r="B750" s="207"/>
      <c r="C750" s="557" t="s">
        <v>42</v>
      </c>
      <c r="D750" s="128"/>
      <c r="E750" s="128"/>
      <c r="F750" s="128"/>
      <c r="G750" s="204"/>
      <c r="H750" s="10"/>
    </row>
    <row r="751" spans="1:8">
      <c r="A751" s="81"/>
      <c r="B751" s="207"/>
      <c r="C751" s="557" t="s">
        <v>60</v>
      </c>
      <c r="D751" s="128"/>
      <c r="E751" s="128"/>
      <c r="F751" s="128"/>
      <c r="G751" s="204"/>
      <c r="H751" s="10"/>
    </row>
    <row r="752" spans="1:8">
      <c r="A752" s="81"/>
      <c r="B752" s="207"/>
      <c r="C752" s="473" t="s">
        <v>204</v>
      </c>
      <c r="D752" s="128" t="s">
        <v>77</v>
      </c>
      <c r="E752" s="208">
        <v>10.1</v>
      </c>
      <c r="F752" s="208">
        <f>'MINI SSR 2024-25'!C21</f>
        <v>625</v>
      </c>
      <c r="G752" s="125">
        <f>ROUND(E752*F752,2)</f>
        <v>6312.5</v>
      </c>
      <c r="H752" s="10"/>
    </row>
    <row r="753" spans="1:8">
      <c r="A753" s="81"/>
      <c r="B753" s="207"/>
      <c r="C753" s="473" t="s">
        <v>201</v>
      </c>
      <c r="D753" s="128" t="s">
        <v>35</v>
      </c>
      <c r="E753" s="208">
        <v>0.12</v>
      </c>
      <c r="F753" s="208">
        <f>'lead 24-25'!L13</f>
        <v>1013.4699999999982</v>
      </c>
      <c r="G753" s="125">
        <f>ROUND(E753*F753,2)</f>
        <v>121.62</v>
      </c>
      <c r="H753" s="10"/>
    </row>
    <row r="754" spans="1:8">
      <c r="A754" s="81"/>
      <c r="B754" s="207"/>
      <c r="C754" s="473" t="s">
        <v>202</v>
      </c>
      <c r="D754" s="128" t="s">
        <v>4</v>
      </c>
      <c r="E754" s="208">
        <v>34.56</v>
      </c>
      <c r="F754" s="208">
        <f>'lead 24-25'!L8</f>
        <v>4218.8</v>
      </c>
      <c r="G754" s="125">
        <f>ROUND(E754*F754/1000,2)</f>
        <v>145.80000000000001</v>
      </c>
      <c r="H754" s="10"/>
    </row>
    <row r="755" spans="1:8">
      <c r="A755" s="81"/>
      <c r="B755" s="207"/>
      <c r="C755" s="473" t="s">
        <v>203</v>
      </c>
      <c r="D755" s="128" t="s">
        <v>4</v>
      </c>
      <c r="E755" s="208">
        <v>33</v>
      </c>
      <c r="F755" s="208">
        <f>F754</f>
        <v>4218.8</v>
      </c>
      <c r="G755" s="125">
        <f>ROUND(E755*F755/1000,2)</f>
        <v>139.22</v>
      </c>
      <c r="H755" s="10"/>
    </row>
    <row r="756" spans="1:8">
      <c r="A756" s="81"/>
      <c r="B756" s="207"/>
      <c r="C756" s="473" t="s">
        <v>205</v>
      </c>
      <c r="D756" s="128" t="s">
        <v>4</v>
      </c>
      <c r="E756" s="208">
        <v>2</v>
      </c>
      <c r="F756" s="208">
        <f>'MINI SSR 2024-25'!C45</f>
        <v>27.95</v>
      </c>
      <c r="G756" s="125">
        <f>ROUND(E756*F756,2)</f>
        <v>55.9</v>
      </c>
      <c r="H756" s="10"/>
    </row>
    <row r="757" spans="1:8">
      <c r="A757" s="128"/>
      <c r="B757" s="128"/>
      <c r="C757" s="557" t="s">
        <v>68</v>
      </c>
      <c r="D757" s="128"/>
      <c r="E757" s="208"/>
      <c r="F757" s="208"/>
      <c r="G757" s="125"/>
      <c r="H757" s="10"/>
    </row>
    <row r="758" spans="1:8">
      <c r="A758" s="128"/>
      <c r="B758" s="128"/>
      <c r="C758" s="473" t="s">
        <v>64</v>
      </c>
      <c r="D758" s="128" t="s">
        <v>27</v>
      </c>
      <c r="E758" s="208">
        <v>0.96</v>
      </c>
      <c r="F758" s="208">
        <f>'MINI SSR 2024-25'!$H$3</f>
        <v>710</v>
      </c>
      <c r="G758" s="125">
        <f>ROUND(E758*F758,2)</f>
        <v>681.6</v>
      </c>
      <c r="H758" s="10"/>
    </row>
    <row r="759" spans="1:8">
      <c r="A759" s="128"/>
      <c r="B759" s="128"/>
      <c r="C759" s="473" t="s">
        <v>69</v>
      </c>
      <c r="D759" s="128" t="s">
        <v>27</v>
      </c>
      <c r="E759" s="208">
        <v>2.2400000000000002</v>
      </c>
      <c r="F759" s="208">
        <f>'MINI SSR 2024-25'!$H$4</f>
        <v>640</v>
      </c>
      <c r="G759" s="125">
        <f>ROUND(E759*F759,2)</f>
        <v>1433.6</v>
      </c>
      <c r="H759" s="10"/>
    </row>
    <row r="760" spans="1:8">
      <c r="A760" s="128"/>
      <c r="B760" s="128"/>
      <c r="C760" s="473" t="s">
        <v>85</v>
      </c>
      <c r="D760" s="128" t="s">
        <v>27</v>
      </c>
      <c r="E760" s="208">
        <v>3.3</v>
      </c>
      <c r="F760" s="208">
        <f>'MINI SSR 2024-25'!$H$5</f>
        <v>595</v>
      </c>
      <c r="G760" s="125">
        <f>ROUND(E760*F760,2)</f>
        <v>1963.5</v>
      </c>
      <c r="H760" s="10"/>
    </row>
    <row r="761" spans="1:8">
      <c r="A761" s="128"/>
      <c r="B761" s="128"/>
      <c r="C761" s="557" t="s">
        <v>88</v>
      </c>
      <c r="D761" s="128"/>
      <c r="E761" s="128"/>
      <c r="F761" s="128"/>
      <c r="G761" s="209">
        <f>SUM(G752:G760)</f>
        <v>10853.74</v>
      </c>
      <c r="H761" s="10"/>
    </row>
    <row r="762" spans="1:8">
      <c r="A762" s="128"/>
      <c r="B762" s="128"/>
      <c r="C762" s="557"/>
      <c r="D762" s="128"/>
      <c r="E762" s="207" t="s">
        <v>163</v>
      </c>
      <c r="F762" s="207" t="s">
        <v>164</v>
      </c>
      <c r="G762" s="210" t="s">
        <v>165</v>
      </c>
      <c r="H762" s="10"/>
    </row>
    <row r="763" spans="1:8">
      <c r="A763" s="128"/>
      <c r="B763" s="128"/>
      <c r="C763" s="557" t="s">
        <v>1069</v>
      </c>
      <c r="D763" s="128"/>
      <c r="E763" s="208">
        <f>G761</f>
        <v>10853.74</v>
      </c>
      <c r="F763" s="208">
        <f>G761</f>
        <v>10853.74</v>
      </c>
      <c r="G763" s="204">
        <f>G761</f>
        <v>10853.74</v>
      </c>
      <c r="H763" s="10"/>
    </row>
    <row r="764" spans="1:8" ht="25.5">
      <c r="A764" s="128"/>
      <c r="B764" s="128"/>
      <c r="C764" s="473" t="s">
        <v>172</v>
      </c>
      <c r="D764" s="128"/>
      <c r="E764" s="128"/>
      <c r="F764" s="208">
        <f>ROUND((G758+G759+G760)*0.1,2)</f>
        <v>407.87</v>
      </c>
      <c r="G764" s="633">
        <f>ROUND((G758+G759+G760)*0.2,2)</f>
        <v>815.74</v>
      </c>
      <c r="H764" s="10"/>
    </row>
    <row r="765" spans="1:8">
      <c r="A765" s="128"/>
      <c r="B765" s="128"/>
      <c r="C765" s="473" t="s">
        <v>2194</v>
      </c>
      <c r="D765" s="128"/>
      <c r="E765" s="208">
        <f>ROUND((E763+E764)*$C$3,2)</f>
        <v>1477.74</v>
      </c>
      <c r="F765" s="208">
        <f>ROUND((F763+F764)*$C$3,2)</f>
        <v>1533.27</v>
      </c>
      <c r="G765" s="208">
        <f>ROUND((G763+G764)*$C$3,2)</f>
        <v>1588.8</v>
      </c>
      <c r="H765" s="10"/>
    </row>
    <row r="766" spans="1:8">
      <c r="A766" s="128"/>
      <c r="B766" s="128"/>
      <c r="C766" s="557" t="s">
        <v>195</v>
      </c>
      <c r="D766" s="128"/>
      <c r="E766" s="210">
        <f>SUM(E763:E765)</f>
        <v>12331.48</v>
      </c>
      <c r="F766" s="210">
        <f>SUM(F763:F765)</f>
        <v>12794.880000000001</v>
      </c>
      <c r="G766" s="210">
        <f>SUM(G763:G765)</f>
        <v>13258.279999999999</v>
      </c>
      <c r="H766" s="10"/>
    </row>
    <row r="767" spans="1:8">
      <c r="A767" s="128"/>
      <c r="B767" s="128"/>
      <c r="C767" s="557" t="s">
        <v>183</v>
      </c>
      <c r="D767" s="128"/>
      <c r="E767" s="210">
        <f>ROUND(E766/10,2)</f>
        <v>1233.1500000000001</v>
      </c>
      <c r="F767" s="210">
        <f>ROUND(F766/10,2)</f>
        <v>1279.49</v>
      </c>
      <c r="G767" s="209">
        <f>ROUND(G766/10,2)</f>
        <v>1325.83</v>
      </c>
      <c r="H767" s="165"/>
    </row>
    <row r="768" spans="1:8" ht="140.25" hidden="1">
      <c r="A768" s="81">
        <v>6</v>
      </c>
      <c r="B768" s="207" t="s">
        <v>206</v>
      </c>
      <c r="C768" s="473" t="s">
        <v>211</v>
      </c>
      <c r="D768" s="128"/>
      <c r="E768" s="128"/>
      <c r="F768" s="128"/>
      <c r="G768" s="207"/>
      <c r="H768" s="10"/>
    </row>
    <row r="769" spans="1:8" hidden="1">
      <c r="A769" s="81"/>
      <c r="B769" s="207"/>
      <c r="C769" s="557" t="s">
        <v>42</v>
      </c>
      <c r="D769" s="128"/>
      <c r="E769" s="128"/>
      <c r="F769" s="128"/>
      <c r="G769" s="204"/>
      <c r="H769" s="10"/>
    </row>
    <row r="770" spans="1:8" hidden="1">
      <c r="A770" s="81"/>
      <c r="B770" s="207"/>
      <c r="C770" s="557" t="s">
        <v>60</v>
      </c>
      <c r="D770" s="128"/>
      <c r="E770" s="128"/>
      <c r="F770" s="128"/>
      <c r="G770" s="204"/>
      <c r="H770" s="10"/>
    </row>
    <row r="771" spans="1:8" hidden="1">
      <c r="A771" s="81"/>
      <c r="B771" s="207"/>
      <c r="C771" s="473" t="s">
        <v>1550</v>
      </c>
      <c r="D771" s="128" t="s">
        <v>77</v>
      </c>
      <c r="E771" s="208">
        <v>10.1</v>
      </c>
      <c r="F771" s="208">
        <f>'MINI SSR 2024-25'!C22</f>
        <v>396.4</v>
      </c>
      <c r="G771" s="125">
        <f>ROUND(E771*F771,2)</f>
        <v>4003.64</v>
      </c>
      <c r="H771" s="10"/>
    </row>
    <row r="772" spans="1:8" hidden="1">
      <c r="A772" s="81"/>
      <c r="B772" s="207"/>
      <c r="C772" s="473" t="s">
        <v>91</v>
      </c>
      <c r="D772" s="128" t="s">
        <v>4</v>
      </c>
      <c r="E772" s="208">
        <v>21.6</v>
      </c>
      <c r="F772" s="208">
        <f>'lead 24-25'!L8</f>
        <v>4218.8</v>
      </c>
      <c r="G772" s="125">
        <f>ROUND(E772*F772/1000,2)</f>
        <v>91.13</v>
      </c>
      <c r="H772" s="10"/>
    </row>
    <row r="773" spans="1:8" hidden="1">
      <c r="A773" s="81"/>
      <c r="B773" s="207"/>
      <c r="C773" s="473" t="s">
        <v>92</v>
      </c>
      <c r="D773" s="128" t="s">
        <v>4</v>
      </c>
      <c r="E773" s="208">
        <v>33</v>
      </c>
      <c r="F773" s="208">
        <f>F772</f>
        <v>4218.8</v>
      </c>
      <c r="G773" s="125">
        <f>ROUND(E773*F773/1000,2)</f>
        <v>139.22</v>
      </c>
      <c r="H773" s="10"/>
    </row>
    <row r="774" spans="1:8" hidden="1">
      <c r="A774" s="81"/>
      <c r="B774" s="207"/>
      <c r="C774" s="473" t="s">
        <v>205</v>
      </c>
      <c r="D774" s="128" t="s">
        <v>4</v>
      </c>
      <c r="E774" s="208">
        <v>2</v>
      </c>
      <c r="F774" s="208">
        <f>'MINI SSR 2024-25'!C45</f>
        <v>27.95</v>
      </c>
      <c r="G774" s="125">
        <f>ROUND(E774*F774,2)</f>
        <v>55.9</v>
      </c>
      <c r="H774" s="10"/>
    </row>
    <row r="775" spans="1:8" hidden="1">
      <c r="A775" s="81"/>
      <c r="B775" s="207"/>
      <c r="C775" s="473" t="s">
        <v>113</v>
      </c>
      <c r="D775" s="128" t="s">
        <v>35</v>
      </c>
      <c r="E775" s="208">
        <v>0.12</v>
      </c>
      <c r="F775" s="208">
        <f>'lead 24-25'!L13</f>
        <v>1013.4699999999982</v>
      </c>
      <c r="G775" s="125">
        <f>ROUND(E775*F775,2)</f>
        <v>121.62</v>
      </c>
      <c r="H775" s="10"/>
    </row>
    <row r="776" spans="1:8" hidden="1">
      <c r="A776" s="128"/>
      <c r="B776" s="128"/>
      <c r="C776" s="557" t="s">
        <v>68</v>
      </c>
      <c r="D776" s="128"/>
      <c r="E776" s="208"/>
      <c r="F776" s="208"/>
      <c r="G776" s="125"/>
      <c r="H776" s="10"/>
    </row>
    <row r="777" spans="1:8" hidden="1">
      <c r="A777" s="128"/>
      <c r="B777" s="128"/>
      <c r="C777" s="473" t="s">
        <v>64</v>
      </c>
      <c r="D777" s="128" t="s">
        <v>27</v>
      </c>
      <c r="E777" s="208">
        <v>0.96</v>
      </c>
      <c r="F777" s="208">
        <f>'MINI SSR 2024-25'!$H$3</f>
        <v>710</v>
      </c>
      <c r="G777" s="125">
        <f>ROUND(E777*F777,2)</f>
        <v>681.6</v>
      </c>
      <c r="H777" s="10"/>
    </row>
    <row r="778" spans="1:8" hidden="1">
      <c r="A778" s="128"/>
      <c r="B778" s="128"/>
      <c r="C778" s="473" t="s">
        <v>69</v>
      </c>
      <c r="D778" s="128" t="s">
        <v>27</v>
      </c>
      <c r="E778" s="208">
        <v>2.2400000000000002</v>
      </c>
      <c r="F778" s="208">
        <f>'MINI SSR 2024-25'!$H$4</f>
        <v>640</v>
      </c>
      <c r="G778" s="125">
        <f>ROUND(E778*F778,2)</f>
        <v>1433.6</v>
      </c>
      <c r="H778" s="10"/>
    </row>
    <row r="779" spans="1:8" hidden="1">
      <c r="A779" s="128"/>
      <c r="B779" s="128"/>
      <c r="C779" s="473" t="s">
        <v>85</v>
      </c>
      <c r="D779" s="128" t="s">
        <v>27</v>
      </c>
      <c r="E779" s="208">
        <v>3.3</v>
      </c>
      <c r="F779" s="208">
        <f>'MINI SSR 2024-25'!$H$5</f>
        <v>595</v>
      </c>
      <c r="G779" s="125">
        <f>ROUND(E779*F779,2)</f>
        <v>1963.5</v>
      </c>
      <c r="H779" s="10"/>
    </row>
    <row r="780" spans="1:8" hidden="1">
      <c r="A780" s="128"/>
      <c r="B780" s="128"/>
      <c r="C780" s="557" t="s">
        <v>88</v>
      </c>
      <c r="D780" s="128"/>
      <c r="E780" s="128"/>
      <c r="F780" s="128"/>
      <c r="G780" s="209">
        <f>SUM(G771:G779)</f>
        <v>8490.2099999999991</v>
      </c>
      <c r="H780" s="10"/>
    </row>
    <row r="781" spans="1:8" hidden="1">
      <c r="A781" s="128"/>
      <c r="B781" s="128"/>
      <c r="C781" s="557"/>
      <c r="D781" s="128"/>
      <c r="E781" s="207" t="s">
        <v>163</v>
      </c>
      <c r="F781" s="207" t="s">
        <v>164</v>
      </c>
      <c r="G781" s="210" t="s">
        <v>165</v>
      </c>
      <c r="H781" s="10"/>
    </row>
    <row r="782" spans="1:8" hidden="1">
      <c r="A782" s="128"/>
      <c r="B782" s="128"/>
      <c r="C782" s="557" t="s">
        <v>1069</v>
      </c>
      <c r="D782" s="128"/>
      <c r="E782" s="208">
        <f>G780</f>
        <v>8490.2099999999991</v>
      </c>
      <c r="F782" s="208">
        <f>G780</f>
        <v>8490.2099999999991</v>
      </c>
      <c r="G782" s="204">
        <f>G780</f>
        <v>8490.2099999999991</v>
      </c>
      <c r="H782" s="10"/>
    </row>
    <row r="783" spans="1:8" ht="25.5" hidden="1">
      <c r="A783" s="128"/>
      <c r="B783" s="128"/>
      <c r="C783" s="473" t="s">
        <v>172</v>
      </c>
      <c r="D783" s="128"/>
      <c r="E783" s="128"/>
      <c r="F783" s="208">
        <f>ROUND((G777+G778+G779)*0.1,2)</f>
        <v>407.87</v>
      </c>
      <c r="G783" s="633">
        <f>ROUND((G777+G778+G779)*0.2,2)</f>
        <v>815.74</v>
      </c>
      <c r="H783" s="10"/>
    </row>
    <row r="784" spans="1:8" hidden="1">
      <c r="A784" s="128"/>
      <c r="B784" s="128"/>
      <c r="C784" s="557" t="s">
        <v>195</v>
      </c>
      <c r="D784" s="128"/>
      <c r="E784" s="210">
        <f>SUM(E782:E783)</f>
        <v>8490.2099999999991</v>
      </c>
      <c r="F784" s="210">
        <f>SUM(F782:F783)</f>
        <v>8898.08</v>
      </c>
      <c r="G784" s="209">
        <f>SUM(G782:G783)</f>
        <v>9305.9499999999989</v>
      </c>
      <c r="H784" s="10"/>
    </row>
    <row r="785" spans="1:8" hidden="1">
      <c r="A785" s="128"/>
      <c r="B785" s="128"/>
      <c r="C785" s="557" t="s">
        <v>183</v>
      </c>
      <c r="D785" s="128"/>
      <c r="E785" s="210">
        <f>ROUND(E784/10,2)</f>
        <v>849.02</v>
      </c>
      <c r="F785" s="210">
        <f>ROUND(F784/10,2)</f>
        <v>889.81</v>
      </c>
      <c r="G785" s="209">
        <f>ROUND(G784/10,2)</f>
        <v>930.6</v>
      </c>
      <c r="H785" s="165"/>
    </row>
    <row r="786" spans="1:8" ht="127.5" hidden="1">
      <c r="A786" s="81">
        <v>7</v>
      </c>
      <c r="B786" s="207" t="s">
        <v>207</v>
      </c>
      <c r="C786" s="473" t="s">
        <v>214</v>
      </c>
      <c r="D786" s="128"/>
      <c r="E786" s="128"/>
      <c r="F786" s="128"/>
      <c r="G786" s="207"/>
      <c r="H786" s="10"/>
    </row>
    <row r="787" spans="1:8" hidden="1">
      <c r="A787" s="81"/>
      <c r="B787" s="207"/>
      <c r="C787" s="557" t="s">
        <v>42</v>
      </c>
      <c r="D787" s="128"/>
      <c r="E787" s="128"/>
      <c r="F787" s="128"/>
      <c r="G787" s="204"/>
      <c r="H787" s="10"/>
    </row>
    <row r="788" spans="1:8" hidden="1">
      <c r="A788" s="81"/>
      <c r="B788" s="207"/>
      <c r="C788" s="557" t="s">
        <v>60</v>
      </c>
      <c r="D788" s="207"/>
      <c r="E788" s="207"/>
      <c r="F788" s="207"/>
      <c r="G788" s="204"/>
      <c r="H788" s="10"/>
    </row>
    <row r="789" spans="1:8" hidden="1">
      <c r="A789" s="81"/>
      <c r="B789" s="207"/>
      <c r="C789" s="473" t="s">
        <v>208</v>
      </c>
      <c r="D789" s="128" t="s">
        <v>77</v>
      </c>
      <c r="E789" s="208">
        <v>10</v>
      </c>
      <c r="F789" s="208">
        <f>'MINI SSR 2024-25'!C23</f>
        <v>330</v>
      </c>
      <c r="G789" s="125">
        <f>ROUND(E789*F789,2)</f>
        <v>3300</v>
      </c>
      <c r="H789" s="10"/>
    </row>
    <row r="790" spans="1:8" hidden="1">
      <c r="A790" s="81"/>
      <c r="B790" s="207"/>
      <c r="C790" s="473" t="s">
        <v>209</v>
      </c>
      <c r="D790" s="128" t="s">
        <v>35</v>
      </c>
      <c r="E790" s="208">
        <v>0.12</v>
      </c>
      <c r="F790" s="208">
        <f>'lead 24-25'!L13</f>
        <v>1013.4699999999982</v>
      </c>
      <c r="G790" s="11">
        <f>ROUND(E790*F790,2)</f>
        <v>121.62</v>
      </c>
      <c r="H790" s="10"/>
    </row>
    <row r="791" spans="1:8" hidden="1">
      <c r="A791" s="81"/>
      <c r="B791" s="207"/>
      <c r="C791" s="473" t="s">
        <v>210</v>
      </c>
      <c r="D791" s="128" t="s">
        <v>4</v>
      </c>
      <c r="E791" s="208">
        <v>57.6</v>
      </c>
      <c r="F791" s="208">
        <f>'lead 24-25'!L8</f>
        <v>4218.8</v>
      </c>
      <c r="G791" s="11">
        <f>ROUND(E791*F791/1000,2)</f>
        <v>243</v>
      </c>
      <c r="H791" s="10"/>
    </row>
    <row r="792" spans="1:8" hidden="1">
      <c r="A792" s="81"/>
      <c r="B792" s="207"/>
      <c r="C792" s="473" t="s">
        <v>203</v>
      </c>
      <c r="D792" s="128" t="s">
        <v>4</v>
      </c>
      <c r="E792" s="208">
        <v>33</v>
      </c>
      <c r="F792" s="208">
        <f>F791</f>
        <v>4218.8</v>
      </c>
      <c r="G792" s="11">
        <f>ROUND(E792*F792/1000,2)</f>
        <v>139.22</v>
      </c>
      <c r="H792" s="10"/>
    </row>
    <row r="793" spans="1:8" hidden="1">
      <c r="A793" s="81"/>
      <c r="B793" s="207"/>
      <c r="C793" s="473" t="s">
        <v>215</v>
      </c>
      <c r="D793" s="128" t="s">
        <v>4</v>
      </c>
      <c r="E793" s="208">
        <v>6</v>
      </c>
      <c r="F793" s="208">
        <f>'MINI SSR 2024-25'!C45</f>
        <v>27.95</v>
      </c>
      <c r="G793" s="11">
        <f>ROUND(E793*F793,2)</f>
        <v>167.7</v>
      </c>
      <c r="H793" s="10"/>
    </row>
    <row r="794" spans="1:8" hidden="1">
      <c r="A794" s="128"/>
      <c r="B794" s="128"/>
      <c r="C794" s="557" t="s">
        <v>68</v>
      </c>
      <c r="D794" s="128"/>
      <c r="E794" s="208"/>
      <c r="F794" s="208"/>
      <c r="G794" s="11"/>
      <c r="H794" s="10"/>
    </row>
    <row r="795" spans="1:8" hidden="1">
      <c r="A795" s="128"/>
      <c r="B795" s="128"/>
      <c r="C795" s="473" t="s">
        <v>64</v>
      </c>
      <c r="D795" s="128" t="s">
        <v>27</v>
      </c>
      <c r="E795" s="208">
        <v>0.77</v>
      </c>
      <c r="F795" s="208">
        <f>'MINI SSR 2024-25'!$H$3</f>
        <v>710</v>
      </c>
      <c r="G795" s="11">
        <f>ROUND(E795*F795,2)</f>
        <v>546.70000000000005</v>
      </c>
      <c r="H795" s="10"/>
    </row>
    <row r="796" spans="1:8" hidden="1">
      <c r="A796" s="128"/>
      <c r="B796" s="128"/>
      <c r="C796" s="473" t="s">
        <v>85</v>
      </c>
      <c r="D796" s="128" t="s">
        <v>27</v>
      </c>
      <c r="E796" s="208">
        <v>0.8</v>
      </c>
      <c r="F796" s="208">
        <f>'MINI SSR 2024-25'!$H$5</f>
        <v>595</v>
      </c>
      <c r="G796" s="11">
        <f>ROUND(E796*F796,2)</f>
        <v>476</v>
      </c>
      <c r="H796" s="10"/>
    </row>
    <row r="797" spans="1:8" hidden="1">
      <c r="A797" s="128"/>
      <c r="B797" s="128"/>
      <c r="C797" s="557" t="s">
        <v>88</v>
      </c>
      <c r="D797" s="128"/>
      <c r="E797" s="128"/>
      <c r="F797" s="128"/>
      <c r="G797" s="209">
        <f>SUM(G789:G796)</f>
        <v>4994.24</v>
      </c>
      <c r="H797" s="10"/>
    </row>
    <row r="798" spans="1:8" hidden="1">
      <c r="A798" s="128"/>
      <c r="B798" s="128"/>
      <c r="C798" s="557"/>
      <c r="D798" s="128"/>
      <c r="E798" s="207" t="s">
        <v>163</v>
      </c>
      <c r="F798" s="207" t="s">
        <v>164</v>
      </c>
      <c r="G798" s="210" t="s">
        <v>165</v>
      </c>
      <c r="H798" s="10"/>
    </row>
    <row r="799" spans="1:8" hidden="1">
      <c r="A799" s="128"/>
      <c r="B799" s="128"/>
      <c r="C799" s="557" t="s">
        <v>1069</v>
      </c>
      <c r="D799" s="128"/>
      <c r="E799" s="208">
        <f>G797</f>
        <v>4994.24</v>
      </c>
      <c r="F799" s="208">
        <f>G797</f>
        <v>4994.24</v>
      </c>
      <c r="G799" s="204">
        <f>G797</f>
        <v>4994.24</v>
      </c>
      <c r="H799" s="10"/>
    </row>
    <row r="800" spans="1:8" ht="25.5" hidden="1">
      <c r="A800" s="128"/>
      <c r="B800" s="128"/>
      <c r="C800" s="473" t="s">
        <v>172</v>
      </c>
      <c r="D800" s="128"/>
      <c r="E800" s="128"/>
      <c r="F800" s="208">
        <f>ROUND((G795+G796)*0.1,2)</f>
        <v>102.27</v>
      </c>
      <c r="G800" s="204">
        <f>ROUND((G795+G796)*0.2,2)</f>
        <v>204.54</v>
      </c>
      <c r="H800" s="10"/>
    </row>
    <row r="801" spans="1:8" hidden="1">
      <c r="A801" s="128"/>
      <c r="B801" s="128"/>
      <c r="C801" s="557" t="s">
        <v>195</v>
      </c>
      <c r="D801" s="128"/>
      <c r="E801" s="210">
        <f>SUM(E799:E800)</f>
        <v>4994.24</v>
      </c>
      <c r="F801" s="210">
        <f>SUM(F799:F800)</f>
        <v>5096.51</v>
      </c>
      <c r="G801" s="209">
        <f>SUM(G799:G800)</f>
        <v>5198.78</v>
      </c>
      <c r="H801" s="10"/>
    </row>
    <row r="802" spans="1:8" hidden="1">
      <c r="A802" s="128"/>
      <c r="B802" s="128"/>
      <c r="C802" s="557" t="s">
        <v>183</v>
      </c>
      <c r="D802" s="128"/>
      <c r="E802" s="210">
        <f>ROUND(E801/10,2)</f>
        <v>499.42</v>
      </c>
      <c r="F802" s="210">
        <f>ROUND(F801/10,2)</f>
        <v>509.65</v>
      </c>
      <c r="G802" s="209">
        <f>ROUND(G801/10,2)</f>
        <v>519.88</v>
      </c>
      <c r="H802" s="165"/>
    </row>
    <row r="803" spans="1:8" ht="25.5" hidden="1">
      <c r="A803" s="81">
        <v>4</v>
      </c>
      <c r="B803" s="207" t="s">
        <v>1142</v>
      </c>
      <c r="C803" s="473" t="s">
        <v>968</v>
      </c>
      <c r="D803" s="128"/>
      <c r="E803" s="128"/>
      <c r="F803" s="128"/>
      <c r="G803" s="207"/>
      <c r="H803" s="10"/>
    </row>
    <row r="804" spans="1:8" hidden="1">
      <c r="A804" s="81"/>
      <c r="B804" s="207"/>
      <c r="C804" s="557" t="s">
        <v>817</v>
      </c>
      <c r="D804" s="128"/>
      <c r="E804" s="128"/>
      <c r="F804" s="128"/>
      <c r="G804" s="204"/>
      <c r="H804" s="10"/>
    </row>
    <row r="805" spans="1:8" hidden="1">
      <c r="A805" s="81"/>
      <c r="B805" s="207"/>
      <c r="C805" s="557" t="s">
        <v>60</v>
      </c>
      <c r="D805" s="128"/>
      <c r="E805" s="128"/>
      <c r="F805" s="128"/>
      <c r="G805" s="204"/>
      <c r="H805" s="10"/>
    </row>
    <row r="806" spans="1:8" hidden="1">
      <c r="A806" s="81"/>
      <c r="B806" s="207"/>
      <c r="C806" s="473" t="s">
        <v>33</v>
      </c>
      <c r="D806" s="128" t="s">
        <v>4</v>
      </c>
      <c r="E806" s="208">
        <v>14.4</v>
      </c>
      <c r="F806" s="208">
        <f>'lead 24-25'!L8</f>
        <v>4218.8</v>
      </c>
      <c r="G806" s="125">
        <f>ROUND(E806*F806/1000,2)</f>
        <v>60.75</v>
      </c>
      <c r="H806" s="10"/>
    </row>
    <row r="807" spans="1:8" hidden="1">
      <c r="A807" s="81"/>
      <c r="B807" s="207"/>
      <c r="C807" s="473" t="s">
        <v>112</v>
      </c>
      <c r="D807" s="128" t="s">
        <v>35</v>
      </c>
      <c r="E807" s="208">
        <v>0.03</v>
      </c>
      <c r="F807" s="208">
        <f>'lead 24-25'!L13</f>
        <v>1013.4699999999982</v>
      </c>
      <c r="G807" s="125">
        <f>ROUND(E807*F807,2)</f>
        <v>30.4</v>
      </c>
      <c r="H807" s="10"/>
    </row>
    <row r="808" spans="1:8" hidden="1">
      <c r="A808" s="128"/>
      <c r="B808" s="128"/>
      <c r="C808" s="557" t="s">
        <v>68</v>
      </c>
      <c r="D808" s="128"/>
      <c r="E808" s="208"/>
      <c r="F808" s="208"/>
      <c r="G808" s="125"/>
      <c r="H808" s="10"/>
    </row>
    <row r="809" spans="1:8" hidden="1">
      <c r="A809" s="128"/>
      <c r="B809" s="128"/>
      <c r="C809" s="473" t="s">
        <v>69</v>
      </c>
      <c r="D809" s="128" t="s">
        <v>27</v>
      </c>
      <c r="E809" s="208">
        <v>0.5</v>
      </c>
      <c r="F809" s="208">
        <f>'MINI SSR 2024-25'!$H$4</f>
        <v>640</v>
      </c>
      <c r="G809" s="125">
        <f>ROUND(E809*F809,2)</f>
        <v>320</v>
      </c>
      <c r="H809" s="10"/>
    </row>
    <row r="810" spans="1:8" hidden="1">
      <c r="A810" s="128"/>
      <c r="B810" s="128"/>
      <c r="C810" s="473" t="s">
        <v>85</v>
      </c>
      <c r="D810" s="128" t="s">
        <v>27</v>
      </c>
      <c r="E810" s="208">
        <v>0.74</v>
      </c>
      <c r="F810" s="208">
        <f>'MINI SSR 2024-25'!$H$5</f>
        <v>595</v>
      </c>
      <c r="G810" s="125">
        <f>ROUND(E810*F810,2)</f>
        <v>440.3</v>
      </c>
      <c r="H810" s="10"/>
    </row>
    <row r="811" spans="1:8" hidden="1">
      <c r="A811" s="128"/>
      <c r="B811" s="128"/>
      <c r="C811" s="557" t="s">
        <v>88</v>
      </c>
      <c r="D811" s="128"/>
      <c r="E811" s="208"/>
      <c r="F811" s="208"/>
      <c r="G811" s="125">
        <f>SUM(G806:G810)</f>
        <v>851.45</v>
      </c>
      <c r="H811" s="10"/>
    </row>
    <row r="812" spans="1:8" ht="114.75" hidden="1">
      <c r="A812" s="81">
        <v>5</v>
      </c>
      <c r="B812" s="207" t="s">
        <v>1143</v>
      </c>
      <c r="C812" s="473" t="s">
        <v>969</v>
      </c>
      <c r="D812" s="128"/>
      <c r="E812" s="128"/>
      <c r="F812" s="128"/>
      <c r="G812" s="207"/>
      <c r="H812" s="10"/>
    </row>
    <row r="813" spans="1:8" hidden="1">
      <c r="A813" s="81"/>
      <c r="B813" s="207"/>
      <c r="C813" s="557" t="s">
        <v>817</v>
      </c>
      <c r="D813" s="128"/>
      <c r="E813" s="128"/>
      <c r="F813" s="128"/>
      <c r="G813" s="204"/>
      <c r="H813" s="10"/>
    </row>
    <row r="814" spans="1:8" hidden="1">
      <c r="A814" s="81"/>
      <c r="B814" s="207"/>
      <c r="C814" s="557" t="s">
        <v>60</v>
      </c>
      <c r="D814" s="128"/>
      <c r="E814" s="128"/>
      <c r="F814" s="128"/>
      <c r="G814" s="204"/>
      <c r="H814" s="10"/>
    </row>
    <row r="815" spans="1:8" hidden="1">
      <c r="A815" s="81"/>
      <c r="B815" s="207"/>
      <c r="C815" s="473" t="s">
        <v>970</v>
      </c>
      <c r="D815" s="128" t="s">
        <v>11</v>
      </c>
      <c r="E815" s="133">
        <v>0.255</v>
      </c>
      <c r="F815" s="208">
        <f>'lead 24-25'!L24</f>
        <v>31737.24</v>
      </c>
      <c r="G815" s="125">
        <f>ROUND(E815*F815/1,2)</f>
        <v>8093</v>
      </c>
      <c r="H815" s="10"/>
    </row>
    <row r="816" spans="1:8" hidden="1">
      <c r="A816" s="81"/>
      <c r="B816" s="207"/>
      <c r="C816" s="473" t="s">
        <v>823</v>
      </c>
      <c r="D816" s="128" t="s">
        <v>139</v>
      </c>
      <c r="E816" s="208">
        <v>21.6</v>
      </c>
      <c r="F816" s="208">
        <f>'lead 24-25'!L8</f>
        <v>4218.8</v>
      </c>
      <c r="G816" s="125">
        <f>ROUND(E816*F816/1000,2)</f>
        <v>91.13</v>
      </c>
      <c r="H816" s="10"/>
    </row>
    <row r="817" spans="1:8" hidden="1">
      <c r="A817" s="81"/>
      <c r="B817" s="207"/>
      <c r="C817" s="473" t="s">
        <v>971</v>
      </c>
      <c r="D817" s="128" t="s">
        <v>139</v>
      </c>
      <c r="E817" s="208">
        <v>6</v>
      </c>
      <c r="F817" s="208">
        <f>F816</f>
        <v>4218.8</v>
      </c>
      <c r="G817" s="125">
        <f>ROUND(E817*F817/1000,2)</f>
        <v>25.31</v>
      </c>
      <c r="H817" s="10"/>
    </row>
    <row r="818" spans="1:8" hidden="1">
      <c r="A818" s="81"/>
      <c r="B818" s="207"/>
      <c r="C818" s="473" t="s">
        <v>972</v>
      </c>
      <c r="D818" s="128" t="s">
        <v>102</v>
      </c>
      <c r="E818" s="208">
        <v>1</v>
      </c>
      <c r="F818" s="208">
        <f>G811</f>
        <v>851.45</v>
      </c>
      <c r="G818" s="125">
        <f>ROUND(E818*F818/1,2)</f>
        <v>851.45</v>
      </c>
      <c r="H818" s="10"/>
    </row>
    <row r="819" spans="1:8" hidden="1">
      <c r="A819" s="81"/>
      <c r="B819" s="207"/>
      <c r="C819" s="473" t="s">
        <v>973</v>
      </c>
      <c r="D819" s="128" t="s">
        <v>35</v>
      </c>
      <c r="E819" s="208">
        <v>0.04</v>
      </c>
      <c r="F819" s="208">
        <f>'lead 24-25'!L13</f>
        <v>1013.4699999999982</v>
      </c>
      <c r="G819" s="125">
        <f>-ROUND(E819*F819,2)</f>
        <v>-40.54</v>
      </c>
      <c r="H819" s="10"/>
    </row>
    <row r="820" spans="1:8" hidden="1">
      <c r="A820" s="81"/>
      <c r="B820" s="207"/>
      <c r="C820" s="473" t="s">
        <v>974</v>
      </c>
      <c r="D820" s="128" t="s">
        <v>35</v>
      </c>
      <c r="E820" s="208">
        <v>0.12</v>
      </c>
      <c r="F820" s="208">
        <f>F819</f>
        <v>1013.4699999999982</v>
      </c>
      <c r="G820" s="125">
        <f>ROUND(E820*F820,2)</f>
        <v>121.62</v>
      </c>
      <c r="H820" s="10"/>
    </row>
    <row r="821" spans="1:8" hidden="1">
      <c r="A821" s="128"/>
      <c r="B821" s="128"/>
      <c r="C821" s="557" t="s">
        <v>68</v>
      </c>
      <c r="D821" s="128"/>
      <c r="E821" s="208"/>
      <c r="F821" s="208"/>
      <c r="G821" s="125"/>
      <c r="H821" s="10"/>
    </row>
    <row r="822" spans="1:8" hidden="1">
      <c r="A822" s="128"/>
      <c r="B822" s="128"/>
      <c r="C822" s="473" t="s">
        <v>64</v>
      </c>
      <c r="D822" s="128" t="s">
        <v>27</v>
      </c>
      <c r="E822" s="208">
        <v>0.96</v>
      </c>
      <c r="F822" s="208">
        <f>'MINI SSR 2024-25'!$H$3</f>
        <v>710</v>
      </c>
      <c r="G822" s="125">
        <f>ROUND(E822*F822,2)</f>
        <v>681.6</v>
      </c>
      <c r="H822" s="10"/>
    </row>
    <row r="823" spans="1:8" hidden="1">
      <c r="A823" s="128"/>
      <c r="B823" s="128"/>
      <c r="C823" s="473" t="s">
        <v>69</v>
      </c>
      <c r="D823" s="128" t="s">
        <v>27</v>
      </c>
      <c r="E823" s="208">
        <v>2.2400000000000002</v>
      </c>
      <c r="F823" s="208">
        <f>'MINI SSR 2024-25'!$H$4</f>
        <v>640</v>
      </c>
      <c r="G823" s="125">
        <f>ROUND(E823*F823,2)</f>
        <v>1433.6</v>
      </c>
      <c r="H823" s="10"/>
    </row>
    <row r="824" spans="1:8" hidden="1">
      <c r="A824" s="128"/>
      <c r="B824" s="128"/>
      <c r="C824" s="473" t="s">
        <v>85</v>
      </c>
      <c r="D824" s="128" t="s">
        <v>27</v>
      </c>
      <c r="E824" s="208">
        <v>4.3</v>
      </c>
      <c r="F824" s="208">
        <f>'MINI SSR 2024-25'!$H$5</f>
        <v>595</v>
      </c>
      <c r="G824" s="125">
        <f>ROUND(E824*F824,2)</f>
        <v>2558.5</v>
      </c>
      <c r="H824" s="10"/>
    </row>
    <row r="825" spans="1:8" hidden="1">
      <c r="A825" s="128"/>
      <c r="B825" s="128"/>
      <c r="C825" s="557" t="s">
        <v>88</v>
      </c>
      <c r="D825" s="128"/>
      <c r="E825" s="208"/>
      <c r="F825" s="208"/>
      <c r="G825" s="125">
        <f>SUM(G815:G824)</f>
        <v>13815.670000000002</v>
      </c>
      <c r="H825" s="10"/>
    </row>
    <row r="826" spans="1:8" hidden="1">
      <c r="A826" s="128"/>
      <c r="B826" s="128"/>
      <c r="C826" s="557"/>
      <c r="D826" s="128"/>
      <c r="E826" s="208" t="s">
        <v>163</v>
      </c>
      <c r="F826" s="208" t="s">
        <v>164</v>
      </c>
      <c r="G826" s="12" t="s">
        <v>165</v>
      </c>
      <c r="H826" s="10"/>
    </row>
    <row r="827" spans="1:8" hidden="1">
      <c r="A827" s="128"/>
      <c r="B827" s="128"/>
      <c r="C827" s="557" t="s">
        <v>1069</v>
      </c>
      <c r="D827" s="128"/>
      <c r="E827" s="208">
        <f>G825</f>
        <v>13815.670000000002</v>
      </c>
      <c r="F827" s="208">
        <f>G825</f>
        <v>13815.670000000002</v>
      </c>
      <c r="G827" s="204">
        <f>G825</f>
        <v>13815.670000000002</v>
      </c>
      <c r="H827" s="10"/>
    </row>
    <row r="828" spans="1:8" ht="25.5" hidden="1">
      <c r="A828" s="128"/>
      <c r="B828" s="128"/>
      <c r="C828" s="473" t="s">
        <v>172</v>
      </c>
      <c r="D828" s="128"/>
      <c r="E828" s="128"/>
      <c r="F828" s="208">
        <f>ROUND((G823+G824+G822)*0.1,2)</f>
        <v>467.37</v>
      </c>
      <c r="G828" s="204">
        <f>ROUND((G823+G824+G822)*0.2,2)</f>
        <v>934.74</v>
      </c>
      <c r="H828" s="10"/>
    </row>
    <row r="829" spans="1:8" hidden="1">
      <c r="A829" s="128"/>
      <c r="B829" s="128"/>
      <c r="C829" s="557" t="s">
        <v>195</v>
      </c>
      <c r="D829" s="128"/>
      <c r="E829" s="210">
        <f>SUM(E827:E828)</f>
        <v>13815.670000000002</v>
      </c>
      <c r="F829" s="210">
        <f>SUM(F827:F828)</f>
        <v>14283.040000000003</v>
      </c>
      <c r="G829" s="209">
        <f>SUM(G827:G828)</f>
        <v>14750.410000000002</v>
      </c>
      <c r="H829" s="10"/>
    </row>
    <row r="830" spans="1:8" hidden="1">
      <c r="A830" s="128"/>
      <c r="B830" s="128"/>
      <c r="C830" s="557" t="s">
        <v>183</v>
      </c>
      <c r="D830" s="128"/>
      <c r="E830" s="210">
        <f>ROUND(E829/10,2)</f>
        <v>1381.57</v>
      </c>
      <c r="F830" s="210">
        <f>ROUND(F829/10,2)</f>
        <v>1428.3</v>
      </c>
      <c r="G830" s="209">
        <f>ROUND(G829/10,2)</f>
        <v>1475.04</v>
      </c>
      <c r="H830" s="165"/>
    </row>
    <row r="831" spans="1:8" ht="140.25" hidden="1">
      <c r="A831" s="81">
        <v>9</v>
      </c>
      <c r="B831" s="207" t="s">
        <v>2287</v>
      </c>
      <c r="C831" s="473" t="s">
        <v>2284</v>
      </c>
      <c r="D831" s="128"/>
      <c r="E831" s="128"/>
      <c r="F831" s="128"/>
      <c r="G831" s="207"/>
      <c r="H831" s="20"/>
    </row>
    <row r="832" spans="1:8" hidden="1">
      <c r="A832" s="81"/>
      <c r="B832" s="207"/>
      <c r="C832" s="557" t="s">
        <v>42</v>
      </c>
      <c r="D832" s="128"/>
      <c r="E832" s="128"/>
      <c r="F832" s="128"/>
      <c r="G832" s="204"/>
      <c r="H832" s="20"/>
    </row>
    <row r="833" spans="1:8" hidden="1">
      <c r="A833" s="81"/>
      <c r="B833" s="207"/>
      <c r="C833" s="557" t="s">
        <v>60</v>
      </c>
      <c r="D833" s="128"/>
      <c r="E833" s="128"/>
      <c r="F833" s="128"/>
      <c r="G833" s="204"/>
      <c r="H833" s="20"/>
    </row>
    <row r="834" spans="1:8" hidden="1">
      <c r="A834" s="81"/>
      <c r="B834" s="207"/>
      <c r="C834" s="473" t="s">
        <v>2288</v>
      </c>
      <c r="D834" s="128" t="s">
        <v>35</v>
      </c>
      <c r="E834" s="208">
        <v>0.17</v>
      </c>
      <c r="F834" s="208">
        <f>F36</f>
        <v>2386.1000000000004</v>
      </c>
      <c r="G834" s="125">
        <f>ROUND(E834*F834,2)</f>
        <v>405.64</v>
      </c>
      <c r="H834" s="20"/>
    </row>
    <row r="835" spans="1:8" hidden="1">
      <c r="A835" s="81"/>
      <c r="B835" s="207"/>
      <c r="C835" s="473" t="s">
        <v>800</v>
      </c>
      <c r="D835" s="128" t="s">
        <v>4</v>
      </c>
      <c r="E835" s="208">
        <v>120</v>
      </c>
      <c r="F835" s="208">
        <f>'lead 24-25'!L8</f>
        <v>4218.8</v>
      </c>
      <c r="G835" s="125">
        <f>ROUND(E835*F835/1000,2)</f>
        <v>506.26</v>
      </c>
      <c r="H835" s="20"/>
    </row>
    <row r="836" spans="1:8" hidden="1">
      <c r="A836" s="81"/>
      <c r="B836" s="207"/>
      <c r="C836" s="473" t="s">
        <v>791</v>
      </c>
      <c r="D836" s="128" t="s">
        <v>35</v>
      </c>
      <c r="E836" s="208">
        <v>8.5000000000000006E-2</v>
      </c>
      <c r="F836" s="208">
        <f>'lead 24-25'!L14</f>
        <v>1013.4699999999982</v>
      </c>
      <c r="G836" s="125">
        <f>ROUND(E836*F836,2)</f>
        <v>86.14</v>
      </c>
      <c r="H836" s="20"/>
    </row>
    <row r="837" spans="1:8" hidden="1">
      <c r="A837" s="128"/>
      <c r="B837" s="128"/>
      <c r="C837" s="557" t="s">
        <v>68</v>
      </c>
      <c r="D837" s="128"/>
      <c r="E837" s="208"/>
      <c r="F837" s="208"/>
      <c r="G837" s="125"/>
      <c r="H837" s="20"/>
    </row>
    <row r="838" spans="1:8" hidden="1">
      <c r="A838" s="128"/>
      <c r="B838" s="128"/>
      <c r="C838" s="473" t="s">
        <v>64</v>
      </c>
      <c r="D838" s="128" t="s">
        <v>27</v>
      </c>
      <c r="E838" s="208">
        <v>1.25</v>
      </c>
      <c r="F838" s="619">
        <f>F822</f>
        <v>710</v>
      </c>
      <c r="G838" s="125">
        <f>ROUND(E838*F838,2)</f>
        <v>887.5</v>
      </c>
      <c r="H838" s="20"/>
    </row>
    <row r="839" spans="1:8" hidden="1">
      <c r="A839" s="128"/>
      <c r="B839" s="128"/>
      <c r="C839" s="473" t="s">
        <v>69</v>
      </c>
      <c r="D839" s="128" t="s">
        <v>27</v>
      </c>
      <c r="E839" s="208">
        <v>0.06</v>
      </c>
      <c r="F839" s="619">
        <f>F823</f>
        <v>640</v>
      </c>
      <c r="G839" s="125">
        <f>ROUND(E839*F839,2)</f>
        <v>38.4</v>
      </c>
      <c r="H839" s="20"/>
    </row>
    <row r="840" spans="1:8" hidden="1">
      <c r="A840" s="128"/>
      <c r="B840" s="128"/>
      <c r="C840" s="473" t="s">
        <v>85</v>
      </c>
      <c r="D840" s="128" t="s">
        <v>27</v>
      </c>
      <c r="E840" s="208">
        <v>3</v>
      </c>
      <c r="F840" s="619">
        <f>F824</f>
        <v>595</v>
      </c>
      <c r="G840" s="125">
        <f>ROUND(E840*F840,2)</f>
        <v>1785</v>
      </c>
      <c r="H840" s="20"/>
    </row>
    <row r="841" spans="1:8" hidden="1">
      <c r="A841" s="128"/>
      <c r="B841" s="128"/>
      <c r="C841" s="557" t="s">
        <v>88</v>
      </c>
      <c r="D841" s="128"/>
      <c r="E841" s="128"/>
      <c r="F841" s="128"/>
      <c r="G841" s="209">
        <f>SUM(G834:G840)</f>
        <v>3708.94</v>
      </c>
      <c r="H841" s="20"/>
    </row>
    <row r="842" spans="1:8" hidden="1">
      <c r="A842" s="128"/>
      <c r="B842" s="128"/>
      <c r="C842" s="557"/>
      <c r="D842" s="128"/>
      <c r="E842" s="207" t="s">
        <v>163</v>
      </c>
      <c r="F842" s="207" t="s">
        <v>164</v>
      </c>
      <c r="G842" s="210" t="s">
        <v>165</v>
      </c>
      <c r="H842" s="20"/>
    </row>
    <row r="843" spans="1:8" hidden="1">
      <c r="A843" s="128"/>
      <c r="B843" s="128"/>
      <c r="C843" s="557" t="s">
        <v>1069</v>
      </c>
      <c r="D843" s="128"/>
      <c r="E843" s="208">
        <f>G841</f>
        <v>3708.94</v>
      </c>
      <c r="F843" s="208">
        <f>G841</f>
        <v>3708.94</v>
      </c>
      <c r="G843" s="204">
        <f>G841</f>
        <v>3708.94</v>
      </c>
      <c r="H843" s="20"/>
    </row>
    <row r="844" spans="1:8" ht="25.5" hidden="1">
      <c r="A844" s="128"/>
      <c r="B844" s="128"/>
      <c r="C844" s="473" t="s">
        <v>172</v>
      </c>
      <c r="D844" s="128"/>
      <c r="E844" s="128"/>
      <c r="F844" s="208">
        <f>ROUND((G838+G839+G840)*0.1,2)</f>
        <v>271.08999999999997</v>
      </c>
      <c r="G844" s="633">
        <f>ROUND((G838+G839+G840)*0.2,2)</f>
        <v>542.17999999999995</v>
      </c>
      <c r="H844" s="20"/>
    </row>
    <row r="845" spans="1:8" hidden="1">
      <c r="A845" s="128"/>
      <c r="B845" s="128"/>
      <c r="C845" s="557" t="s">
        <v>195</v>
      </c>
      <c r="D845" s="128"/>
      <c r="E845" s="210">
        <f>SUM(E843:E844)</f>
        <v>3708.94</v>
      </c>
      <c r="F845" s="210">
        <f>SUM(F843:F844)</f>
        <v>3980.03</v>
      </c>
      <c r="G845" s="209">
        <f>SUM(G843:G844)</f>
        <v>4251.12</v>
      </c>
      <c r="H845" s="20"/>
    </row>
    <row r="846" spans="1:8" hidden="1">
      <c r="A846" s="128"/>
      <c r="B846" s="128"/>
      <c r="C846" s="557" t="s">
        <v>183</v>
      </c>
      <c r="D846" s="128"/>
      <c r="E846" s="210">
        <f>ROUND(E845/10,2)</f>
        <v>370.89</v>
      </c>
      <c r="F846" s="210">
        <f>ROUND(F845/10,2)</f>
        <v>398</v>
      </c>
      <c r="G846" s="209">
        <f>ROUND(G845/10,2)</f>
        <v>425.11</v>
      </c>
      <c r="H846" s="20"/>
    </row>
    <row r="847" spans="1:8" ht="102" hidden="1">
      <c r="A847" s="81">
        <v>51</v>
      </c>
      <c r="B847" s="207" t="s">
        <v>828</v>
      </c>
      <c r="C847" s="473" t="s">
        <v>829</v>
      </c>
      <c r="D847" s="128"/>
      <c r="E847" s="128"/>
      <c r="F847" s="128"/>
      <c r="G847" s="207"/>
    </row>
    <row r="848" spans="1:8" hidden="1">
      <c r="A848" s="81"/>
      <c r="B848" s="207"/>
      <c r="C848" s="557" t="s">
        <v>42</v>
      </c>
      <c r="D848" s="128"/>
      <c r="E848" s="128"/>
      <c r="F848" s="128"/>
      <c r="G848" s="204"/>
    </row>
    <row r="849" spans="1:11" hidden="1">
      <c r="A849" s="81"/>
      <c r="B849" s="207"/>
      <c r="C849" s="557" t="s">
        <v>60</v>
      </c>
      <c r="D849" s="128"/>
      <c r="E849" s="128"/>
      <c r="F849" s="128"/>
      <c r="G849" s="204"/>
    </row>
    <row r="850" spans="1:11" hidden="1">
      <c r="A850" s="81"/>
      <c r="B850" s="207"/>
      <c r="C850" s="473" t="s">
        <v>1070</v>
      </c>
      <c r="D850" s="128" t="s">
        <v>1144</v>
      </c>
      <c r="E850" s="208">
        <v>1.2</v>
      </c>
      <c r="F850" s="208">
        <f>'MINI SSR 2024-25'!G40</f>
        <v>607</v>
      </c>
      <c r="G850" s="125">
        <f>ROUND(F850/20*E850,2)</f>
        <v>36.42</v>
      </c>
    </row>
    <row r="851" spans="1:11" hidden="1">
      <c r="A851" s="128"/>
      <c r="B851" s="128"/>
      <c r="C851" s="557" t="s">
        <v>68</v>
      </c>
      <c r="D851" s="128"/>
      <c r="E851" s="208"/>
      <c r="F851" s="208"/>
      <c r="G851" s="125"/>
    </row>
    <row r="852" spans="1:11" hidden="1">
      <c r="A852" s="128"/>
      <c r="B852" s="128"/>
      <c r="C852" s="473" t="s">
        <v>143</v>
      </c>
      <c r="D852" s="128" t="s">
        <v>27</v>
      </c>
      <c r="E852" s="208">
        <v>0.11</v>
      </c>
      <c r="F852" s="208">
        <f>'MINI SSR 2024-25'!H8</f>
        <v>795</v>
      </c>
      <c r="G852" s="125">
        <f>ROUND(E852*F852,2)</f>
        <v>87.45</v>
      </c>
      <c r="K852" s="19"/>
    </row>
    <row r="853" spans="1:11" hidden="1">
      <c r="A853" s="128"/>
      <c r="B853" s="128"/>
      <c r="C853" s="473" t="s">
        <v>85</v>
      </c>
      <c r="D853" s="128" t="s">
        <v>27</v>
      </c>
      <c r="E853" s="208">
        <v>0.22</v>
      </c>
      <c r="F853" s="208">
        <f>'MINI SSR 2024-25'!$H$5</f>
        <v>595</v>
      </c>
      <c r="G853" s="125">
        <f>ROUND(E853*F853,2)</f>
        <v>130.9</v>
      </c>
      <c r="K853" s="19"/>
    </row>
    <row r="854" spans="1:11" hidden="1">
      <c r="A854" s="128"/>
      <c r="B854" s="128"/>
      <c r="C854" s="473" t="s">
        <v>830</v>
      </c>
      <c r="D854" s="128"/>
      <c r="E854" s="208">
        <v>0.05</v>
      </c>
      <c r="F854" s="208">
        <f>SUM(G850:G853)</f>
        <v>254.77</v>
      </c>
      <c r="G854" s="125">
        <f>ROUND(E854*F854,2)</f>
        <v>12.74</v>
      </c>
      <c r="K854" s="19"/>
    </row>
    <row r="855" spans="1:11" hidden="1">
      <c r="A855" s="128"/>
      <c r="B855" s="128"/>
      <c r="C855" s="557" t="s">
        <v>88</v>
      </c>
      <c r="D855" s="128"/>
      <c r="E855" s="128"/>
      <c r="F855" s="128"/>
      <c r="G855" s="209">
        <f>SUM(G850:G854)</f>
        <v>267.51</v>
      </c>
      <c r="K855" s="645"/>
    </row>
    <row r="856" spans="1:11" hidden="1">
      <c r="A856" s="128"/>
      <c r="B856" s="128"/>
      <c r="C856" s="557"/>
      <c r="D856" s="128"/>
      <c r="E856" s="207" t="s">
        <v>163</v>
      </c>
      <c r="F856" s="207" t="s">
        <v>164</v>
      </c>
      <c r="G856" s="210" t="s">
        <v>165</v>
      </c>
      <c r="H856" s="10"/>
    </row>
    <row r="857" spans="1:11" hidden="1">
      <c r="A857" s="128"/>
      <c r="B857" s="128"/>
      <c r="C857" s="557" t="s">
        <v>1071</v>
      </c>
      <c r="D857" s="128"/>
      <c r="E857" s="208">
        <f>G855</f>
        <v>267.51</v>
      </c>
      <c r="F857" s="208">
        <f>E857</f>
        <v>267.51</v>
      </c>
      <c r="G857" s="204">
        <f>F857</f>
        <v>267.51</v>
      </c>
      <c r="H857" s="10"/>
    </row>
    <row r="858" spans="1:11" ht="25.5" hidden="1">
      <c r="A858" s="128"/>
      <c r="B858" s="128"/>
      <c r="C858" s="473" t="s">
        <v>172</v>
      </c>
      <c r="D858" s="128"/>
      <c r="E858" s="128"/>
      <c r="F858" s="208">
        <f>ROUND((G852+G853)*0.1,2)</f>
        <v>21.84</v>
      </c>
      <c r="G858" s="204">
        <f>ROUND((G852+G853)*0.1,2)</f>
        <v>21.84</v>
      </c>
      <c r="H858" s="10"/>
    </row>
    <row r="859" spans="1:11" hidden="1">
      <c r="A859" s="128"/>
      <c r="B859" s="128"/>
      <c r="C859" s="557" t="s">
        <v>195</v>
      </c>
      <c r="D859" s="128"/>
      <c r="E859" s="210">
        <f>SUM(E857:E858)</f>
        <v>267.51</v>
      </c>
      <c r="F859" s="210">
        <f>SUM(F857:F858)</f>
        <v>289.34999999999997</v>
      </c>
      <c r="G859" s="209">
        <f>SUM(G857:G858)</f>
        <v>289.34999999999997</v>
      </c>
      <c r="H859" s="10"/>
    </row>
    <row r="860" spans="1:11" hidden="1">
      <c r="A860" s="128"/>
      <c r="B860" s="128"/>
      <c r="C860" s="557" t="s">
        <v>183</v>
      </c>
      <c r="D860" s="128"/>
      <c r="E860" s="210">
        <f>ROUND(E859/10,2)</f>
        <v>26.75</v>
      </c>
      <c r="F860" s="210">
        <f>ROUND(F859/10,2)</f>
        <v>28.94</v>
      </c>
      <c r="G860" s="209">
        <f>ROUND(G859/10,2)</f>
        <v>28.94</v>
      </c>
      <c r="H860" s="10"/>
    </row>
    <row r="861" spans="1:11" ht="191.25" hidden="1">
      <c r="A861" s="81">
        <v>8</v>
      </c>
      <c r="B861" s="207" t="s">
        <v>1119</v>
      </c>
      <c r="C861" s="473" t="s">
        <v>841</v>
      </c>
      <c r="D861" s="128"/>
      <c r="E861" s="128"/>
      <c r="F861" s="128"/>
      <c r="G861" s="207"/>
    </row>
    <row r="862" spans="1:11" hidden="1">
      <c r="A862" s="81"/>
      <c r="B862" s="207"/>
      <c r="C862" s="557" t="s">
        <v>42</v>
      </c>
      <c r="D862" s="128"/>
      <c r="E862" s="128"/>
      <c r="F862" s="128"/>
      <c r="G862" s="204"/>
    </row>
    <row r="863" spans="1:11" hidden="1">
      <c r="A863" s="81"/>
      <c r="B863" s="207"/>
      <c r="C863" s="557" t="s">
        <v>60</v>
      </c>
      <c r="D863" s="128"/>
      <c r="E863" s="128"/>
      <c r="F863" s="128"/>
      <c r="G863" s="204"/>
    </row>
    <row r="864" spans="1:11" hidden="1">
      <c r="A864" s="81"/>
      <c r="B864" s="207"/>
      <c r="C864" s="473" t="s">
        <v>842</v>
      </c>
      <c r="D864" s="128" t="s">
        <v>1144</v>
      </c>
      <c r="E864" s="208">
        <v>23</v>
      </c>
      <c r="F864" s="208">
        <f>'MINI SSR 2024-25'!G40</f>
        <v>607</v>
      </c>
      <c r="G864" s="125">
        <f>ROUND(F864/20*E864,2)</f>
        <v>698.05</v>
      </c>
    </row>
    <row r="865" spans="1:11" hidden="1">
      <c r="A865" s="128"/>
      <c r="B865" s="128"/>
      <c r="C865" s="557" t="s">
        <v>68</v>
      </c>
      <c r="D865" s="128"/>
      <c r="E865" s="208"/>
      <c r="F865" s="208"/>
      <c r="G865" s="125"/>
    </row>
    <row r="866" spans="1:11" hidden="1">
      <c r="A866" s="128"/>
      <c r="B866" s="128"/>
      <c r="C866" s="473" t="s">
        <v>94</v>
      </c>
      <c r="D866" s="128" t="s">
        <v>27</v>
      </c>
      <c r="E866" s="133">
        <v>0.27300000000000002</v>
      </c>
      <c r="F866" s="208">
        <f>'MINI SSR 2024-25'!$H$8</f>
        <v>795</v>
      </c>
      <c r="G866" s="125">
        <f>ROUND(E866*F866,2)</f>
        <v>217.04</v>
      </c>
      <c r="K866" s="19"/>
    </row>
    <row r="867" spans="1:11" hidden="1">
      <c r="A867" s="128"/>
      <c r="B867" s="128"/>
      <c r="C867" s="473" t="s">
        <v>824</v>
      </c>
      <c r="D867" s="128" t="s">
        <v>27</v>
      </c>
      <c r="E867" s="133">
        <v>0.63700000000000001</v>
      </c>
      <c r="F867" s="208">
        <f>'MINI SSR 2024-25'!$H$9</f>
        <v>640</v>
      </c>
      <c r="G867" s="125">
        <f>ROUND(E867*F867,2)</f>
        <v>407.68</v>
      </c>
      <c r="K867" s="19"/>
    </row>
    <row r="868" spans="1:11" hidden="1">
      <c r="A868" s="128"/>
      <c r="B868" s="128"/>
      <c r="C868" s="473" t="s">
        <v>85</v>
      </c>
      <c r="D868" s="128" t="s">
        <v>27</v>
      </c>
      <c r="E868" s="133">
        <v>0.91</v>
      </c>
      <c r="F868" s="208">
        <f>'MINI SSR 2024-25'!$H$5</f>
        <v>595</v>
      </c>
      <c r="G868" s="125">
        <f>ROUND(E868*F868,2)</f>
        <v>541.45000000000005</v>
      </c>
      <c r="K868" s="19"/>
    </row>
    <row r="869" spans="1:11" hidden="1">
      <c r="A869" s="128"/>
      <c r="B869" s="128"/>
      <c r="C869" s="473" t="s">
        <v>843</v>
      </c>
      <c r="D869" s="128"/>
      <c r="E869" s="208">
        <v>0.01</v>
      </c>
      <c r="F869" s="208">
        <f>SUM(G864:G868)</f>
        <v>1864.22</v>
      </c>
      <c r="G869" s="125">
        <f>ROUND(E869*F869,2)</f>
        <v>18.64</v>
      </c>
      <c r="K869" s="19"/>
    </row>
    <row r="870" spans="1:11" hidden="1">
      <c r="A870" s="128"/>
      <c r="B870" s="128"/>
      <c r="C870" s="557" t="s">
        <v>88</v>
      </c>
      <c r="D870" s="128"/>
      <c r="E870" s="128"/>
      <c r="F870" s="128"/>
      <c r="G870" s="209">
        <f>SUM(G864:G869)</f>
        <v>1882.8600000000001</v>
      </c>
      <c r="K870" s="645"/>
    </row>
    <row r="871" spans="1:11" hidden="1">
      <c r="A871" s="128"/>
      <c r="B871" s="128"/>
      <c r="C871" s="557"/>
      <c r="D871" s="128"/>
      <c r="E871" s="207" t="s">
        <v>163</v>
      </c>
      <c r="F871" s="207" t="s">
        <v>164</v>
      </c>
      <c r="G871" s="210" t="s">
        <v>165</v>
      </c>
      <c r="H871" s="10"/>
    </row>
    <row r="872" spans="1:11" hidden="1">
      <c r="A872" s="128"/>
      <c r="B872" s="128"/>
      <c r="C872" s="557" t="s">
        <v>1071</v>
      </c>
      <c r="D872" s="128"/>
      <c r="E872" s="208">
        <f>G870</f>
        <v>1882.8600000000001</v>
      </c>
      <c r="F872" s="208">
        <f>E872</f>
        <v>1882.8600000000001</v>
      </c>
      <c r="G872" s="204">
        <f>F872</f>
        <v>1882.8600000000001</v>
      </c>
      <c r="H872" s="10"/>
    </row>
    <row r="873" spans="1:11" ht="25.5" hidden="1">
      <c r="A873" s="128"/>
      <c r="B873" s="128"/>
      <c r="C873" s="473" t="s">
        <v>172</v>
      </c>
      <c r="D873" s="128"/>
      <c r="E873" s="128"/>
      <c r="F873" s="208">
        <f>ROUND((G866+G867+G868)*0.1,2)</f>
        <v>116.62</v>
      </c>
      <c r="G873" s="633">
        <f>ROUND(F873*2,2)</f>
        <v>233.24</v>
      </c>
      <c r="H873" s="10"/>
    </row>
    <row r="874" spans="1:11" hidden="1">
      <c r="A874" s="128"/>
      <c r="B874" s="128"/>
      <c r="C874" s="557" t="s">
        <v>195</v>
      </c>
      <c r="D874" s="128"/>
      <c r="E874" s="210">
        <f>SUM(E872:E873)</f>
        <v>1882.8600000000001</v>
      </c>
      <c r="F874" s="210">
        <f>SUM(F872:F873)</f>
        <v>1999.48</v>
      </c>
      <c r="G874" s="209">
        <f>SUM(G872:G873)</f>
        <v>2116.1000000000004</v>
      </c>
      <c r="H874" s="10"/>
    </row>
    <row r="875" spans="1:11" hidden="1">
      <c r="A875" s="128"/>
      <c r="B875" s="128"/>
      <c r="C875" s="557" t="s">
        <v>183</v>
      </c>
      <c r="D875" s="128"/>
      <c r="E875" s="210">
        <f>ROUND(E874/10,2)</f>
        <v>188.29</v>
      </c>
      <c r="F875" s="210">
        <f>ROUND(F874/10,2)</f>
        <v>199.95</v>
      </c>
      <c r="G875" s="209">
        <f>ROUND(G874/10,2)</f>
        <v>211.61</v>
      </c>
      <c r="H875" s="10"/>
    </row>
    <row r="876" spans="1:11" s="810" customFormat="1" ht="25.5">
      <c r="A876" s="207">
        <v>18</v>
      </c>
      <c r="B876" s="809" t="s">
        <v>1145</v>
      </c>
      <c r="C876" s="473" t="s">
        <v>1146</v>
      </c>
      <c r="D876" s="128"/>
      <c r="E876" s="128"/>
      <c r="F876" s="127"/>
      <c r="G876" s="127"/>
    </row>
    <row r="877" spans="1:11">
      <c r="A877" s="128"/>
      <c r="B877" s="207"/>
      <c r="C877" s="473" t="s">
        <v>1147</v>
      </c>
      <c r="D877" s="619"/>
      <c r="E877" s="619"/>
      <c r="F877" s="619"/>
      <c r="G877" s="644"/>
      <c r="H877" s="10"/>
    </row>
    <row r="878" spans="1:11">
      <c r="A878" s="128"/>
      <c r="B878" s="207"/>
      <c r="C878" s="473" t="s">
        <v>1148</v>
      </c>
      <c r="D878" s="619"/>
      <c r="E878" s="619"/>
      <c r="F878" s="619"/>
      <c r="G878" s="644"/>
      <c r="H878" s="10"/>
    </row>
    <row r="879" spans="1:11">
      <c r="A879" s="128"/>
      <c r="B879" s="207"/>
      <c r="C879" s="473" t="s">
        <v>1557</v>
      </c>
      <c r="D879" s="619" t="s">
        <v>90</v>
      </c>
      <c r="E879" s="619">
        <v>1</v>
      </c>
      <c r="F879" s="619">
        <f>'MINI SSR 2024-25'!G41</f>
        <v>175</v>
      </c>
      <c r="G879" s="644">
        <f>ROUND(E879*F879,2)</f>
        <v>175</v>
      </c>
      <c r="H879" s="10"/>
    </row>
    <row r="880" spans="1:11">
      <c r="A880" s="128"/>
      <c r="B880" s="207"/>
      <c r="C880" s="473" t="s">
        <v>1149</v>
      </c>
      <c r="D880" s="619"/>
      <c r="E880" s="619"/>
      <c r="F880" s="619"/>
      <c r="G880" s="644"/>
      <c r="H880" s="10"/>
    </row>
    <row r="881" spans="1:8">
      <c r="A881" s="128"/>
      <c r="B881" s="207"/>
      <c r="C881" s="473" t="s">
        <v>94</v>
      </c>
      <c r="D881" s="619" t="s">
        <v>27</v>
      </c>
      <c r="E881" s="619">
        <v>0.21</v>
      </c>
      <c r="F881" s="208">
        <f>'MINI SSR 2024-25'!$H$8</f>
        <v>795</v>
      </c>
      <c r="G881" s="644">
        <f>ROUND(E881*F881,2)</f>
        <v>166.95</v>
      </c>
      <c r="H881" s="10"/>
    </row>
    <row r="882" spans="1:8">
      <c r="A882" s="128"/>
      <c r="B882" s="207"/>
      <c r="C882" s="473" t="s">
        <v>824</v>
      </c>
      <c r="D882" s="619" t="s">
        <v>27</v>
      </c>
      <c r="E882" s="619">
        <v>0.49</v>
      </c>
      <c r="F882" s="208">
        <f>'MINI SSR 2024-25'!$H$9</f>
        <v>640</v>
      </c>
      <c r="G882" s="644">
        <f>ROUND(E882*F882,2)</f>
        <v>313.60000000000002</v>
      </c>
      <c r="H882" s="10"/>
    </row>
    <row r="883" spans="1:8">
      <c r="A883" s="128"/>
      <c r="B883" s="207"/>
      <c r="C883" s="473" t="s">
        <v>825</v>
      </c>
      <c r="D883" s="619"/>
      <c r="E883" s="811">
        <v>5.0000000000000001E-3</v>
      </c>
      <c r="F883" s="619">
        <f>SUM(G879:G882)</f>
        <v>655.55</v>
      </c>
      <c r="G883" s="644">
        <f>ROUND(E883*F883,2)</f>
        <v>3.28</v>
      </c>
      <c r="H883" s="10"/>
    </row>
    <row r="884" spans="1:8">
      <c r="A884" s="128"/>
      <c r="B884" s="207"/>
      <c r="C884" s="473" t="s">
        <v>1150</v>
      </c>
      <c r="D884" s="619"/>
      <c r="E884" s="619"/>
      <c r="F884" s="619"/>
      <c r="G884" s="644">
        <f>SUM(G879:G883)</f>
        <v>658.82999999999993</v>
      </c>
      <c r="H884" s="10"/>
    </row>
    <row r="885" spans="1:8" s="813" customFormat="1">
      <c r="A885" s="809"/>
      <c r="B885" s="809"/>
      <c r="C885" s="557" t="s">
        <v>818</v>
      </c>
      <c r="D885" s="646"/>
      <c r="E885" s="646"/>
      <c r="F885" s="646"/>
      <c r="G885" s="812">
        <f>ROUND(SUM(G884:G884),2)</f>
        <v>658.83</v>
      </c>
    </row>
    <row r="886" spans="1:8" s="810" customFormat="1" ht="25.5">
      <c r="A886" s="207">
        <v>19</v>
      </c>
      <c r="B886" s="207" t="s">
        <v>1145</v>
      </c>
      <c r="C886" s="473" t="s">
        <v>1151</v>
      </c>
      <c r="D886" s="128"/>
      <c r="E886" s="128"/>
      <c r="F886" s="127"/>
      <c r="G886" s="127"/>
    </row>
    <row r="887" spans="1:8">
      <c r="A887" s="128"/>
      <c r="B887" s="207"/>
      <c r="C887" s="473" t="s">
        <v>1147</v>
      </c>
      <c r="D887" s="619"/>
      <c r="E887" s="619"/>
      <c r="F887" s="619"/>
      <c r="G887" s="644"/>
      <c r="H887" s="10"/>
    </row>
    <row r="888" spans="1:8">
      <c r="A888" s="128"/>
      <c r="B888" s="207"/>
      <c r="C888" s="473" t="s">
        <v>1148</v>
      </c>
      <c r="D888" s="619"/>
      <c r="E888" s="619"/>
      <c r="F888" s="619"/>
      <c r="G888" s="644"/>
      <c r="H888" s="10"/>
    </row>
    <row r="889" spans="1:8">
      <c r="A889" s="128"/>
      <c r="B889" s="207"/>
      <c r="C889" s="473" t="s">
        <v>1561</v>
      </c>
      <c r="D889" s="619" t="s">
        <v>90</v>
      </c>
      <c r="E889" s="619">
        <v>1</v>
      </c>
      <c r="F889" s="619">
        <f>'MINI SSR 2024-25'!G42</f>
        <v>205</v>
      </c>
      <c r="G889" s="644">
        <f>ROUND(E889*F889,2)</f>
        <v>205</v>
      </c>
      <c r="H889" s="10"/>
    </row>
    <row r="890" spans="1:8">
      <c r="A890" s="128"/>
      <c r="B890" s="207"/>
      <c r="C890" s="473" t="s">
        <v>1149</v>
      </c>
      <c r="D890" s="619"/>
      <c r="E890" s="619"/>
      <c r="F890" s="619"/>
      <c r="G890" s="644"/>
      <c r="H890" s="10"/>
    </row>
    <row r="891" spans="1:8">
      <c r="A891" s="128"/>
      <c r="B891" s="207"/>
      <c r="C891" s="473" t="s">
        <v>94</v>
      </c>
      <c r="D891" s="619" t="s">
        <v>27</v>
      </c>
      <c r="E891" s="619">
        <v>0.21</v>
      </c>
      <c r="F891" s="208">
        <f>'MINI SSR 2024-25'!$H$8</f>
        <v>795</v>
      </c>
      <c r="G891" s="644">
        <f>ROUND(E891*F891,2)</f>
        <v>166.95</v>
      </c>
      <c r="H891" s="10"/>
    </row>
    <row r="892" spans="1:8">
      <c r="A892" s="128"/>
      <c r="B892" s="207"/>
      <c r="C892" s="473" t="s">
        <v>824</v>
      </c>
      <c r="D892" s="619" t="s">
        <v>27</v>
      </c>
      <c r="E892" s="619">
        <v>0.49</v>
      </c>
      <c r="F892" s="208">
        <f>'MINI SSR 2024-25'!$H$9</f>
        <v>640</v>
      </c>
      <c r="G892" s="644">
        <f>ROUND(E892*F892,2)</f>
        <v>313.60000000000002</v>
      </c>
      <c r="H892" s="10"/>
    </row>
    <row r="893" spans="1:8">
      <c r="A893" s="128"/>
      <c r="B893" s="207"/>
      <c r="C893" s="473" t="s">
        <v>825</v>
      </c>
      <c r="D893" s="619"/>
      <c r="E893" s="811">
        <v>5.0000000000000001E-3</v>
      </c>
      <c r="F893" s="619">
        <f>SUM(G889:G892)</f>
        <v>685.55</v>
      </c>
      <c r="G893" s="644">
        <f>ROUND(E893*F893,2)</f>
        <v>3.43</v>
      </c>
      <c r="H893" s="10"/>
    </row>
    <row r="894" spans="1:8">
      <c r="A894" s="128"/>
      <c r="B894" s="207"/>
      <c r="C894" s="473" t="s">
        <v>1150</v>
      </c>
      <c r="D894" s="619"/>
      <c r="E894" s="619"/>
      <c r="F894" s="619"/>
      <c r="G894" s="644">
        <f>SUM(G889:G893)</f>
        <v>688.9799999999999</v>
      </c>
      <c r="H894" s="10"/>
    </row>
    <row r="895" spans="1:8" s="813" customFormat="1">
      <c r="A895" s="809"/>
      <c r="B895" s="809"/>
      <c r="C895" s="557" t="s">
        <v>818</v>
      </c>
      <c r="D895" s="646"/>
      <c r="E895" s="646"/>
      <c r="F895" s="646"/>
      <c r="G895" s="812">
        <f>ROUND(SUM(G894:G894),2)</f>
        <v>688.98</v>
      </c>
    </row>
    <row r="896" spans="1:8" s="810" customFormat="1" ht="140.25">
      <c r="A896" s="207">
        <v>20</v>
      </c>
      <c r="B896" s="207" t="s">
        <v>1119</v>
      </c>
      <c r="C896" s="473" t="s">
        <v>939</v>
      </c>
      <c r="D896" s="128"/>
      <c r="E896" s="128"/>
      <c r="F896" s="127"/>
      <c r="G896" s="127"/>
    </row>
    <row r="897" spans="1:8">
      <c r="A897" s="128"/>
      <c r="B897" s="207"/>
      <c r="C897" s="557" t="s">
        <v>1152</v>
      </c>
      <c r="D897" s="619"/>
      <c r="E897" s="619"/>
      <c r="F897" s="619"/>
      <c r="G897" s="644"/>
      <c r="H897" s="10"/>
    </row>
    <row r="898" spans="1:8">
      <c r="A898" s="128"/>
      <c r="B898" s="207"/>
      <c r="C898" s="473" t="s">
        <v>1162</v>
      </c>
      <c r="D898" s="619" t="s">
        <v>1153</v>
      </c>
      <c r="E898" s="619">
        <v>1</v>
      </c>
      <c r="F898" s="619">
        <f>G885</f>
        <v>658.83</v>
      </c>
      <c r="G898" s="644">
        <f t="shared" ref="G898:G904" si="9">ROUND(E898*F898,2)</f>
        <v>658.83</v>
      </c>
      <c r="H898" s="10"/>
    </row>
    <row r="899" spans="1:8">
      <c r="A899" s="128"/>
      <c r="B899" s="207"/>
      <c r="C899" s="473"/>
      <c r="D899" s="619"/>
      <c r="E899" s="619"/>
      <c r="F899" s="619"/>
      <c r="G899" s="644"/>
      <c r="H899" s="10"/>
    </row>
    <row r="900" spans="1:8">
      <c r="A900" s="128"/>
      <c r="B900" s="207"/>
      <c r="C900" s="129" t="s">
        <v>1154</v>
      </c>
      <c r="D900" s="619"/>
      <c r="E900" s="619"/>
      <c r="F900" s="619"/>
      <c r="G900" s="644"/>
      <c r="H900" s="10"/>
    </row>
    <row r="901" spans="1:8">
      <c r="A901" s="128"/>
      <c r="B901" s="207"/>
      <c r="C901" s="473" t="s">
        <v>1163</v>
      </c>
      <c r="D901" s="81" t="s">
        <v>286</v>
      </c>
      <c r="E901" s="12">
        <v>0.8</v>
      </c>
      <c r="F901" s="619">
        <f>'MINI SSR 2024-25'!G43</f>
        <v>200</v>
      </c>
      <c r="G901" s="644">
        <f t="shared" si="9"/>
        <v>160</v>
      </c>
      <c r="H901" s="10"/>
    </row>
    <row r="902" spans="1:8">
      <c r="A902" s="128"/>
      <c r="B902" s="207"/>
      <c r="C902" s="129" t="s">
        <v>1156</v>
      </c>
      <c r="D902" s="81"/>
      <c r="E902" s="12"/>
      <c r="F902" s="619"/>
      <c r="G902" s="644"/>
      <c r="H902" s="10"/>
    </row>
    <row r="903" spans="1:8">
      <c r="A903" s="128"/>
      <c r="B903" s="207"/>
      <c r="C903" s="473" t="s">
        <v>1157</v>
      </c>
      <c r="D903" s="81" t="s">
        <v>27</v>
      </c>
      <c r="E903" s="208">
        <v>0.36</v>
      </c>
      <c r="F903" s="208">
        <f>'MINI SSR 2024-25'!$H$8</f>
        <v>795</v>
      </c>
      <c r="G903" s="644">
        <f t="shared" si="9"/>
        <v>286.2</v>
      </c>
      <c r="H903" s="10"/>
    </row>
    <row r="904" spans="1:8">
      <c r="A904" s="128"/>
      <c r="B904" s="207"/>
      <c r="C904" s="473" t="s">
        <v>1158</v>
      </c>
      <c r="D904" s="81" t="s">
        <v>27</v>
      </c>
      <c r="E904" s="208">
        <v>0.84</v>
      </c>
      <c r="F904" s="208">
        <f>'MINI SSR 2024-25'!$H$9</f>
        <v>640</v>
      </c>
      <c r="G904" s="644">
        <f t="shared" si="9"/>
        <v>537.6</v>
      </c>
      <c r="H904" s="10"/>
    </row>
    <row r="905" spans="1:8">
      <c r="A905" s="128"/>
      <c r="B905" s="207"/>
      <c r="C905" s="473" t="s">
        <v>0</v>
      </c>
      <c r="D905" s="619"/>
      <c r="E905" s="619"/>
      <c r="F905" s="619"/>
      <c r="G905" s="644">
        <f>SUM(G898:G904)</f>
        <v>1642.63</v>
      </c>
      <c r="H905" s="10"/>
    </row>
    <row r="906" spans="1:8">
      <c r="A906" s="128"/>
      <c r="B906" s="207"/>
      <c r="C906" s="473"/>
      <c r="D906" s="619"/>
      <c r="E906" s="646" t="s">
        <v>163</v>
      </c>
      <c r="F906" s="646" t="s">
        <v>164</v>
      </c>
      <c r="G906" s="646" t="s">
        <v>165</v>
      </c>
      <c r="H906" s="10"/>
    </row>
    <row r="907" spans="1:8">
      <c r="A907" s="128"/>
      <c r="B907" s="207"/>
      <c r="C907" s="473" t="s">
        <v>816</v>
      </c>
      <c r="D907" s="619"/>
      <c r="E907" s="619">
        <f>G905</f>
        <v>1642.63</v>
      </c>
      <c r="F907" s="814">
        <f>G905</f>
        <v>1642.63</v>
      </c>
      <c r="G907" s="814">
        <f>G905</f>
        <v>1642.63</v>
      </c>
      <c r="H907" s="10"/>
    </row>
    <row r="908" spans="1:8">
      <c r="A908" s="128"/>
      <c r="B908" s="207"/>
      <c r="C908" s="473" t="s">
        <v>1159</v>
      </c>
      <c r="D908" s="619"/>
      <c r="E908" s="619"/>
      <c r="F908" s="644">
        <f>SUM(G881+G882+G903+G904)*10%</f>
        <v>130.435</v>
      </c>
      <c r="G908" s="644">
        <f>SUM(G881+G882+G903+G904)*20%</f>
        <v>260.87</v>
      </c>
      <c r="H908" s="10"/>
    </row>
    <row r="909" spans="1:8">
      <c r="A909" s="128"/>
      <c r="B909" s="207"/>
      <c r="C909" s="473" t="s">
        <v>2194</v>
      </c>
      <c r="D909" s="128"/>
      <c r="E909" s="208">
        <f>ROUND((E907+E908)*$C$3,2)</f>
        <v>223.64</v>
      </c>
      <c r="F909" s="208">
        <f>ROUND((F907+F908)*$C$3,2)</f>
        <v>241.4</v>
      </c>
      <c r="G909" s="208">
        <f>ROUND((G907+G908)*$C$3,2)</f>
        <v>259.16000000000003</v>
      </c>
      <c r="H909" s="10"/>
    </row>
    <row r="910" spans="1:8" s="813" customFormat="1">
      <c r="A910" s="809"/>
      <c r="B910" s="809"/>
      <c r="C910" s="557" t="s">
        <v>818</v>
      </c>
      <c r="D910" s="646"/>
      <c r="E910" s="646">
        <f>SUM(E907:E909)</f>
        <v>1866.27</v>
      </c>
      <c r="F910" s="646">
        <f>SUM(F907:F909)</f>
        <v>2014.4650000000001</v>
      </c>
      <c r="G910" s="646">
        <f>SUM(G907:G909)</f>
        <v>2162.66</v>
      </c>
    </row>
    <row r="911" spans="1:8" s="813" customFormat="1">
      <c r="A911" s="809"/>
      <c r="B911" s="809"/>
      <c r="C911" s="557" t="s">
        <v>1160</v>
      </c>
      <c r="D911" s="646"/>
      <c r="E911" s="646">
        <f>ROUND(E910/10,2)</f>
        <v>186.63</v>
      </c>
      <c r="F911" s="812">
        <f>ROUND(F910/10,2)</f>
        <v>201.45</v>
      </c>
      <c r="G911" s="812">
        <f>ROUND(G910/10,2)</f>
        <v>216.27</v>
      </c>
    </row>
    <row r="912" spans="1:8" s="810" customFormat="1" ht="140.25">
      <c r="A912" s="207">
        <v>21</v>
      </c>
      <c r="B912" s="207" t="s">
        <v>1119</v>
      </c>
      <c r="C912" s="473" t="s">
        <v>1161</v>
      </c>
      <c r="D912" s="128"/>
      <c r="E912" s="128"/>
      <c r="F912" s="127"/>
      <c r="G912" s="127"/>
    </row>
    <row r="913" spans="1:8">
      <c r="A913" s="128"/>
      <c r="B913" s="207"/>
      <c r="C913" s="473" t="s">
        <v>1162</v>
      </c>
      <c r="D913" s="619" t="s">
        <v>1153</v>
      </c>
      <c r="E913" s="619">
        <v>1</v>
      </c>
      <c r="F913" s="619">
        <f>G895</f>
        <v>688.98</v>
      </c>
      <c r="G913" s="644">
        <f>ROUND(E913*F913,2)</f>
        <v>688.98</v>
      </c>
      <c r="H913" s="10"/>
    </row>
    <row r="914" spans="1:8">
      <c r="A914" s="128"/>
      <c r="B914" s="207"/>
      <c r="C914" s="129" t="s">
        <v>1154</v>
      </c>
      <c r="D914" s="619"/>
      <c r="E914" s="619"/>
      <c r="F914" s="619"/>
      <c r="G914" s="644"/>
      <c r="H914" s="10"/>
    </row>
    <row r="915" spans="1:8" ht="25.5">
      <c r="A915" s="128"/>
      <c r="B915" s="207"/>
      <c r="C915" s="473" t="s">
        <v>1155</v>
      </c>
      <c r="D915" s="81" t="s">
        <v>286</v>
      </c>
      <c r="E915" s="12">
        <v>0.8</v>
      </c>
      <c r="F915" s="619">
        <f>'MINI SSR 2024-25'!G44</f>
        <v>235</v>
      </c>
      <c r="G915" s="644">
        <f>ROUND(E915*F915,2)</f>
        <v>188</v>
      </c>
      <c r="H915" s="10"/>
    </row>
    <row r="916" spans="1:8">
      <c r="A916" s="128"/>
      <c r="B916" s="207"/>
      <c r="C916" s="129" t="s">
        <v>1156</v>
      </c>
      <c r="D916" s="81"/>
      <c r="E916" s="12"/>
      <c r="F916" s="619"/>
      <c r="G916" s="644"/>
      <c r="H916" s="10"/>
    </row>
    <row r="917" spans="1:8">
      <c r="A917" s="128"/>
      <c r="B917" s="207"/>
      <c r="C917" s="473" t="s">
        <v>1157</v>
      </c>
      <c r="D917" s="81" t="s">
        <v>27</v>
      </c>
      <c r="E917" s="208">
        <v>0.21</v>
      </c>
      <c r="F917" s="208">
        <f>'MINI SSR 2024-25'!$H$8</f>
        <v>795</v>
      </c>
      <c r="G917" s="644">
        <f>ROUND(E917*F917,2)</f>
        <v>166.95</v>
      </c>
      <c r="H917" s="10"/>
    </row>
    <row r="918" spans="1:8">
      <c r="A918" s="128"/>
      <c r="B918" s="207"/>
      <c r="C918" s="473" t="s">
        <v>1158</v>
      </c>
      <c r="D918" s="81" t="s">
        <v>27</v>
      </c>
      <c r="E918" s="208">
        <v>0.49</v>
      </c>
      <c r="F918" s="208">
        <f>'MINI SSR 2024-25'!$H$9</f>
        <v>640</v>
      </c>
      <c r="G918" s="644">
        <f>ROUND(E918*F918,2)</f>
        <v>313.60000000000002</v>
      </c>
      <c r="H918" s="10"/>
    </row>
    <row r="919" spans="1:8">
      <c r="A919" s="128"/>
      <c r="B919" s="207"/>
      <c r="C919" s="473" t="s">
        <v>303</v>
      </c>
      <c r="D919" s="81" t="s">
        <v>27</v>
      </c>
      <c r="E919" s="208">
        <v>1.5</v>
      </c>
      <c r="F919" s="208">
        <f>'MINI SSR 2024-25'!$H$5</f>
        <v>595</v>
      </c>
      <c r="G919" s="644">
        <f>ROUND(E919*F919,2)</f>
        <v>892.5</v>
      </c>
      <c r="H919" s="10"/>
    </row>
    <row r="920" spans="1:8">
      <c r="A920" s="128"/>
      <c r="B920" s="207"/>
      <c r="C920" s="473" t="s">
        <v>0</v>
      </c>
      <c r="D920" s="619"/>
      <c r="E920" s="619"/>
      <c r="F920" s="619"/>
      <c r="G920" s="644">
        <f>SUM(G913:G919)</f>
        <v>2250.0300000000002</v>
      </c>
      <c r="H920" s="10"/>
    </row>
    <row r="921" spans="1:8">
      <c r="A921" s="128"/>
      <c r="B921" s="207"/>
      <c r="C921" s="473"/>
      <c r="D921" s="619"/>
      <c r="E921" s="646" t="s">
        <v>163</v>
      </c>
      <c r="F921" s="646" t="s">
        <v>164</v>
      </c>
      <c r="G921" s="646" t="s">
        <v>165</v>
      </c>
      <c r="H921" s="10"/>
    </row>
    <row r="922" spans="1:8">
      <c r="A922" s="128"/>
      <c r="B922" s="207"/>
      <c r="C922" s="473" t="s">
        <v>816</v>
      </c>
      <c r="D922" s="619"/>
      <c r="E922" s="619">
        <f>G920</f>
        <v>2250.0300000000002</v>
      </c>
      <c r="F922" s="814">
        <f>G920</f>
        <v>2250.0300000000002</v>
      </c>
      <c r="G922" s="814">
        <f>G920</f>
        <v>2250.0300000000002</v>
      </c>
      <c r="H922" s="10"/>
    </row>
    <row r="923" spans="1:8">
      <c r="A923" s="128"/>
      <c r="B923" s="207"/>
      <c r="C923" s="473" t="s">
        <v>820</v>
      </c>
      <c r="D923" s="619"/>
      <c r="E923" s="619"/>
      <c r="F923" s="644">
        <f>SUM(G891+G892+G917+G918+G919)*10%</f>
        <v>185.36</v>
      </c>
      <c r="G923" s="644">
        <f>SUM(G891+G892+G917+G918+G919)*20%</f>
        <v>370.72</v>
      </c>
      <c r="H923" s="10"/>
    </row>
    <row r="924" spans="1:8">
      <c r="A924" s="128"/>
      <c r="B924" s="207"/>
      <c r="C924" s="473" t="s">
        <v>2194</v>
      </c>
      <c r="D924" s="128"/>
      <c r="E924" s="208">
        <f>ROUND((E922+E923)*$C$3,2)</f>
        <v>306.33999999999997</v>
      </c>
      <c r="F924" s="208">
        <f>ROUND((F922+F923)*$C$3,2)</f>
        <v>331.58</v>
      </c>
      <c r="G924" s="208">
        <f>ROUND((G922+G923)*$C$3,2)</f>
        <v>356.82</v>
      </c>
      <c r="H924" s="10"/>
    </row>
    <row r="925" spans="1:8" s="813" customFormat="1">
      <c r="A925" s="809"/>
      <c r="B925" s="809"/>
      <c r="C925" s="557" t="s">
        <v>818</v>
      </c>
      <c r="D925" s="646"/>
      <c r="E925" s="646">
        <f>SUM(E922:E924)</f>
        <v>2556.3700000000003</v>
      </c>
      <c r="F925" s="646">
        <f>SUM(F922:F924)</f>
        <v>2766.9700000000003</v>
      </c>
      <c r="G925" s="646">
        <f>SUM(G922:G924)</f>
        <v>2977.57</v>
      </c>
    </row>
    <row r="926" spans="1:8" s="813" customFormat="1">
      <c r="A926" s="809"/>
      <c r="B926" s="809"/>
      <c r="C926" s="557" t="s">
        <v>1160</v>
      </c>
      <c r="D926" s="646"/>
      <c r="E926" s="646">
        <f>ROUND(E925/10,2)</f>
        <v>255.64</v>
      </c>
      <c r="F926" s="812">
        <f>ROUND(F925/10,2)</f>
        <v>276.7</v>
      </c>
      <c r="G926" s="812">
        <f>ROUND(G925/10,2)</f>
        <v>297.76</v>
      </c>
    </row>
    <row r="927" spans="1:8" ht="89.25" hidden="1">
      <c r="A927" s="81">
        <v>9</v>
      </c>
      <c r="B927" s="207" t="s">
        <v>96</v>
      </c>
      <c r="C927" s="473" t="s">
        <v>2308</v>
      </c>
      <c r="D927" s="128"/>
      <c r="E927" s="128"/>
      <c r="F927" s="128"/>
      <c r="G927" s="207"/>
    </row>
    <row r="928" spans="1:8" hidden="1">
      <c r="A928" s="81"/>
      <c r="B928" s="207"/>
      <c r="C928" s="557" t="s">
        <v>42</v>
      </c>
      <c r="D928" s="128"/>
      <c r="E928" s="128"/>
      <c r="F928" s="128"/>
      <c r="G928" s="204"/>
    </row>
    <row r="929" spans="1:11" hidden="1">
      <c r="A929" s="81"/>
      <c r="B929" s="207"/>
      <c r="C929" s="557" t="s">
        <v>97</v>
      </c>
      <c r="D929" s="128"/>
      <c r="E929" s="128"/>
      <c r="F929" s="128"/>
      <c r="G929" s="204"/>
    </row>
    <row r="930" spans="1:11" hidden="1">
      <c r="A930" s="81"/>
      <c r="B930" s="207"/>
      <c r="C930" s="557" t="s">
        <v>60</v>
      </c>
      <c r="D930" s="128"/>
      <c r="E930" s="128"/>
      <c r="F930" s="128"/>
      <c r="G930" s="204"/>
    </row>
    <row r="931" spans="1:11" hidden="1">
      <c r="A931" s="81"/>
      <c r="B931" s="207"/>
      <c r="C931" s="473" t="s">
        <v>217</v>
      </c>
      <c r="D931" s="128" t="s">
        <v>30</v>
      </c>
      <c r="E931" s="208">
        <v>0.7</v>
      </c>
      <c r="F931" s="208">
        <f>'MINI SSR 2024-25'!G45</f>
        <v>180</v>
      </c>
      <c r="G931" s="125"/>
    </row>
    <row r="932" spans="1:11" hidden="1">
      <c r="A932" s="128"/>
      <c r="B932" s="207"/>
      <c r="C932" s="557" t="s">
        <v>68</v>
      </c>
      <c r="D932" s="128"/>
      <c r="E932" s="208"/>
      <c r="F932" s="208"/>
      <c r="G932" s="125"/>
    </row>
    <row r="933" spans="1:11" hidden="1">
      <c r="A933" s="128"/>
      <c r="B933" s="128"/>
      <c r="C933" s="473" t="s">
        <v>94</v>
      </c>
      <c r="D933" s="128" t="s">
        <v>27</v>
      </c>
      <c r="E933" s="208">
        <v>0.21</v>
      </c>
      <c r="F933" s="208">
        <f>'MINI SSR 2024-25'!$H$8</f>
        <v>795</v>
      </c>
      <c r="G933" s="125"/>
      <c r="K933" s="19">
        <f>G933</f>
        <v>0</v>
      </c>
    </row>
    <row r="934" spans="1:11" hidden="1">
      <c r="A934" s="128"/>
      <c r="B934" s="128"/>
      <c r="C934" s="473" t="s">
        <v>826</v>
      </c>
      <c r="D934" s="128" t="s">
        <v>27</v>
      </c>
      <c r="E934" s="208">
        <v>0.48</v>
      </c>
      <c r="F934" s="208">
        <f>'MINI SSR 2024-25'!$H$9</f>
        <v>640</v>
      </c>
      <c r="G934" s="125"/>
      <c r="K934" s="19">
        <f>G934</f>
        <v>0</v>
      </c>
    </row>
    <row r="935" spans="1:11" hidden="1">
      <c r="A935" s="128"/>
      <c r="B935" s="128"/>
      <c r="C935" s="473" t="s">
        <v>95</v>
      </c>
      <c r="D935" s="128"/>
      <c r="E935" s="208"/>
      <c r="F935" s="210">
        <f>SUM(G931:G933)</f>
        <v>0</v>
      </c>
      <c r="G935" s="125">
        <f>ROUND(F935*0.01,2)</f>
        <v>0</v>
      </c>
    </row>
    <row r="936" spans="1:11" hidden="1">
      <c r="A936" s="128"/>
      <c r="B936" s="128"/>
      <c r="C936" s="557" t="s">
        <v>98</v>
      </c>
      <c r="D936" s="128"/>
      <c r="E936" s="128"/>
      <c r="F936" s="128"/>
      <c r="G936" s="209"/>
    </row>
    <row r="937" spans="1:11" hidden="1">
      <c r="A937" s="128"/>
      <c r="B937" s="128"/>
      <c r="C937" s="557" t="s">
        <v>60</v>
      </c>
      <c r="D937" s="128"/>
      <c r="E937" s="128"/>
      <c r="F937" s="128"/>
      <c r="G937" s="204"/>
    </row>
    <row r="938" spans="1:11" hidden="1">
      <c r="A938" s="128"/>
      <c r="B938" s="128"/>
      <c r="C938" s="473" t="s">
        <v>218</v>
      </c>
      <c r="D938" s="128" t="s">
        <v>30</v>
      </c>
      <c r="E938" s="208">
        <v>2.8</v>
      </c>
      <c r="F938" s="208">
        <f>'MINI SSR 2024-25'!G46</f>
        <v>285</v>
      </c>
      <c r="G938" s="125">
        <f>ROUND(E938*F938,2)</f>
        <v>798</v>
      </c>
    </row>
    <row r="939" spans="1:11" hidden="1">
      <c r="A939" s="128"/>
      <c r="B939" s="128"/>
      <c r="C939" s="557" t="s">
        <v>68</v>
      </c>
      <c r="D939" s="128"/>
      <c r="E939" s="208"/>
      <c r="F939" s="208"/>
      <c r="G939" s="125"/>
    </row>
    <row r="940" spans="1:11" hidden="1">
      <c r="A940" s="128"/>
      <c r="B940" s="128"/>
      <c r="C940" s="473" t="s">
        <v>94</v>
      </c>
      <c r="D940" s="128" t="s">
        <v>27</v>
      </c>
      <c r="E940" s="208">
        <v>0.36</v>
      </c>
      <c r="F940" s="208">
        <f>'MINI SSR 2024-25'!$H$8</f>
        <v>795</v>
      </c>
      <c r="G940" s="125">
        <f>ROUND(E940*F940,2)</f>
        <v>286.2</v>
      </c>
      <c r="K940" s="19">
        <f>G940</f>
        <v>286.2</v>
      </c>
    </row>
    <row r="941" spans="1:11" hidden="1">
      <c r="A941" s="128"/>
      <c r="B941" s="128"/>
      <c r="C941" s="473" t="s">
        <v>826</v>
      </c>
      <c r="D941" s="128" t="s">
        <v>27</v>
      </c>
      <c r="E941" s="208">
        <v>0.84</v>
      </c>
      <c r="F941" s="208">
        <f>'MINI SSR 2024-25'!$H$9</f>
        <v>640</v>
      </c>
      <c r="G941" s="125">
        <f>ROUND(E941*F941,2)</f>
        <v>537.6</v>
      </c>
      <c r="K941" s="19">
        <f>G941</f>
        <v>537.6</v>
      </c>
    </row>
    <row r="942" spans="1:11" hidden="1">
      <c r="A942" s="128"/>
      <c r="B942" s="128"/>
      <c r="C942" s="473" t="s">
        <v>2194</v>
      </c>
      <c r="D942" s="128"/>
      <c r="E942" s="208"/>
      <c r="F942" s="208"/>
      <c r="G942" s="204">
        <v>0</v>
      </c>
      <c r="K942" s="19"/>
    </row>
    <row r="943" spans="1:11" hidden="1">
      <c r="A943" s="128"/>
      <c r="B943" s="128"/>
      <c r="C943" s="557" t="s">
        <v>99</v>
      </c>
      <c r="D943" s="128"/>
      <c r="E943" s="128"/>
      <c r="F943" s="128"/>
      <c r="G943" s="209">
        <f>SUM(G931:G942)</f>
        <v>1621.8000000000002</v>
      </c>
      <c r="K943" s="645">
        <f>SUM(K933:K940)</f>
        <v>286.2</v>
      </c>
    </row>
    <row r="944" spans="1:11" ht="13.5" hidden="1" thickBot="1">
      <c r="A944" s="128"/>
      <c r="B944" s="128"/>
      <c r="C944" s="557" t="s">
        <v>119</v>
      </c>
      <c r="D944" s="128"/>
      <c r="E944" s="128"/>
      <c r="F944" s="128"/>
      <c r="G944" s="209">
        <f>ROUND(G943/10,2)</f>
        <v>162.18</v>
      </c>
      <c r="K944" s="205">
        <f>ROUND(K943/10,2)</f>
        <v>28.62</v>
      </c>
    </row>
    <row r="945" spans="1:11" ht="63.75" hidden="1">
      <c r="A945" s="81">
        <v>59</v>
      </c>
      <c r="B945" s="207"/>
      <c r="C945" s="473" t="s">
        <v>950</v>
      </c>
      <c r="D945" s="128"/>
      <c r="E945" s="128"/>
      <c r="F945" s="128"/>
      <c r="G945" s="204"/>
      <c r="H945" s="10"/>
    </row>
    <row r="946" spans="1:11" hidden="1">
      <c r="A946" s="128"/>
      <c r="B946" s="128" t="s">
        <v>1211</v>
      </c>
      <c r="C946" s="473" t="s">
        <v>1210</v>
      </c>
      <c r="D946" s="128" t="s">
        <v>102</v>
      </c>
      <c r="E946" s="208">
        <v>1</v>
      </c>
      <c r="F946" s="208">
        <v>205</v>
      </c>
      <c r="G946" s="125">
        <f>ROUND(E946*F946,2)</f>
        <v>205</v>
      </c>
      <c r="H946" s="10"/>
    </row>
    <row r="947" spans="1:11" hidden="1">
      <c r="A947" s="128"/>
      <c r="B947" s="128"/>
      <c r="C947" s="557"/>
      <c r="D947" s="128"/>
      <c r="E947" s="128"/>
      <c r="F947" s="128"/>
      <c r="G947" s="209">
        <f>SUM(G946:G946)</f>
        <v>205</v>
      </c>
      <c r="H947" s="10"/>
    </row>
    <row r="948" spans="1:11" ht="306" hidden="1">
      <c r="A948" s="81">
        <v>8</v>
      </c>
      <c r="B948" s="207"/>
      <c r="C948" s="473" t="s">
        <v>952</v>
      </c>
      <c r="D948" s="128"/>
      <c r="E948" s="128"/>
      <c r="F948" s="128"/>
      <c r="G948" s="204"/>
      <c r="H948" s="10"/>
    </row>
    <row r="949" spans="1:11" hidden="1">
      <c r="A949" s="128"/>
      <c r="B949" s="128"/>
      <c r="C949" s="473" t="s">
        <v>227</v>
      </c>
      <c r="D949" s="128"/>
      <c r="E949" s="208"/>
      <c r="F949" s="208"/>
      <c r="G949" s="125"/>
      <c r="H949" s="10"/>
    </row>
    <row r="950" spans="1:11" hidden="1">
      <c r="A950" s="128"/>
      <c r="B950" s="128" t="s">
        <v>1569</v>
      </c>
      <c r="C950" s="473" t="s">
        <v>1212</v>
      </c>
      <c r="D950" s="208" t="s">
        <v>286</v>
      </c>
      <c r="E950" s="133">
        <v>6.5000000000000002E-2</v>
      </c>
      <c r="F950" s="619">
        <f>'MINI SSR 2024-25'!G47</f>
        <v>880</v>
      </c>
      <c r="G950" s="125">
        <f>ROUND(E950*F950,2)</f>
        <v>57.2</v>
      </c>
      <c r="K950" s="19"/>
    </row>
    <row r="951" spans="1:11" hidden="1">
      <c r="A951" s="128"/>
      <c r="B951" s="128" t="s">
        <v>1213</v>
      </c>
      <c r="C951" s="473" t="s">
        <v>1214</v>
      </c>
      <c r="D951" s="208" t="s">
        <v>286</v>
      </c>
      <c r="E951" s="133">
        <v>3.3000000000000002E-2</v>
      </c>
      <c r="F951" s="619">
        <f>'MINI SSR 2024-25'!G48</f>
        <v>260</v>
      </c>
      <c r="G951" s="125">
        <f>ROUND(E951*F951,2)</f>
        <v>8.58</v>
      </c>
      <c r="K951" s="19"/>
    </row>
    <row r="952" spans="1:11" hidden="1">
      <c r="A952" s="81"/>
      <c r="B952" s="207"/>
      <c r="C952" s="473" t="s">
        <v>94</v>
      </c>
      <c r="D952" s="208" t="s">
        <v>27</v>
      </c>
      <c r="E952" s="208">
        <v>0.24</v>
      </c>
      <c r="F952" s="208">
        <f>'MINI SSR 2024-25'!$H$8</f>
        <v>795</v>
      </c>
      <c r="G952" s="125">
        <f t="shared" ref="G952:G954" si="10">ROUND(E952*F952,2)</f>
        <v>190.8</v>
      </c>
      <c r="H952" s="10"/>
    </row>
    <row r="953" spans="1:11" hidden="1">
      <c r="A953" s="81"/>
      <c r="B953" s="207"/>
      <c r="C953" s="473" t="s">
        <v>824</v>
      </c>
      <c r="D953" s="208" t="s">
        <v>27</v>
      </c>
      <c r="E953" s="208">
        <v>0.56000000000000005</v>
      </c>
      <c r="F953" s="208">
        <f>'MINI SSR 2024-25'!$H$9</f>
        <v>640</v>
      </c>
      <c r="G953" s="125">
        <f t="shared" si="10"/>
        <v>358.4</v>
      </c>
      <c r="H953" s="10"/>
    </row>
    <row r="954" spans="1:11" hidden="1">
      <c r="A954" s="81"/>
      <c r="B954" s="207"/>
      <c r="C954" s="473" t="s">
        <v>151</v>
      </c>
      <c r="D954" s="208" t="s">
        <v>27</v>
      </c>
      <c r="E954" s="208">
        <v>0.8</v>
      </c>
      <c r="F954" s="208">
        <f>'MINI SSR 2024-25'!$H$5</f>
        <v>595</v>
      </c>
      <c r="G954" s="125">
        <f t="shared" si="10"/>
        <v>476</v>
      </c>
      <c r="H954" s="10"/>
    </row>
    <row r="955" spans="1:11" hidden="1">
      <c r="A955" s="81"/>
      <c r="B955" s="207"/>
      <c r="C955" s="557" t="s">
        <v>951</v>
      </c>
      <c r="D955" s="208"/>
      <c r="E955" s="646"/>
      <c r="F955" s="646"/>
      <c r="G955" s="125">
        <f>SUM(G950:G954)</f>
        <v>1090.98</v>
      </c>
      <c r="H955" s="10"/>
    </row>
    <row r="956" spans="1:11" ht="89.25" hidden="1">
      <c r="A956" s="81">
        <v>16</v>
      </c>
      <c r="B956" s="207"/>
      <c r="C956" s="473" t="s">
        <v>953</v>
      </c>
      <c r="D956" s="128"/>
      <c r="E956" s="128"/>
      <c r="F956" s="128"/>
      <c r="G956" s="204"/>
      <c r="H956" s="10"/>
    </row>
    <row r="957" spans="1:11" hidden="1">
      <c r="A957" s="128"/>
      <c r="B957" s="128"/>
      <c r="C957" s="473" t="s">
        <v>954</v>
      </c>
      <c r="D957" s="128" t="s">
        <v>102</v>
      </c>
      <c r="E957" s="208">
        <v>1</v>
      </c>
      <c r="F957" s="208">
        <v>630</v>
      </c>
      <c r="G957" s="125">
        <f>ROUND(E957*F957,2)</f>
        <v>630</v>
      </c>
      <c r="H957" s="10"/>
    </row>
    <row r="958" spans="1:11" hidden="1">
      <c r="A958" s="128"/>
      <c r="B958" s="128"/>
      <c r="C958" s="473" t="s">
        <v>2194</v>
      </c>
      <c r="D958" s="128"/>
      <c r="E958" s="208"/>
      <c r="F958" s="208"/>
      <c r="G958" s="204">
        <f>ROUND(SUM(G957)*13.615%,2)</f>
        <v>85.77</v>
      </c>
      <c r="K958" s="19"/>
    </row>
    <row r="959" spans="1:11" hidden="1">
      <c r="A959" s="128"/>
      <c r="B959" s="128"/>
      <c r="C959" s="557"/>
      <c r="D959" s="128"/>
      <c r="E959" s="128"/>
      <c r="F959" s="128"/>
      <c r="G959" s="209">
        <f>SUBTOTAL(9,G957:G958)</f>
        <v>0</v>
      </c>
      <c r="H959" s="10"/>
    </row>
    <row r="960" spans="1:11" ht="165.75" hidden="1">
      <c r="A960" s="81">
        <v>62</v>
      </c>
      <c r="B960" s="207"/>
      <c r="C960" s="473" t="s">
        <v>665</v>
      </c>
      <c r="D960" s="128"/>
      <c r="E960" s="128"/>
      <c r="F960" s="128"/>
      <c r="G960" s="204"/>
      <c r="H960" s="10"/>
    </row>
    <row r="961" spans="1:8" hidden="1">
      <c r="A961" s="128"/>
      <c r="B961" s="128" t="s">
        <v>1164</v>
      </c>
      <c r="C961" s="473" t="s">
        <v>370</v>
      </c>
      <c r="D961" s="128" t="s">
        <v>102</v>
      </c>
      <c r="E961" s="208">
        <v>1</v>
      </c>
      <c r="F961" s="208">
        <f>'MINI SSR 2024-25'!C47</f>
        <v>4481</v>
      </c>
      <c r="G961" s="125">
        <f>ROUND(E961*F961,2)</f>
        <v>4481</v>
      </c>
      <c r="H961" s="10"/>
    </row>
    <row r="962" spans="1:8" hidden="1">
      <c r="A962" s="128"/>
      <c r="B962" s="128"/>
      <c r="C962" s="557"/>
      <c r="D962" s="128"/>
      <c r="E962" s="128"/>
      <c r="F962" s="128"/>
      <c r="G962" s="209">
        <f>SUM(G961:G961)</f>
        <v>4481</v>
      </c>
      <c r="H962" s="10"/>
    </row>
    <row r="963" spans="1:8" ht="51" hidden="1">
      <c r="A963" s="81">
        <v>25</v>
      </c>
      <c r="B963" s="207"/>
      <c r="C963" s="473" t="s">
        <v>897</v>
      </c>
      <c r="D963" s="128"/>
      <c r="E963" s="128"/>
      <c r="F963" s="128"/>
      <c r="G963" s="204"/>
      <c r="H963" s="10"/>
    </row>
    <row r="964" spans="1:8" hidden="1">
      <c r="A964" s="128"/>
      <c r="B964" s="128" t="s">
        <v>1216</v>
      </c>
      <c r="C964" s="473" t="s">
        <v>1215</v>
      </c>
      <c r="D964" s="128" t="s">
        <v>268</v>
      </c>
      <c r="E964" s="113">
        <v>1</v>
      </c>
      <c r="F964" s="12">
        <f>'MINI SSR 2024-25'!C48</f>
        <v>390</v>
      </c>
      <c r="G964" s="125">
        <f>ROUND(E964*F964,2)</f>
        <v>390</v>
      </c>
      <c r="H964" s="10"/>
    </row>
    <row r="965" spans="1:8" hidden="1">
      <c r="A965" s="128"/>
      <c r="B965" s="128"/>
      <c r="C965" s="473" t="s">
        <v>899</v>
      </c>
      <c r="D965" s="128"/>
      <c r="E965" s="113"/>
      <c r="F965" s="12"/>
      <c r="G965" s="125"/>
      <c r="H965" s="10"/>
    </row>
    <row r="966" spans="1:8" hidden="1">
      <c r="A966" s="128"/>
      <c r="B966" s="128"/>
      <c r="C966" s="473" t="s">
        <v>2255</v>
      </c>
      <c r="D966" s="128"/>
      <c r="E966" s="113"/>
      <c r="F966" s="12"/>
      <c r="G966" s="125"/>
      <c r="H966" s="10"/>
    </row>
    <row r="967" spans="1:8" hidden="1">
      <c r="A967" s="128"/>
      <c r="B967" s="128"/>
      <c r="C967" s="473" t="s">
        <v>2256</v>
      </c>
      <c r="D967" s="128"/>
      <c r="E967" s="113"/>
      <c r="F967" s="12"/>
      <c r="G967" s="125"/>
      <c r="H967" s="10"/>
    </row>
    <row r="968" spans="1:8" hidden="1">
      <c r="A968" s="128"/>
      <c r="B968" s="128"/>
      <c r="C968" s="473" t="s">
        <v>2257</v>
      </c>
      <c r="D968" s="128"/>
      <c r="E968" s="113"/>
      <c r="F968" s="12"/>
      <c r="G968" s="125"/>
      <c r="H968" s="10"/>
    </row>
    <row r="969" spans="1:8" hidden="1">
      <c r="A969" s="128"/>
      <c r="B969" s="128"/>
      <c r="C969" s="473" t="s">
        <v>900</v>
      </c>
      <c r="D969" s="128" t="s">
        <v>268</v>
      </c>
      <c r="E969" s="113">
        <v>1</v>
      </c>
      <c r="F969" s="12">
        <f>ROUND((1.2*F964)/0.45,2)</f>
        <v>1040</v>
      </c>
      <c r="G969" s="125">
        <f>ROUND(E969*F969,2)</f>
        <v>1040</v>
      </c>
      <c r="H969" s="10"/>
    </row>
    <row r="970" spans="1:8" hidden="1">
      <c r="A970" s="128"/>
      <c r="B970" s="128"/>
      <c r="C970" s="14"/>
      <c r="D970" s="81"/>
      <c r="E970" s="113"/>
      <c r="F970" s="12"/>
      <c r="G970" s="11"/>
      <c r="H970" s="10"/>
    </row>
    <row r="971" spans="1:8" hidden="1">
      <c r="A971" s="128"/>
      <c r="B971" s="128"/>
      <c r="C971" s="557"/>
      <c r="D971" s="128"/>
      <c r="E971" s="128"/>
      <c r="F971" s="128"/>
      <c r="G971" s="209">
        <f>SUM(G969:G970)</f>
        <v>1040</v>
      </c>
      <c r="H971" s="10"/>
    </row>
    <row r="972" spans="1:8" ht="51" hidden="1">
      <c r="A972" s="81">
        <v>64</v>
      </c>
      <c r="B972" s="207"/>
      <c r="C972" s="473" t="s">
        <v>1014</v>
      </c>
      <c r="D972" s="128"/>
      <c r="E972" s="128"/>
      <c r="F972" s="128"/>
      <c r="G972" s="204"/>
      <c r="H972" s="10"/>
    </row>
    <row r="973" spans="1:8" hidden="1">
      <c r="A973" s="128"/>
      <c r="B973" s="128" t="s">
        <v>1216</v>
      </c>
      <c r="C973" s="473" t="s">
        <v>1215</v>
      </c>
      <c r="D973" s="128" t="s">
        <v>268</v>
      </c>
      <c r="E973" s="113">
        <v>1</v>
      </c>
      <c r="F973" s="12">
        <f>'MINI SSR 2024-25'!C48</f>
        <v>390</v>
      </c>
      <c r="G973" s="125">
        <f>ROUND(E973*F973,2)</f>
        <v>390</v>
      </c>
      <c r="H973" s="10"/>
    </row>
    <row r="974" spans="1:8" hidden="1">
      <c r="A974" s="128"/>
      <c r="B974" s="128"/>
      <c r="C974" s="473" t="s">
        <v>1015</v>
      </c>
      <c r="D974" s="128"/>
      <c r="E974" s="113"/>
      <c r="F974" s="12"/>
      <c r="G974" s="125"/>
      <c r="H974" s="10"/>
    </row>
    <row r="975" spans="1:8" hidden="1">
      <c r="A975" s="128"/>
      <c r="B975" s="128"/>
      <c r="C975" s="473" t="s">
        <v>2258</v>
      </c>
      <c r="D975" s="128"/>
      <c r="E975" s="113"/>
      <c r="F975" s="12"/>
      <c r="G975" s="125"/>
      <c r="H975" s="10"/>
    </row>
    <row r="976" spans="1:8" hidden="1">
      <c r="A976" s="128"/>
      <c r="B976" s="128"/>
      <c r="C976" s="473" t="s">
        <v>2259</v>
      </c>
      <c r="D976" s="128"/>
      <c r="E976" s="113"/>
      <c r="F976" s="12"/>
      <c r="G976" s="125"/>
      <c r="H976" s="10"/>
    </row>
    <row r="977" spans="1:8" hidden="1">
      <c r="A977" s="128"/>
      <c r="B977" s="128"/>
      <c r="C977" s="473" t="s">
        <v>2260</v>
      </c>
      <c r="D977" s="128"/>
      <c r="E977" s="113"/>
      <c r="F977" s="12"/>
      <c r="G977" s="125"/>
      <c r="H977" s="10"/>
    </row>
    <row r="978" spans="1:8" hidden="1">
      <c r="A978" s="128"/>
      <c r="B978" s="128"/>
      <c r="C978" s="473" t="s">
        <v>1015</v>
      </c>
      <c r="D978" s="128" t="s">
        <v>268</v>
      </c>
      <c r="E978" s="113">
        <v>1</v>
      </c>
      <c r="F978" s="12">
        <f>ROUND((0.9*F973)/0.45,2)</f>
        <v>780</v>
      </c>
      <c r="G978" s="125">
        <f>ROUND(E978*F978,2)</f>
        <v>780</v>
      </c>
      <c r="H978" s="10"/>
    </row>
    <row r="979" spans="1:8" hidden="1">
      <c r="A979" s="128"/>
      <c r="B979" s="128"/>
      <c r="C979" s="14"/>
      <c r="D979" s="81"/>
      <c r="E979" s="113"/>
      <c r="F979" s="12"/>
      <c r="G979" s="11"/>
      <c r="H979" s="10"/>
    </row>
    <row r="980" spans="1:8" hidden="1">
      <c r="A980" s="128"/>
      <c r="B980" s="128"/>
      <c r="C980" s="557"/>
      <c r="D980" s="128"/>
      <c r="E980" s="128"/>
      <c r="F980" s="128"/>
      <c r="G980" s="209">
        <f>SUM(G978:G979)</f>
        <v>780</v>
      </c>
      <c r="H980" s="10"/>
    </row>
    <row r="981" spans="1:8" ht="51" hidden="1">
      <c r="A981" s="81">
        <v>26</v>
      </c>
      <c r="B981" s="207"/>
      <c r="C981" s="473" t="s">
        <v>898</v>
      </c>
      <c r="D981" s="128"/>
      <c r="E981" s="128"/>
      <c r="F981" s="128"/>
      <c r="G981" s="204"/>
      <c r="H981" s="10"/>
    </row>
    <row r="982" spans="1:8" hidden="1">
      <c r="A982" s="128"/>
      <c r="B982" s="128" t="s">
        <v>1218</v>
      </c>
      <c r="C982" s="473" t="s">
        <v>1217</v>
      </c>
      <c r="D982" s="128" t="s">
        <v>268</v>
      </c>
      <c r="E982" s="113">
        <v>1</v>
      </c>
      <c r="F982" s="12">
        <f>'MINI SSR 2024-25'!C49</f>
        <v>250</v>
      </c>
      <c r="G982" s="125">
        <f>ROUND(E982*F982,2)</f>
        <v>250</v>
      </c>
      <c r="H982" s="10"/>
    </row>
    <row r="983" spans="1:8" hidden="1">
      <c r="A983" s="128"/>
      <c r="B983" s="128"/>
      <c r="C983" s="14"/>
      <c r="D983" s="81"/>
      <c r="E983" s="113"/>
      <c r="F983" s="12"/>
      <c r="G983" s="11"/>
      <c r="H983" s="10"/>
    </row>
    <row r="984" spans="1:8" hidden="1">
      <c r="A984" s="128"/>
      <c r="B984" s="128"/>
      <c r="C984" s="557"/>
      <c r="D984" s="128"/>
      <c r="E984" s="128"/>
      <c r="F984" s="128"/>
      <c r="G984" s="209">
        <f>SUM(G982:G983)</f>
        <v>250</v>
      </c>
      <c r="H984" s="10"/>
    </row>
    <row r="985" spans="1:8" ht="236.25" hidden="1">
      <c r="A985" s="128">
        <v>13</v>
      </c>
      <c r="B985" s="128" t="s">
        <v>1119</v>
      </c>
      <c r="C985" s="649" t="s">
        <v>1845</v>
      </c>
      <c r="D985" s="128"/>
      <c r="E985" s="128"/>
      <c r="F985" s="127"/>
      <c r="G985" s="204"/>
    </row>
    <row r="986" spans="1:8" hidden="1">
      <c r="A986" s="81"/>
      <c r="B986" s="650"/>
      <c r="C986" s="557" t="s">
        <v>1846</v>
      </c>
      <c r="D986" s="651"/>
      <c r="E986" s="208"/>
      <c r="F986" s="127"/>
      <c r="G986" s="204"/>
    </row>
    <row r="987" spans="1:8" hidden="1">
      <c r="A987" s="81"/>
      <c r="B987" s="650"/>
      <c r="C987" s="557" t="s">
        <v>1847</v>
      </c>
      <c r="D987" s="651"/>
      <c r="E987" s="208"/>
      <c r="F987" s="127"/>
      <c r="G987" s="204"/>
    </row>
    <row r="988" spans="1:8" hidden="1">
      <c r="A988" s="81"/>
      <c r="B988" s="650"/>
      <c r="C988" s="473" t="s">
        <v>1848</v>
      </c>
      <c r="D988" s="651"/>
      <c r="E988" s="208"/>
      <c r="F988" s="127"/>
      <c r="G988" s="204"/>
    </row>
    <row r="989" spans="1:8" hidden="1">
      <c r="A989" s="81"/>
      <c r="B989" s="650"/>
      <c r="C989" s="473" t="s">
        <v>1849</v>
      </c>
      <c r="D989" s="128" t="s">
        <v>77</v>
      </c>
      <c r="E989" s="208">
        <v>1.0256000000000001</v>
      </c>
      <c r="F989" s="204">
        <v>275</v>
      </c>
      <c r="G989" s="125">
        <f t="shared" ref="G989" si="11">ROUND(E989*F989,2)</f>
        <v>282.04000000000002</v>
      </c>
    </row>
    <row r="990" spans="1:8" hidden="1">
      <c r="A990" s="81"/>
      <c r="B990" s="650"/>
      <c r="C990" s="473" t="s">
        <v>1850</v>
      </c>
      <c r="D990" s="128"/>
      <c r="E990" s="133"/>
      <c r="F990" s="204"/>
      <c r="G990" s="204"/>
    </row>
    <row r="991" spans="1:8" hidden="1">
      <c r="A991" s="81"/>
      <c r="B991" s="650"/>
      <c r="C991" s="473" t="s">
        <v>1851</v>
      </c>
      <c r="D991" s="128" t="s">
        <v>82</v>
      </c>
      <c r="E991" s="208">
        <v>0.64</v>
      </c>
      <c r="F991" s="204">
        <v>78</v>
      </c>
      <c r="G991" s="125">
        <f t="shared" ref="G991:G992" si="12">ROUND(E991*F991,2)</f>
        <v>49.92</v>
      </c>
    </row>
    <row r="992" spans="1:8" hidden="1">
      <c r="A992" s="81"/>
      <c r="B992" s="650"/>
      <c r="C992" s="473" t="s">
        <v>1852</v>
      </c>
      <c r="D992" s="128" t="s">
        <v>316</v>
      </c>
      <c r="E992" s="208">
        <v>1.84</v>
      </c>
      <c r="F992" s="204">
        <v>10</v>
      </c>
      <c r="G992" s="125">
        <f t="shared" si="12"/>
        <v>18.399999999999999</v>
      </c>
    </row>
    <row r="993" spans="1:7" hidden="1">
      <c r="A993" s="81"/>
      <c r="B993" s="650"/>
      <c r="C993" s="473" t="s">
        <v>1853</v>
      </c>
      <c r="D993" s="128"/>
      <c r="E993" s="208"/>
      <c r="F993" s="204"/>
      <c r="G993" s="204"/>
    </row>
    <row r="994" spans="1:7" ht="25.5" hidden="1">
      <c r="A994" s="81"/>
      <c r="B994" s="650"/>
      <c r="C994" s="473" t="s">
        <v>1854</v>
      </c>
      <c r="D994" s="128" t="s">
        <v>82</v>
      </c>
      <c r="E994" s="208">
        <v>2.2999999999999998</v>
      </c>
      <c r="F994" s="204">
        <v>106</v>
      </c>
      <c r="G994" s="125">
        <f t="shared" ref="G994" si="13">ROUND(E994*F994,2)</f>
        <v>243.8</v>
      </c>
    </row>
    <row r="995" spans="1:7" hidden="1">
      <c r="A995" s="81"/>
      <c r="B995" s="650"/>
      <c r="C995" s="473" t="s">
        <v>1855</v>
      </c>
      <c r="D995" s="128"/>
      <c r="E995" s="208"/>
      <c r="F995" s="204"/>
      <c r="G995" s="204"/>
    </row>
    <row r="996" spans="1:7" hidden="1">
      <c r="A996" s="81"/>
      <c r="B996" s="650"/>
      <c r="C996" s="473" t="s">
        <v>1856</v>
      </c>
      <c r="D996" s="128" t="s">
        <v>82</v>
      </c>
      <c r="E996" s="208">
        <v>0.84</v>
      </c>
      <c r="F996" s="204">
        <v>78</v>
      </c>
      <c r="G996" s="125">
        <f t="shared" ref="G996" si="14">ROUND(E996*F996,2)</f>
        <v>65.52</v>
      </c>
    </row>
    <row r="997" spans="1:7" hidden="1">
      <c r="A997" s="81"/>
      <c r="B997" s="650"/>
      <c r="C997" s="473" t="s">
        <v>1857</v>
      </c>
      <c r="D997" s="128"/>
      <c r="E997" s="208"/>
      <c r="F997" s="204"/>
      <c r="G997" s="204"/>
    </row>
    <row r="998" spans="1:7" ht="25.5" hidden="1">
      <c r="A998" s="81"/>
      <c r="B998" s="650"/>
      <c r="C998" s="473" t="s">
        <v>1858</v>
      </c>
      <c r="D998" s="128" t="s">
        <v>82</v>
      </c>
      <c r="E998" s="208">
        <v>0.4</v>
      </c>
      <c r="F998" s="204">
        <v>69</v>
      </c>
      <c r="G998" s="125">
        <f t="shared" ref="G998:G1004" si="15">ROUND(E998*F998,2)</f>
        <v>27.6</v>
      </c>
    </row>
    <row r="999" spans="1:7" hidden="1">
      <c r="A999" s="81"/>
      <c r="B999" s="650"/>
      <c r="C999" s="473" t="s">
        <v>1859</v>
      </c>
      <c r="D999" s="128" t="s">
        <v>316</v>
      </c>
      <c r="E999" s="208">
        <v>0.64</v>
      </c>
      <c r="F999" s="204">
        <v>4</v>
      </c>
      <c r="G999" s="125">
        <f t="shared" si="15"/>
        <v>2.56</v>
      </c>
    </row>
    <row r="1000" spans="1:7" hidden="1">
      <c r="A1000" s="81"/>
      <c r="B1000" s="650"/>
      <c r="C1000" s="473" t="s">
        <v>1860</v>
      </c>
      <c r="D1000" s="128" t="s">
        <v>316</v>
      </c>
      <c r="E1000" s="208">
        <v>0.64</v>
      </c>
      <c r="F1000" s="204">
        <v>5</v>
      </c>
      <c r="G1000" s="125">
        <f t="shared" si="15"/>
        <v>3.2</v>
      </c>
    </row>
    <row r="1001" spans="1:7" hidden="1">
      <c r="A1001" s="81"/>
      <c r="B1001" s="650"/>
      <c r="C1001" s="473" t="s">
        <v>1861</v>
      </c>
      <c r="D1001" s="128" t="s">
        <v>316</v>
      </c>
      <c r="E1001" s="208">
        <v>18</v>
      </c>
      <c r="F1001" s="204">
        <v>4</v>
      </c>
      <c r="G1001" s="125">
        <f t="shared" si="15"/>
        <v>72</v>
      </c>
    </row>
    <row r="1002" spans="1:7" hidden="1">
      <c r="A1002" s="81"/>
      <c r="B1002" s="650"/>
      <c r="C1002" s="473" t="s">
        <v>1862</v>
      </c>
      <c r="D1002" s="128" t="s">
        <v>139</v>
      </c>
      <c r="E1002" s="208">
        <v>0.55000000000000004</v>
      </c>
      <c r="F1002" s="204">
        <v>32</v>
      </c>
      <c r="G1002" s="125">
        <f t="shared" si="15"/>
        <v>17.600000000000001</v>
      </c>
    </row>
    <row r="1003" spans="1:7" hidden="1">
      <c r="A1003" s="81"/>
      <c r="B1003" s="650"/>
      <c r="C1003" s="473" t="s">
        <v>1863</v>
      </c>
      <c r="D1003" s="128" t="s">
        <v>82</v>
      </c>
      <c r="E1003" s="208">
        <v>1.46</v>
      </c>
      <c r="F1003" s="204">
        <v>6</v>
      </c>
      <c r="G1003" s="125">
        <f t="shared" si="15"/>
        <v>8.76</v>
      </c>
    </row>
    <row r="1004" spans="1:7" hidden="1">
      <c r="A1004" s="81"/>
      <c r="B1004" s="650"/>
      <c r="C1004" s="473" t="s">
        <v>1864</v>
      </c>
      <c r="D1004" s="128" t="s">
        <v>1865</v>
      </c>
      <c r="E1004" s="208">
        <v>0.15</v>
      </c>
      <c r="F1004" s="204">
        <v>150</v>
      </c>
      <c r="G1004" s="125">
        <f t="shared" si="15"/>
        <v>22.5</v>
      </c>
    </row>
    <row r="1005" spans="1:7" hidden="1">
      <c r="A1005" s="81"/>
      <c r="B1005" s="650"/>
      <c r="C1005" s="557" t="s">
        <v>947</v>
      </c>
      <c r="D1005" s="128"/>
      <c r="E1005" s="630"/>
      <c r="F1005" s="204"/>
      <c r="G1005" s="204"/>
    </row>
    <row r="1006" spans="1:7" hidden="1">
      <c r="A1006" s="81"/>
      <c r="B1006" s="650"/>
      <c r="C1006" s="473" t="s">
        <v>1866</v>
      </c>
      <c r="D1006" s="128" t="s">
        <v>27</v>
      </c>
      <c r="E1006" s="208">
        <v>0.4</v>
      </c>
      <c r="F1006" s="204">
        <v>705</v>
      </c>
      <c r="G1006" s="125">
        <f t="shared" ref="G1006:G1012" si="16">ROUND(E1006*F1006,2)</f>
        <v>282</v>
      </c>
    </row>
    <row r="1007" spans="1:7" hidden="1">
      <c r="A1007" s="81"/>
      <c r="B1007" s="650"/>
      <c r="C1007" s="473" t="s">
        <v>1867</v>
      </c>
      <c r="D1007" s="128" t="s">
        <v>27</v>
      </c>
      <c r="E1007" s="208">
        <v>0.4</v>
      </c>
      <c r="F1007" s="204">
        <v>565</v>
      </c>
      <c r="G1007" s="125">
        <f t="shared" si="16"/>
        <v>226</v>
      </c>
    </row>
    <row r="1008" spans="1:7" hidden="1">
      <c r="A1008" s="81"/>
      <c r="B1008" s="650"/>
      <c r="C1008" s="473" t="s">
        <v>1868</v>
      </c>
      <c r="D1008" s="128" t="s">
        <v>27</v>
      </c>
      <c r="E1008" s="208">
        <v>0.08</v>
      </c>
      <c r="F1008" s="204">
        <v>705</v>
      </c>
      <c r="G1008" s="125">
        <f t="shared" si="16"/>
        <v>56.4</v>
      </c>
    </row>
    <row r="1009" spans="1:7" hidden="1">
      <c r="A1009" s="81"/>
      <c r="B1009" s="650"/>
      <c r="C1009" s="473" t="s">
        <v>1869</v>
      </c>
      <c r="D1009" s="128" t="s">
        <v>27</v>
      </c>
      <c r="E1009" s="208">
        <v>0.08</v>
      </c>
      <c r="F1009" s="204">
        <v>565</v>
      </c>
      <c r="G1009" s="125">
        <f t="shared" si="16"/>
        <v>45.2</v>
      </c>
    </row>
    <row r="1010" spans="1:7" hidden="1">
      <c r="A1010" s="81"/>
      <c r="B1010" s="650"/>
      <c r="C1010" s="473" t="s">
        <v>1870</v>
      </c>
      <c r="D1010" s="128" t="s">
        <v>27</v>
      </c>
      <c r="E1010" s="208">
        <v>0.04</v>
      </c>
      <c r="F1010" s="204">
        <v>615</v>
      </c>
      <c r="G1010" s="125">
        <f t="shared" si="16"/>
        <v>24.6</v>
      </c>
    </row>
    <row r="1011" spans="1:7" hidden="1">
      <c r="A1011" s="81"/>
      <c r="B1011" s="650"/>
      <c r="C1011" s="473" t="s">
        <v>1871</v>
      </c>
      <c r="D1011" s="128" t="s">
        <v>27</v>
      </c>
      <c r="E1011" s="208">
        <v>0.08</v>
      </c>
      <c r="F1011" s="204">
        <v>615</v>
      </c>
      <c r="G1011" s="125">
        <f t="shared" si="16"/>
        <v>49.2</v>
      </c>
    </row>
    <row r="1012" spans="1:7" hidden="1">
      <c r="A1012" s="81"/>
      <c r="B1012" s="650"/>
      <c r="C1012" s="473" t="s">
        <v>1872</v>
      </c>
      <c r="D1012" s="128" t="s">
        <v>27</v>
      </c>
      <c r="E1012" s="208">
        <v>0.24</v>
      </c>
      <c r="F1012" s="204">
        <v>525</v>
      </c>
      <c r="G1012" s="125">
        <f t="shared" si="16"/>
        <v>126</v>
      </c>
    </row>
    <row r="1013" spans="1:7" hidden="1">
      <c r="A1013" s="81"/>
      <c r="B1013" s="650"/>
      <c r="C1013" s="557" t="s">
        <v>1873</v>
      </c>
      <c r="D1013" s="128"/>
      <c r="E1013" s="630"/>
      <c r="F1013" s="204"/>
      <c r="G1013" s="204"/>
    </row>
    <row r="1014" spans="1:7" ht="25.5" hidden="1">
      <c r="A1014" s="81"/>
      <c r="B1014" s="650"/>
      <c r="C1014" s="473" t="s">
        <v>1874</v>
      </c>
      <c r="D1014" s="128" t="s">
        <v>949</v>
      </c>
      <c r="E1014" s="208">
        <v>0.32</v>
      </c>
      <c r="F1014" s="204">
        <v>132</v>
      </c>
      <c r="G1014" s="125">
        <f t="shared" ref="G1014:G1016" si="17">ROUND(E1014*F1014,2)</f>
        <v>42.24</v>
      </c>
    </row>
    <row r="1015" spans="1:7" ht="25.5" hidden="1">
      <c r="A1015" s="81"/>
      <c r="B1015" s="650"/>
      <c r="C1015" s="473" t="s">
        <v>1876</v>
      </c>
      <c r="D1015" s="128" t="s">
        <v>949</v>
      </c>
      <c r="E1015" s="208">
        <v>0.64</v>
      </c>
      <c r="F1015" s="204">
        <v>121</v>
      </c>
      <c r="G1015" s="125">
        <f t="shared" si="17"/>
        <v>77.44</v>
      </c>
    </row>
    <row r="1016" spans="1:7" hidden="1">
      <c r="A1016" s="81"/>
      <c r="B1016" s="650"/>
      <c r="C1016" s="473" t="s">
        <v>1875</v>
      </c>
      <c r="D1016" s="442">
        <v>0.01</v>
      </c>
      <c r="E1016" s="442">
        <v>0.01</v>
      </c>
      <c r="F1016" s="204">
        <f>SUM(G989:G1015)</f>
        <v>1742.9800000000002</v>
      </c>
      <c r="G1016" s="125">
        <f t="shared" si="17"/>
        <v>17.43</v>
      </c>
    </row>
    <row r="1017" spans="1:7" hidden="1">
      <c r="A1017" s="81"/>
      <c r="B1017" s="650"/>
      <c r="C1017" s="262" t="s">
        <v>119</v>
      </c>
      <c r="D1017" s="128"/>
      <c r="E1017" s="128"/>
      <c r="F1017" s="127"/>
      <c r="G1017" s="209">
        <f>SUM(G989:G1016)</f>
        <v>1760.4100000000003</v>
      </c>
    </row>
    <row r="1018" spans="1:7" ht="76.5" hidden="1">
      <c r="A1018" s="128">
        <v>2</v>
      </c>
      <c r="B1018" s="128"/>
      <c r="C1018" s="127" t="s">
        <v>2098</v>
      </c>
      <c r="D1018" s="128"/>
      <c r="E1018" s="128"/>
      <c r="F1018" s="127"/>
      <c r="G1018" s="204"/>
    </row>
    <row r="1019" spans="1:7" hidden="1">
      <c r="A1019" s="81"/>
      <c r="B1019" s="652" t="s">
        <v>1773</v>
      </c>
      <c r="C1019" s="473" t="s">
        <v>2133</v>
      </c>
      <c r="D1019" s="128" t="s">
        <v>5</v>
      </c>
      <c r="E1019" s="206">
        <v>2.3699999999999999E-2</v>
      </c>
      <c r="F1019" s="208">
        <v>63950</v>
      </c>
      <c r="G1019" s="125">
        <f t="shared" ref="G1019:G1023" si="18">ROUND(E1019*F1019,2)</f>
        <v>1515.62</v>
      </c>
    </row>
    <row r="1020" spans="1:7" hidden="1">
      <c r="A1020" s="81"/>
      <c r="B1020" s="652" t="s">
        <v>2089</v>
      </c>
      <c r="C1020" s="473" t="s">
        <v>2088</v>
      </c>
      <c r="D1020" s="128" t="s">
        <v>316</v>
      </c>
      <c r="E1020" s="134">
        <v>4</v>
      </c>
      <c r="F1020" s="208">
        <v>69</v>
      </c>
      <c r="G1020" s="125">
        <f t="shared" si="18"/>
        <v>276</v>
      </c>
    </row>
    <row r="1021" spans="1:7" hidden="1">
      <c r="A1021" s="81"/>
      <c r="B1021" s="652" t="s">
        <v>2091</v>
      </c>
      <c r="C1021" s="262" t="s">
        <v>2090</v>
      </c>
      <c r="D1021" s="128" t="s">
        <v>316</v>
      </c>
      <c r="E1021" s="134">
        <v>4</v>
      </c>
      <c r="F1021" s="208">
        <v>82</v>
      </c>
      <c r="G1021" s="125">
        <f t="shared" si="18"/>
        <v>328</v>
      </c>
    </row>
    <row r="1022" spans="1:7" hidden="1">
      <c r="A1022" s="81"/>
      <c r="B1022" s="652" t="s">
        <v>2093</v>
      </c>
      <c r="C1022" s="262" t="s">
        <v>2092</v>
      </c>
      <c r="D1022" s="128" t="s">
        <v>316</v>
      </c>
      <c r="E1022" s="134">
        <v>4</v>
      </c>
      <c r="F1022" s="208">
        <v>68</v>
      </c>
      <c r="G1022" s="125">
        <f t="shared" si="18"/>
        <v>272</v>
      </c>
    </row>
    <row r="1023" spans="1:7" hidden="1">
      <c r="A1023" s="81"/>
      <c r="B1023" s="652" t="s">
        <v>2095</v>
      </c>
      <c r="C1023" s="262" t="s">
        <v>2094</v>
      </c>
      <c r="D1023" s="128" t="s">
        <v>316</v>
      </c>
      <c r="E1023" s="134">
        <v>4</v>
      </c>
      <c r="F1023" s="208">
        <v>135</v>
      </c>
      <c r="G1023" s="125">
        <f t="shared" si="18"/>
        <v>540</v>
      </c>
    </row>
    <row r="1024" spans="1:7" hidden="1">
      <c r="A1024" s="81"/>
      <c r="B1024" s="652" t="s">
        <v>2096</v>
      </c>
      <c r="C1024" s="262" t="s">
        <v>1181</v>
      </c>
      <c r="D1024" s="128" t="s">
        <v>5</v>
      </c>
      <c r="E1024" s="208">
        <f>ROUND(0.9*1.35,2)</f>
        <v>1.22</v>
      </c>
      <c r="F1024" s="208">
        <v>1034</v>
      </c>
      <c r="G1024" s="125">
        <f t="shared" ref="G1024" si="19">ROUND(E1024*F1024,2)</f>
        <v>1261.48</v>
      </c>
    </row>
    <row r="1025" spans="1:7" hidden="1">
      <c r="A1025" s="81"/>
      <c r="B1025" s="650"/>
      <c r="C1025" s="473"/>
      <c r="D1025" s="442"/>
      <c r="E1025" s="464"/>
      <c r="F1025" s="204"/>
      <c r="G1025" s="125"/>
    </row>
    <row r="1026" spans="1:7" hidden="1">
      <c r="A1026" s="81"/>
      <c r="B1026" s="650"/>
      <c r="C1026" s="262" t="s">
        <v>2087</v>
      </c>
      <c r="D1026" s="128"/>
      <c r="E1026" s="128"/>
      <c r="F1026" s="127"/>
      <c r="G1026" s="209">
        <f>SUM(G1019:G1025)</f>
        <v>4193.1000000000004</v>
      </c>
    </row>
    <row r="1027" spans="1:7" ht="15.95" customHeight="1"/>
    <row r="1028" spans="1:7" ht="15.95" customHeight="1"/>
    <row r="1029" spans="1:7" ht="15.95" customHeight="1">
      <c r="C1029" s="20" t="str">
        <f>'lead 24-25'!$H$32</f>
        <v>Deputy Executive Engineer</v>
      </c>
      <c r="E1029" s="20" t="str">
        <f>'lead 24-25'!K32</f>
        <v>Assistant  Engineer</v>
      </c>
    </row>
    <row r="1030" spans="1:7">
      <c r="C1030" s="20" t="str">
        <f>'lead 24-25'!$H$33</f>
        <v>PRI Sub Division</v>
      </c>
      <c r="E1030" s="20" t="str">
        <f>'lead 24-25'!K33</f>
        <v>Mandal Praja parishad</v>
      </c>
    </row>
    <row r="1031" spans="1:7">
      <c r="C1031" s="20" t="str">
        <f>'lead 24-25'!$H$34</f>
        <v>Kanigiri</v>
      </c>
      <c r="E1031" s="20" t="str">
        <f>'lead 24-25'!K34</f>
        <v>P.C.Palli</v>
      </c>
    </row>
  </sheetData>
  <autoFilter ref="A5:G1024" xr:uid="{00000000-0009-0000-0000-000006000000}">
    <filterColumn colId="0">
      <colorFilter dxfId="3"/>
    </filterColumn>
  </autoFilter>
  <mergeCells count="2">
    <mergeCell ref="A1:G1"/>
    <mergeCell ref="A2:G2"/>
  </mergeCells>
  <pageMargins left="0.74" right="0.23" top="0.33" bottom="0.25" header="0.2" footer="0.17"/>
  <pageSetup paperSize="9" orientation="portrait"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tabColor rgb="FF7030A0"/>
  </sheetPr>
  <dimension ref="A1:H157"/>
  <sheetViews>
    <sheetView view="pageBreakPreview" zoomScale="115" zoomScaleNormal="70" zoomScaleSheetLayoutView="115" workbookViewId="0">
      <pane ySplit="3" topLeftCell="A65" activePane="bottomLeft" state="frozen"/>
      <selection activeCell="C931" sqref="C931"/>
      <selection pane="bottomLeft" activeCell="C931" sqref="C931"/>
    </sheetView>
  </sheetViews>
  <sheetFormatPr defaultColWidth="13.85546875" defaultRowHeight="12.75"/>
  <cols>
    <col min="1" max="1" width="8.7109375" style="22" customWidth="1"/>
    <col min="2" max="2" width="4.7109375" style="474" customWidth="1"/>
    <col min="3" max="3" width="48" style="76" customWidth="1"/>
    <col min="4" max="4" width="6.85546875" style="77" customWidth="1"/>
    <col min="5" max="5" width="9.28515625" style="78" customWidth="1"/>
    <col min="6" max="6" width="8.7109375" style="78" customWidth="1"/>
    <col min="7" max="7" width="9.140625" style="79" bestFit="1" customWidth="1"/>
    <col min="8" max="16384" width="13.85546875" style="24"/>
  </cols>
  <sheetData>
    <row r="1" spans="1:7" ht="15" customHeight="1">
      <c r="B1" s="939" t="s">
        <v>2266</v>
      </c>
      <c r="C1" s="939"/>
      <c r="D1" s="939"/>
      <c r="E1" s="939"/>
      <c r="F1" s="939"/>
      <c r="G1" s="23"/>
    </row>
    <row r="2" spans="1:7" s="25" customFormat="1" ht="29.25" customHeight="1">
      <c r="A2" s="459" t="s">
        <v>312</v>
      </c>
      <c r="B2" s="460" t="s">
        <v>23</v>
      </c>
      <c r="C2" s="459" t="s">
        <v>313</v>
      </c>
      <c r="D2" s="459" t="s">
        <v>16</v>
      </c>
      <c r="E2" s="461" t="s">
        <v>136</v>
      </c>
      <c r="F2" s="461" t="s">
        <v>314</v>
      </c>
      <c r="G2" s="462" t="s">
        <v>315</v>
      </c>
    </row>
    <row r="3" spans="1:7" s="25" customFormat="1" ht="15" customHeight="1">
      <c r="A3" s="459"/>
      <c r="B3" s="459">
        <v>1</v>
      </c>
      <c r="C3" s="459">
        <v>2</v>
      </c>
      <c r="D3" s="459">
        <v>3</v>
      </c>
      <c r="E3" s="463">
        <v>4</v>
      </c>
      <c r="F3" s="463">
        <v>5</v>
      </c>
      <c r="G3" s="463">
        <v>6</v>
      </c>
    </row>
    <row r="4" spans="1:7" s="492" customFormat="1" ht="72">
      <c r="A4" s="475"/>
      <c r="B4" s="484">
        <v>1</v>
      </c>
      <c r="C4" s="491" t="s">
        <v>319</v>
      </c>
      <c r="D4" s="491"/>
      <c r="E4" s="491"/>
      <c r="F4" s="491"/>
      <c r="G4" s="483"/>
    </row>
    <row r="5" spans="1:7" s="492" customFormat="1">
      <c r="A5" s="475"/>
      <c r="B5" s="484"/>
      <c r="C5" s="476" t="s">
        <v>320</v>
      </c>
      <c r="D5" s="493" t="s">
        <v>114</v>
      </c>
      <c r="E5" s="493">
        <v>1</v>
      </c>
      <c r="F5" s="494">
        <f>'MINI SSR 2024-25'!C66</f>
        <v>1979</v>
      </c>
      <c r="G5" s="483">
        <f>ROUND(E5*F5,2)</f>
        <v>1979</v>
      </c>
    </row>
    <row r="6" spans="1:7" s="492" customFormat="1">
      <c r="A6" s="475"/>
      <c r="B6" s="484"/>
      <c r="C6" s="476" t="s">
        <v>321</v>
      </c>
      <c r="D6" s="493" t="s">
        <v>114</v>
      </c>
      <c r="E6" s="493">
        <v>1</v>
      </c>
      <c r="F6" s="494">
        <f>'MINI SSR 2024-25'!C67</f>
        <v>2468</v>
      </c>
      <c r="G6" s="483">
        <f>ROUND(E6*F6,2)</f>
        <v>2468</v>
      </c>
    </row>
    <row r="7" spans="1:7" s="492" customFormat="1">
      <c r="A7" s="475"/>
      <c r="B7" s="484"/>
      <c r="C7" s="476" t="s">
        <v>322</v>
      </c>
      <c r="D7" s="493" t="s">
        <v>114</v>
      </c>
      <c r="E7" s="493">
        <v>1</v>
      </c>
      <c r="F7" s="494">
        <f>'MINI SSR 2024-25'!C68</f>
        <v>850</v>
      </c>
      <c r="G7" s="483">
        <f>ROUND(E7*F7,2)</f>
        <v>850</v>
      </c>
    </row>
    <row r="8" spans="1:7" s="489" customFormat="1">
      <c r="A8" s="475"/>
      <c r="B8" s="484"/>
      <c r="C8" s="476"/>
      <c r="D8" s="493"/>
      <c r="E8" s="493"/>
      <c r="F8" s="494"/>
      <c r="G8" s="483">
        <f>SUM(G5:G7)</f>
        <v>5297</v>
      </c>
    </row>
    <row r="9" spans="1:7" s="489" customFormat="1">
      <c r="A9" s="475"/>
      <c r="B9" s="484"/>
      <c r="C9" s="485" t="s">
        <v>323</v>
      </c>
      <c r="D9" s="486"/>
      <c r="E9" s="487"/>
      <c r="F9" s="487"/>
      <c r="G9" s="488">
        <v>0</v>
      </c>
    </row>
    <row r="10" spans="1:7" s="489" customFormat="1">
      <c r="A10" s="475"/>
      <c r="B10" s="484"/>
      <c r="C10" s="476"/>
      <c r="D10" s="493"/>
      <c r="E10" s="493"/>
      <c r="F10" s="494"/>
      <c r="G10" s="483">
        <f>SUM(G8:G9)</f>
        <v>5297</v>
      </c>
    </row>
    <row r="11" spans="1:7" s="114" customFormat="1" ht="36" hidden="1">
      <c r="A11" s="32"/>
      <c r="B11" s="33">
        <v>2</v>
      </c>
      <c r="C11" s="34" t="s">
        <v>593</v>
      </c>
      <c r="D11" s="34"/>
      <c r="E11" s="34"/>
      <c r="F11" s="34"/>
      <c r="G11" s="35"/>
    </row>
    <row r="12" spans="1:7" s="114" customFormat="1" hidden="1">
      <c r="A12" s="32"/>
      <c r="B12" s="33"/>
      <c r="C12" s="36" t="s">
        <v>594</v>
      </c>
      <c r="D12" s="37" t="s">
        <v>114</v>
      </c>
      <c r="E12" s="37">
        <v>1</v>
      </c>
      <c r="F12" s="38">
        <f>'MINI SSR 2024-25'!C69</f>
        <v>1036</v>
      </c>
      <c r="G12" s="35">
        <f>ROUND(E12*F12,2)</f>
        <v>1036</v>
      </c>
    </row>
    <row r="13" spans="1:7" hidden="1">
      <c r="A13" s="32"/>
      <c r="B13" s="33"/>
      <c r="C13" s="36"/>
      <c r="D13" s="37"/>
      <c r="E13" s="37"/>
      <c r="F13" s="38"/>
      <c r="G13" s="35">
        <f>SUM(G12)</f>
        <v>1036</v>
      </c>
    </row>
    <row r="14" spans="1:7" s="114" customFormat="1" ht="60" hidden="1">
      <c r="A14" s="32"/>
      <c r="B14" s="33">
        <v>3</v>
      </c>
      <c r="C14" s="34" t="s">
        <v>1037</v>
      </c>
      <c r="D14" s="34"/>
      <c r="E14" s="34"/>
      <c r="F14" s="34"/>
      <c r="G14" s="35"/>
    </row>
    <row r="15" spans="1:7" s="114" customFormat="1" hidden="1">
      <c r="A15" s="32"/>
      <c r="B15" s="33"/>
      <c r="C15" s="36" t="s">
        <v>1038</v>
      </c>
      <c r="D15" s="37" t="s">
        <v>114</v>
      </c>
      <c r="E15" s="37">
        <v>1</v>
      </c>
      <c r="F15" s="38">
        <f>'MINI SSR 2024-25'!C70</f>
        <v>2644</v>
      </c>
      <c r="G15" s="35">
        <f>ROUND(E15*F15,2)</f>
        <v>2644</v>
      </c>
    </row>
    <row r="16" spans="1:7" hidden="1">
      <c r="A16" s="32"/>
      <c r="B16" s="33"/>
      <c r="C16" s="36"/>
      <c r="D16" s="37"/>
      <c r="E16" s="37"/>
      <c r="F16" s="38"/>
      <c r="G16" s="35">
        <f>SUM(G15)</f>
        <v>2644</v>
      </c>
    </row>
    <row r="17" spans="1:7" s="500" customFormat="1" ht="152.25" customHeight="1">
      <c r="A17" s="495"/>
      <c r="B17" s="495">
        <v>2</v>
      </c>
      <c r="C17" s="496" t="s">
        <v>324</v>
      </c>
      <c r="D17" s="497"/>
      <c r="E17" s="496"/>
      <c r="F17" s="498"/>
      <c r="G17" s="499"/>
    </row>
    <row r="18" spans="1:7" s="500" customFormat="1">
      <c r="A18" s="495"/>
      <c r="B18" s="495"/>
      <c r="C18" s="501" t="s">
        <v>325</v>
      </c>
      <c r="D18" s="493" t="s">
        <v>114</v>
      </c>
      <c r="E18" s="493">
        <v>1</v>
      </c>
      <c r="F18" s="502">
        <f>'MINI SSR 2024-25'!C71</f>
        <v>1519</v>
      </c>
      <c r="G18" s="503">
        <f>ROUND(E18*F18,2)</f>
        <v>1519</v>
      </c>
    </row>
    <row r="19" spans="1:7" s="500" customFormat="1">
      <c r="A19" s="495"/>
      <c r="B19" s="495"/>
      <c r="C19" s="501" t="s">
        <v>326</v>
      </c>
      <c r="D19" s="493" t="s">
        <v>114</v>
      </c>
      <c r="E19" s="493">
        <v>1</v>
      </c>
      <c r="F19" s="502">
        <f>'MINI SSR 2024-25'!C72</f>
        <v>387</v>
      </c>
      <c r="G19" s="503">
        <f>ROUND(E19*F19,2)</f>
        <v>387</v>
      </c>
    </row>
    <row r="20" spans="1:7" s="500" customFormat="1" ht="24">
      <c r="A20" s="495"/>
      <c r="B20" s="495"/>
      <c r="C20" s="501" t="s">
        <v>327</v>
      </c>
      <c r="D20" s="493" t="s">
        <v>114</v>
      </c>
      <c r="E20" s="493">
        <v>1</v>
      </c>
      <c r="F20" s="502">
        <f>'MINI SSR 2024-25'!C73</f>
        <v>95</v>
      </c>
      <c r="G20" s="503">
        <f>ROUND(E20*F20,2)</f>
        <v>95</v>
      </c>
    </row>
    <row r="21" spans="1:7" s="500" customFormat="1">
      <c r="A21" s="495"/>
      <c r="B21" s="495"/>
      <c r="C21" s="501" t="s">
        <v>328</v>
      </c>
      <c r="D21" s="493" t="s">
        <v>114</v>
      </c>
      <c r="E21" s="493">
        <v>1</v>
      </c>
      <c r="F21" s="502">
        <f>'MINI SSR 2024-25'!C74</f>
        <v>24</v>
      </c>
      <c r="G21" s="503">
        <f>ROUND(E21*F21,2)</f>
        <v>24</v>
      </c>
    </row>
    <row r="22" spans="1:7" s="500" customFormat="1">
      <c r="A22" s="495"/>
      <c r="B22" s="495"/>
      <c r="C22" s="504"/>
      <c r="D22" s="493"/>
      <c r="E22" s="493"/>
      <c r="F22" s="502"/>
      <c r="G22" s="503">
        <f>SUM(G18:G21)</f>
        <v>2025</v>
      </c>
    </row>
    <row r="23" spans="1:7" s="489" customFormat="1">
      <c r="A23" s="475"/>
      <c r="B23" s="484"/>
      <c r="C23" s="485" t="s">
        <v>323</v>
      </c>
      <c r="D23" s="486"/>
      <c r="E23" s="487"/>
      <c r="F23" s="487"/>
      <c r="G23" s="488">
        <v>0</v>
      </c>
    </row>
    <row r="24" spans="1:7" s="489" customFormat="1">
      <c r="A24" s="475"/>
      <c r="B24" s="484"/>
      <c r="C24" s="476"/>
      <c r="D24" s="493"/>
      <c r="E24" s="493"/>
      <c r="F24" s="494"/>
      <c r="G24" s="483">
        <f>SUM(G22:G23)</f>
        <v>2025</v>
      </c>
    </row>
    <row r="25" spans="1:7" s="48" customFormat="1" ht="80.25" hidden="1" customHeight="1">
      <c r="A25" s="43"/>
      <c r="B25" s="43">
        <v>5</v>
      </c>
      <c r="C25" s="44" t="s">
        <v>329</v>
      </c>
      <c r="D25" s="45"/>
      <c r="E25" s="44"/>
      <c r="F25" s="46"/>
      <c r="G25" s="47"/>
    </row>
    <row r="26" spans="1:7" s="48" customFormat="1" hidden="1">
      <c r="A26" s="43"/>
      <c r="B26" s="43"/>
      <c r="C26" s="49" t="s">
        <v>330</v>
      </c>
      <c r="D26" s="37" t="s">
        <v>114</v>
      </c>
      <c r="E26" s="37">
        <v>1</v>
      </c>
      <c r="F26" s="50">
        <f>'MINI SSR 2024-25'!C75</f>
        <v>93</v>
      </c>
      <c r="G26" s="51">
        <f>ROUND(E26*F26,2)</f>
        <v>93</v>
      </c>
    </row>
    <row r="27" spans="1:7" s="48" customFormat="1" hidden="1">
      <c r="A27" s="43"/>
      <c r="B27" s="43"/>
      <c r="C27" s="49" t="s">
        <v>331</v>
      </c>
      <c r="D27" s="37" t="s">
        <v>114</v>
      </c>
      <c r="E27" s="37">
        <v>1</v>
      </c>
      <c r="F27" s="50">
        <f>'MINI SSR 2024-25'!C76</f>
        <v>32</v>
      </c>
      <c r="G27" s="51">
        <f>ROUND(E27*F27,2)</f>
        <v>32</v>
      </c>
    </row>
    <row r="28" spans="1:7" s="48" customFormat="1" hidden="1">
      <c r="A28" s="43"/>
      <c r="B28" s="43"/>
      <c r="C28" s="233"/>
      <c r="D28" s="37"/>
      <c r="E28" s="37"/>
      <c r="F28" s="50"/>
      <c r="G28" s="51">
        <f>SUM(G26:G27)</f>
        <v>125</v>
      </c>
    </row>
    <row r="29" spans="1:7" hidden="1">
      <c r="A29" s="32"/>
      <c r="B29" s="33"/>
      <c r="C29" s="39" t="s">
        <v>323</v>
      </c>
      <c r="D29" s="40"/>
      <c r="E29" s="41"/>
      <c r="F29" s="41"/>
      <c r="G29" s="42">
        <v>0</v>
      </c>
    </row>
    <row r="30" spans="1:7" hidden="1">
      <c r="A30" s="32"/>
      <c r="B30" s="33"/>
      <c r="C30" s="36"/>
      <c r="D30" s="37"/>
      <c r="E30" s="37"/>
      <c r="F30" s="38"/>
      <c r="G30" s="35">
        <f>SUM(G28:G29)</f>
        <v>125</v>
      </c>
    </row>
    <row r="31" spans="1:7" s="48" customFormat="1" ht="68.25" hidden="1" customHeight="1">
      <c r="A31" s="43"/>
      <c r="B31" s="43">
        <v>6</v>
      </c>
      <c r="C31" s="44" t="s">
        <v>332</v>
      </c>
      <c r="D31" s="45"/>
      <c r="E31" s="44"/>
      <c r="F31" s="46"/>
      <c r="G31" s="47"/>
    </row>
    <row r="32" spans="1:7" s="48" customFormat="1" hidden="1">
      <c r="A32" s="43"/>
      <c r="B32" s="43"/>
      <c r="C32" s="49" t="s">
        <v>333</v>
      </c>
      <c r="D32" s="37" t="s">
        <v>114</v>
      </c>
      <c r="E32" s="37">
        <v>1</v>
      </c>
      <c r="F32" s="50">
        <f>'MINI SSR 2024-25'!C77</f>
        <v>128</v>
      </c>
      <c r="G32" s="51">
        <f>ROUND(E32*F32,2)</f>
        <v>128</v>
      </c>
    </row>
    <row r="33" spans="1:7" hidden="1">
      <c r="A33" s="32"/>
      <c r="B33" s="33"/>
      <c r="C33" s="39" t="s">
        <v>323</v>
      </c>
      <c r="D33" s="40"/>
      <c r="E33" s="41"/>
      <c r="F33" s="41"/>
      <c r="G33" s="42">
        <v>0</v>
      </c>
    </row>
    <row r="34" spans="1:7" hidden="1">
      <c r="A34" s="32"/>
      <c r="B34" s="33"/>
      <c r="C34" s="36"/>
      <c r="D34" s="37"/>
      <c r="E34" s="37"/>
      <c r="F34" s="38"/>
      <c r="G34" s="35">
        <f>SUM(G32:G33)</f>
        <v>128</v>
      </c>
    </row>
    <row r="35" spans="1:7" s="52" customFormat="1" ht="36" hidden="1">
      <c r="A35" s="32"/>
      <c r="B35" s="32">
        <v>3</v>
      </c>
      <c r="C35" s="34" t="s">
        <v>334</v>
      </c>
      <c r="D35" s="34"/>
      <c r="E35" s="34"/>
      <c r="F35" s="34"/>
      <c r="G35" s="34"/>
    </row>
    <row r="36" spans="1:7" s="52" customFormat="1" ht="15" hidden="1">
      <c r="A36" s="32"/>
      <c r="B36" s="32"/>
      <c r="C36" s="53" t="s">
        <v>335</v>
      </c>
      <c r="D36" s="53"/>
      <c r="E36" s="54"/>
      <c r="F36" s="54"/>
      <c r="G36" s="55"/>
    </row>
    <row r="37" spans="1:7" s="52" customFormat="1" ht="15" hidden="1">
      <c r="A37" s="32"/>
      <c r="B37" s="32"/>
      <c r="C37" s="53" t="s">
        <v>336</v>
      </c>
      <c r="D37" s="53" t="s">
        <v>271</v>
      </c>
      <c r="E37" s="54">
        <v>1</v>
      </c>
      <c r="F37" s="54">
        <f>'MINI SSR 2024-25'!C78</f>
        <v>447</v>
      </c>
      <c r="G37" s="35">
        <f>ROUND(E37*F37,2)</f>
        <v>447</v>
      </c>
    </row>
    <row r="38" spans="1:7" hidden="1">
      <c r="A38" s="32"/>
      <c r="B38" s="33"/>
      <c r="C38" s="39" t="s">
        <v>323</v>
      </c>
      <c r="D38" s="40"/>
      <c r="E38" s="41"/>
      <c r="F38" s="41"/>
      <c r="G38" s="42">
        <v>0</v>
      </c>
    </row>
    <row r="39" spans="1:7" s="52" customFormat="1" ht="15" hidden="1">
      <c r="A39" s="32"/>
      <c r="B39" s="32"/>
      <c r="C39" s="53" t="s">
        <v>337</v>
      </c>
      <c r="D39" s="53"/>
      <c r="E39" s="53"/>
      <c r="F39" s="53"/>
      <c r="G39" s="56">
        <f>SUM(G37:G38)</f>
        <v>447</v>
      </c>
    </row>
    <row r="40" spans="1:7" s="52" customFormat="1" ht="15" hidden="1">
      <c r="A40" s="32"/>
      <c r="B40" s="32"/>
      <c r="C40" s="53" t="s">
        <v>338</v>
      </c>
      <c r="D40" s="53"/>
      <c r="E40" s="53"/>
      <c r="F40" s="53"/>
      <c r="G40" s="56">
        <f>G39/3</f>
        <v>149</v>
      </c>
    </row>
    <row r="41" spans="1:7" s="52" customFormat="1" ht="36" hidden="1">
      <c r="A41" s="32"/>
      <c r="B41" s="32">
        <v>8</v>
      </c>
      <c r="C41" s="34" t="s">
        <v>339</v>
      </c>
      <c r="D41" s="34"/>
      <c r="E41" s="34"/>
      <c r="F41" s="34"/>
      <c r="G41" s="34"/>
    </row>
    <row r="42" spans="1:7" s="52" customFormat="1" ht="15" hidden="1">
      <c r="A42" s="32"/>
      <c r="B42" s="32"/>
      <c r="C42" s="53" t="s">
        <v>335</v>
      </c>
      <c r="D42" s="53"/>
      <c r="E42" s="54"/>
      <c r="F42" s="54"/>
      <c r="G42" s="55"/>
    </row>
    <row r="43" spans="1:7" s="52" customFormat="1" ht="15" hidden="1">
      <c r="A43" s="32"/>
      <c r="B43" s="32"/>
      <c r="C43" s="53" t="s">
        <v>340</v>
      </c>
      <c r="D43" s="53" t="s">
        <v>271</v>
      </c>
      <c r="E43" s="54">
        <v>1</v>
      </c>
      <c r="F43" s="54">
        <f>'MINI SSR 2024-25'!C79</f>
        <v>425</v>
      </c>
      <c r="G43" s="35">
        <f>ROUND(E43*F43,2)</f>
        <v>425</v>
      </c>
    </row>
    <row r="44" spans="1:7" hidden="1">
      <c r="A44" s="32"/>
      <c r="B44" s="33"/>
      <c r="C44" s="39" t="s">
        <v>323</v>
      </c>
      <c r="D44" s="40"/>
      <c r="E44" s="41"/>
      <c r="F44" s="41"/>
      <c r="G44" s="42">
        <v>0</v>
      </c>
    </row>
    <row r="45" spans="1:7" s="52" customFormat="1" ht="15" hidden="1">
      <c r="A45" s="32"/>
      <c r="B45" s="32"/>
      <c r="C45" s="53" t="s">
        <v>337</v>
      </c>
      <c r="D45" s="53"/>
      <c r="E45" s="53"/>
      <c r="F45" s="53"/>
      <c r="G45" s="56">
        <f>SUM(G43:G44)</f>
        <v>425</v>
      </c>
    </row>
    <row r="46" spans="1:7" s="52" customFormat="1" ht="15" hidden="1">
      <c r="A46" s="32"/>
      <c r="B46" s="32"/>
      <c r="C46" s="53" t="s">
        <v>338</v>
      </c>
      <c r="D46" s="53"/>
      <c r="E46" s="53"/>
      <c r="F46" s="53"/>
      <c r="G46" s="56">
        <f>G45/3</f>
        <v>141.66666666666666</v>
      </c>
    </row>
    <row r="47" spans="1:7" s="52" customFormat="1" ht="36" hidden="1">
      <c r="A47" s="32"/>
      <c r="B47" s="32">
        <v>4</v>
      </c>
      <c r="C47" s="34" t="s">
        <v>341</v>
      </c>
      <c r="D47" s="34"/>
      <c r="E47" s="34"/>
      <c r="F47" s="34"/>
      <c r="G47" s="34"/>
    </row>
    <row r="48" spans="1:7" s="52" customFormat="1" ht="15" hidden="1">
      <c r="A48" s="32"/>
      <c r="B48" s="32"/>
      <c r="C48" s="53" t="s">
        <v>335</v>
      </c>
      <c r="D48" s="53"/>
      <c r="E48" s="54"/>
      <c r="F48" s="54"/>
      <c r="G48" s="55"/>
    </row>
    <row r="49" spans="1:7" s="52" customFormat="1" ht="15" hidden="1">
      <c r="A49" s="32"/>
      <c r="B49" s="32"/>
      <c r="C49" s="53" t="s">
        <v>342</v>
      </c>
      <c r="D49" s="53" t="s">
        <v>271</v>
      </c>
      <c r="E49" s="54">
        <v>1</v>
      </c>
      <c r="F49" s="54">
        <f>'MINI SSR 2024-25'!C80</f>
        <v>267</v>
      </c>
      <c r="G49" s="35">
        <f>ROUND(E49*F49,2)</f>
        <v>267</v>
      </c>
    </row>
    <row r="50" spans="1:7" hidden="1">
      <c r="A50" s="32"/>
      <c r="B50" s="33"/>
      <c r="C50" s="39" t="s">
        <v>323</v>
      </c>
      <c r="D50" s="40"/>
      <c r="E50" s="41"/>
      <c r="F50" s="41"/>
      <c r="G50" s="42">
        <v>0</v>
      </c>
    </row>
    <row r="51" spans="1:7" s="52" customFormat="1" ht="15" hidden="1">
      <c r="A51" s="32"/>
      <c r="B51" s="32"/>
      <c r="C51" s="53" t="s">
        <v>337</v>
      </c>
      <c r="D51" s="53"/>
      <c r="E51" s="53"/>
      <c r="F51" s="53"/>
      <c r="G51" s="56">
        <f>SUM(G49:G50)</f>
        <v>267</v>
      </c>
    </row>
    <row r="52" spans="1:7" s="52" customFormat="1" ht="15" hidden="1">
      <c r="A52" s="32"/>
      <c r="B52" s="32"/>
      <c r="C52" s="53" t="s">
        <v>338</v>
      </c>
      <c r="D52" s="53"/>
      <c r="E52" s="53"/>
      <c r="F52" s="53"/>
      <c r="G52" s="56">
        <f>G51/3</f>
        <v>89</v>
      </c>
    </row>
    <row r="53" spans="1:7" s="58" customFormat="1" ht="60" hidden="1">
      <c r="A53" s="32"/>
      <c r="B53" s="32">
        <v>5</v>
      </c>
      <c r="C53" s="36" t="s">
        <v>343</v>
      </c>
      <c r="D53" s="36"/>
      <c r="E53" s="32"/>
      <c r="F53" s="32"/>
      <c r="G53" s="57"/>
    </row>
    <row r="54" spans="1:7" s="58" customFormat="1" hidden="1">
      <c r="A54" s="34"/>
      <c r="B54" s="32"/>
      <c r="C54" s="59" t="s">
        <v>344</v>
      </c>
      <c r="D54" s="60" t="s">
        <v>273</v>
      </c>
      <c r="E54" s="61">
        <v>1</v>
      </c>
      <c r="F54" s="62">
        <f>'MINI SSR 2024-25'!C81</f>
        <v>84</v>
      </c>
      <c r="G54" s="35">
        <f>ROUND(E54*F54,2)</f>
        <v>84</v>
      </c>
    </row>
    <row r="55" spans="1:7" hidden="1">
      <c r="A55" s="32"/>
      <c r="B55" s="33"/>
      <c r="C55" s="39" t="s">
        <v>323</v>
      </c>
      <c r="D55" s="40"/>
      <c r="E55" s="41"/>
      <c r="F55" s="41"/>
      <c r="G55" s="42">
        <v>0</v>
      </c>
    </row>
    <row r="56" spans="1:7" s="58" customFormat="1" hidden="1">
      <c r="A56" s="34"/>
      <c r="B56" s="32"/>
      <c r="C56" s="59"/>
      <c r="D56" s="60"/>
      <c r="E56" s="61"/>
      <c r="F56" s="62"/>
      <c r="G56" s="56">
        <f>SUM(G54:G55)</f>
        <v>84</v>
      </c>
    </row>
    <row r="57" spans="1:7" s="52" customFormat="1" ht="24" hidden="1">
      <c r="A57" s="32"/>
      <c r="B57" s="32">
        <v>11</v>
      </c>
      <c r="C57" s="36" t="s">
        <v>670</v>
      </c>
      <c r="D57" s="53"/>
      <c r="E57" s="60"/>
      <c r="F57" s="60"/>
      <c r="G57" s="53"/>
    </row>
    <row r="58" spans="1:7" s="52" customFormat="1" ht="15" hidden="1">
      <c r="A58" s="32"/>
      <c r="B58" s="32"/>
      <c r="C58" s="59" t="s">
        <v>671</v>
      </c>
      <c r="D58" s="60" t="s">
        <v>114</v>
      </c>
      <c r="E58" s="61">
        <v>1</v>
      </c>
      <c r="F58" s="62">
        <f>'MINI SSR 2024-25'!C82</f>
        <v>1644</v>
      </c>
      <c r="G58" s="35">
        <f>ROUND(E58*F58,2)</f>
        <v>1644</v>
      </c>
    </row>
    <row r="59" spans="1:7" hidden="1">
      <c r="A59" s="32"/>
      <c r="B59" s="33"/>
      <c r="C59" s="39" t="s">
        <v>323</v>
      </c>
      <c r="D59" s="40"/>
      <c r="E59" s="41"/>
      <c r="F59" s="41"/>
      <c r="G59" s="42">
        <v>0</v>
      </c>
    </row>
    <row r="60" spans="1:7" s="52" customFormat="1" ht="15" hidden="1">
      <c r="A60" s="32"/>
      <c r="B60" s="32"/>
      <c r="C60" s="59"/>
      <c r="D60" s="60"/>
      <c r="E60" s="61"/>
      <c r="F60" s="62"/>
      <c r="G60" s="56">
        <f>SUM(G58:G59)</f>
        <v>1644</v>
      </c>
    </row>
    <row r="61" spans="1:7" s="479" customFormat="1" ht="48">
      <c r="A61" s="475"/>
      <c r="B61" s="475">
        <v>3</v>
      </c>
      <c r="C61" s="476" t="s">
        <v>345</v>
      </c>
      <c r="D61" s="477"/>
      <c r="E61" s="478"/>
      <c r="F61" s="478"/>
      <c r="G61" s="477"/>
    </row>
    <row r="62" spans="1:7" s="479" customFormat="1" ht="15">
      <c r="A62" s="475"/>
      <c r="B62" s="475"/>
      <c r="C62" s="480" t="s">
        <v>346</v>
      </c>
      <c r="D62" s="478" t="s">
        <v>114</v>
      </c>
      <c r="E62" s="481">
        <v>1</v>
      </c>
      <c r="F62" s="482">
        <f>'MINI SSR 2024-25'!C72</f>
        <v>387</v>
      </c>
      <c r="G62" s="483">
        <f>ROUND(E62*F62,2)</f>
        <v>387</v>
      </c>
    </row>
    <row r="63" spans="1:7" s="489" customFormat="1">
      <c r="A63" s="475"/>
      <c r="B63" s="484"/>
      <c r="C63" s="485" t="s">
        <v>323</v>
      </c>
      <c r="D63" s="486"/>
      <c r="E63" s="487"/>
      <c r="F63" s="487"/>
      <c r="G63" s="488">
        <v>0</v>
      </c>
    </row>
    <row r="64" spans="1:7" s="479" customFormat="1" ht="15">
      <c r="A64" s="475"/>
      <c r="B64" s="475"/>
      <c r="C64" s="480"/>
      <c r="D64" s="478"/>
      <c r="E64" s="481"/>
      <c r="F64" s="482"/>
      <c r="G64" s="490">
        <f>SUM(G62:G63)</f>
        <v>387</v>
      </c>
    </row>
    <row r="65" spans="1:7" s="479" customFormat="1" ht="24">
      <c r="A65" s="475"/>
      <c r="B65" s="475">
        <v>4</v>
      </c>
      <c r="C65" s="476" t="s">
        <v>2307</v>
      </c>
      <c r="D65" s="477"/>
      <c r="E65" s="478"/>
      <c r="F65" s="478"/>
      <c r="G65" s="477"/>
    </row>
    <row r="66" spans="1:7" s="479" customFormat="1" ht="15">
      <c r="A66" s="475"/>
      <c r="B66" s="475"/>
      <c r="C66" s="480" t="s">
        <v>347</v>
      </c>
      <c r="D66" s="478" t="s">
        <v>114</v>
      </c>
      <c r="E66" s="481">
        <v>1</v>
      </c>
      <c r="F66" s="482">
        <f>'MINI SSR 2024-25'!C83</f>
        <v>4166</v>
      </c>
      <c r="G66" s="483">
        <f>ROUND(E66*F66,2)</f>
        <v>4166</v>
      </c>
    </row>
    <row r="67" spans="1:7" s="489" customFormat="1">
      <c r="A67" s="475"/>
      <c r="B67" s="484"/>
      <c r="C67" s="485" t="s">
        <v>323</v>
      </c>
      <c r="D67" s="486"/>
      <c r="E67" s="487"/>
      <c r="F67" s="487"/>
      <c r="G67" s="488">
        <v>0</v>
      </c>
    </row>
    <row r="68" spans="1:7" s="479" customFormat="1" ht="15">
      <c r="A68" s="475"/>
      <c r="B68" s="475"/>
      <c r="C68" s="480"/>
      <c r="D68" s="478"/>
      <c r="E68" s="481"/>
      <c r="F68" s="482"/>
      <c r="G68" s="490">
        <f>SUM(G66:G67)</f>
        <v>4166</v>
      </c>
    </row>
    <row r="69" spans="1:7" s="52" customFormat="1" ht="60" hidden="1">
      <c r="A69" s="32"/>
      <c r="B69" s="32">
        <v>7</v>
      </c>
      <c r="C69" s="36" t="s">
        <v>285</v>
      </c>
      <c r="D69" s="34"/>
      <c r="E69" s="32"/>
      <c r="F69" s="32"/>
      <c r="G69" s="57"/>
    </row>
    <row r="70" spans="1:7" s="52" customFormat="1" ht="15" hidden="1">
      <c r="A70" s="32"/>
      <c r="B70" s="32"/>
      <c r="C70" s="59" t="s">
        <v>348</v>
      </c>
      <c r="D70" s="60" t="s">
        <v>349</v>
      </c>
      <c r="E70" s="62">
        <v>1</v>
      </c>
      <c r="F70" s="62">
        <f>'MINI SSR 2024-25'!H66</f>
        <v>8.5</v>
      </c>
      <c r="G70" s="35">
        <f>ROUND(E70*F70,2)</f>
        <v>8.5</v>
      </c>
    </row>
    <row r="71" spans="1:7" s="52" customFormat="1" ht="15" hidden="1">
      <c r="A71" s="32"/>
      <c r="B71" s="63"/>
      <c r="C71" s="59" t="s">
        <v>350</v>
      </c>
      <c r="D71" s="60" t="s">
        <v>349</v>
      </c>
      <c r="E71" s="62">
        <v>1</v>
      </c>
      <c r="F71" s="62">
        <f>'MINI SSR 2024-25'!H67</f>
        <v>1</v>
      </c>
      <c r="G71" s="35">
        <f>ROUND(E71*F71,2)</f>
        <v>1</v>
      </c>
    </row>
    <row r="72" spans="1:7" s="52" customFormat="1" ht="15" hidden="1">
      <c r="A72" s="32"/>
      <c r="B72" s="63"/>
      <c r="C72" s="59"/>
      <c r="D72" s="60"/>
      <c r="E72" s="62"/>
      <c r="F72" s="62"/>
      <c r="G72" s="56">
        <f>SUM(G70:G71)</f>
        <v>9.5</v>
      </c>
    </row>
    <row r="73" spans="1:7" hidden="1">
      <c r="A73" s="32"/>
      <c r="B73" s="33"/>
      <c r="C73" s="39" t="s">
        <v>323</v>
      </c>
      <c r="D73" s="40"/>
      <c r="E73" s="41"/>
      <c r="F73" s="41"/>
      <c r="G73" s="42">
        <v>0</v>
      </c>
    </row>
    <row r="74" spans="1:7" s="52" customFormat="1" ht="15" hidden="1">
      <c r="A74" s="32"/>
      <c r="B74" s="63"/>
      <c r="C74" s="59"/>
      <c r="D74" s="60"/>
      <c r="E74" s="62"/>
      <c r="F74" s="62"/>
      <c r="G74" s="56">
        <f>SUM(G72:G73)</f>
        <v>9.5</v>
      </c>
    </row>
    <row r="75" spans="1:7" s="52" customFormat="1" ht="72" hidden="1">
      <c r="A75" s="32"/>
      <c r="B75" s="32">
        <v>8</v>
      </c>
      <c r="C75" s="36" t="s">
        <v>270</v>
      </c>
      <c r="D75" s="36"/>
      <c r="E75" s="36"/>
      <c r="F75" s="32"/>
      <c r="G75" s="57"/>
    </row>
    <row r="76" spans="1:7" s="52" customFormat="1" ht="15" hidden="1">
      <c r="A76" s="32"/>
      <c r="B76" s="32"/>
      <c r="C76" s="36" t="s">
        <v>351</v>
      </c>
      <c r="D76" s="53" t="s">
        <v>271</v>
      </c>
      <c r="E76" s="54">
        <v>1</v>
      </c>
      <c r="F76" s="62">
        <f>'MINI SSR 2024-25'!H68</f>
        <v>157</v>
      </c>
      <c r="G76" s="35">
        <f>ROUND(E76*F76,2)</f>
        <v>157</v>
      </c>
    </row>
    <row r="77" spans="1:7" hidden="1">
      <c r="A77" s="32"/>
      <c r="B77" s="33"/>
      <c r="C77" s="39" t="s">
        <v>323</v>
      </c>
      <c r="D77" s="40"/>
      <c r="E77" s="41"/>
      <c r="F77" s="41"/>
      <c r="G77" s="42">
        <v>0</v>
      </c>
    </row>
    <row r="78" spans="1:7" s="52" customFormat="1" ht="15" hidden="1">
      <c r="A78" s="32"/>
      <c r="B78" s="63"/>
      <c r="C78" s="59"/>
      <c r="D78" s="60"/>
      <c r="E78" s="62"/>
      <c r="F78" s="62"/>
      <c r="G78" s="55">
        <f>SUM(G76:G77)</f>
        <v>157</v>
      </c>
    </row>
    <row r="79" spans="1:7" s="52" customFormat="1" ht="15" hidden="1">
      <c r="A79" s="32"/>
      <c r="B79" s="32"/>
      <c r="C79" s="36" t="s">
        <v>352</v>
      </c>
      <c r="D79" s="53" t="s">
        <v>271</v>
      </c>
      <c r="E79" s="54">
        <v>1</v>
      </c>
      <c r="F79" s="62">
        <f>'MINI SSR 2024-25'!H69</f>
        <v>184</v>
      </c>
      <c r="G79" s="35">
        <f>ROUND(E79*F79,2)</f>
        <v>184</v>
      </c>
    </row>
    <row r="80" spans="1:7" hidden="1">
      <c r="A80" s="32"/>
      <c r="B80" s="33"/>
      <c r="C80" s="39" t="s">
        <v>323</v>
      </c>
      <c r="D80" s="40"/>
      <c r="E80" s="41"/>
      <c r="F80" s="41"/>
      <c r="G80" s="42">
        <v>0</v>
      </c>
    </row>
    <row r="81" spans="1:7" s="52" customFormat="1" ht="15" hidden="1">
      <c r="A81" s="32"/>
      <c r="B81" s="63"/>
      <c r="C81" s="59"/>
      <c r="D81" s="60"/>
      <c r="E81" s="62"/>
      <c r="F81" s="62"/>
      <c r="G81" s="55">
        <f>SUM(G79:G80)</f>
        <v>184</v>
      </c>
    </row>
    <row r="82" spans="1:7" s="52" customFormat="1" ht="15" hidden="1">
      <c r="A82" s="32"/>
      <c r="B82" s="32"/>
      <c r="C82" s="36" t="s">
        <v>353</v>
      </c>
      <c r="D82" s="53" t="s">
        <v>271</v>
      </c>
      <c r="E82" s="54">
        <v>1</v>
      </c>
      <c r="F82" s="62">
        <f>'MINI SSR 2024-25'!H70</f>
        <v>222</v>
      </c>
      <c r="G82" s="35">
        <f>ROUND(E82*F82,2)</f>
        <v>222</v>
      </c>
    </row>
    <row r="83" spans="1:7" hidden="1">
      <c r="A83" s="32"/>
      <c r="B83" s="33"/>
      <c r="C83" s="39" t="s">
        <v>323</v>
      </c>
      <c r="D83" s="40"/>
      <c r="E83" s="41"/>
      <c r="F83" s="41"/>
      <c r="G83" s="42">
        <v>0</v>
      </c>
    </row>
    <row r="84" spans="1:7" s="52" customFormat="1" ht="15" hidden="1">
      <c r="A84" s="32"/>
      <c r="B84" s="63"/>
      <c r="C84" s="59"/>
      <c r="D84" s="60"/>
      <c r="E84" s="62"/>
      <c r="F84" s="62"/>
      <c r="G84" s="55">
        <f>SUM(G82:G83)</f>
        <v>222</v>
      </c>
    </row>
    <row r="85" spans="1:7" s="52" customFormat="1" ht="15" hidden="1">
      <c r="A85" s="32"/>
      <c r="B85" s="32"/>
      <c r="C85" s="36" t="s">
        <v>354</v>
      </c>
      <c r="D85" s="53" t="s">
        <v>271</v>
      </c>
      <c r="E85" s="54">
        <v>1</v>
      </c>
      <c r="F85" s="62">
        <f>'MINI SSR 2024-25'!H71</f>
        <v>288</v>
      </c>
      <c r="G85" s="35">
        <f>ROUND(E85*F85,2)</f>
        <v>288</v>
      </c>
    </row>
    <row r="86" spans="1:7" hidden="1">
      <c r="A86" s="32"/>
      <c r="B86" s="33"/>
      <c r="C86" s="39" t="s">
        <v>323</v>
      </c>
      <c r="D86" s="40"/>
      <c r="E86" s="41"/>
      <c r="F86" s="41"/>
      <c r="G86" s="42">
        <v>0</v>
      </c>
    </row>
    <row r="87" spans="1:7" s="52" customFormat="1" ht="15" hidden="1">
      <c r="A87" s="32"/>
      <c r="B87" s="63"/>
      <c r="C87" s="59"/>
      <c r="D87" s="60"/>
      <c r="E87" s="62"/>
      <c r="F87" s="62"/>
      <c r="G87" s="55">
        <f>SUM(G85:G86)</f>
        <v>288</v>
      </c>
    </row>
    <row r="88" spans="1:7" s="58" customFormat="1" ht="48" hidden="1">
      <c r="A88" s="32"/>
      <c r="B88" s="32">
        <v>16</v>
      </c>
      <c r="C88" s="36" t="s">
        <v>1052</v>
      </c>
      <c r="D88" s="36"/>
      <c r="E88" s="32"/>
      <c r="F88" s="32"/>
      <c r="G88" s="57"/>
    </row>
    <row r="89" spans="1:7" s="58" customFormat="1" hidden="1">
      <c r="A89" s="34"/>
      <c r="B89" s="32"/>
      <c r="C89" s="59" t="s">
        <v>371</v>
      </c>
      <c r="D89" s="60" t="s">
        <v>273</v>
      </c>
      <c r="E89" s="61">
        <v>1</v>
      </c>
      <c r="F89" s="62">
        <f>'MINI SSR 2024-25'!H72</f>
        <v>25</v>
      </c>
      <c r="G89" s="35">
        <f>ROUND(E89*F89,2)</f>
        <v>25</v>
      </c>
    </row>
    <row r="90" spans="1:7" hidden="1">
      <c r="A90" s="32"/>
      <c r="B90" s="33"/>
      <c r="C90" s="39" t="s">
        <v>323</v>
      </c>
      <c r="D90" s="40"/>
      <c r="E90" s="41"/>
      <c r="F90" s="41"/>
      <c r="G90" s="42">
        <v>0</v>
      </c>
    </row>
    <row r="91" spans="1:7" s="58" customFormat="1" hidden="1">
      <c r="A91" s="34"/>
      <c r="B91" s="32"/>
      <c r="C91" s="59"/>
      <c r="D91" s="60"/>
      <c r="E91" s="61"/>
      <c r="F91" s="62"/>
      <c r="G91" s="56">
        <f>SUM(G89:G90)</f>
        <v>25</v>
      </c>
    </row>
    <row r="92" spans="1:7" s="58" customFormat="1" ht="72" hidden="1">
      <c r="A92" s="32"/>
      <c r="B92" s="32">
        <v>9</v>
      </c>
      <c r="C92" s="36" t="s">
        <v>355</v>
      </c>
      <c r="D92" s="36"/>
      <c r="E92" s="32"/>
      <c r="F92" s="32"/>
      <c r="G92" s="57"/>
    </row>
    <row r="93" spans="1:7" s="58" customFormat="1" hidden="1">
      <c r="A93" s="34"/>
      <c r="B93" s="32"/>
      <c r="C93" s="59" t="s">
        <v>356</v>
      </c>
      <c r="D93" s="60" t="s">
        <v>273</v>
      </c>
      <c r="E93" s="61">
        <v>1</v>
      </c>
      <c r="F93" s="62">
        <f>'MINI SSR 2024-25'!H73</f>
        <v>35</v>
      </c>
      <c r="G93" s="35">
        <f>ROUND(E93*F93,2)</f>
        <v>35</v>
      </c>
    </row>
    <row r="94" spans="1:7" hidden="1">
      <c r="A94" s="32"/>
      <c r="B94" s="33"/>
      <c r="C94" s="39" t="s">
        <v>323</v>
      </c>
      <c r="D94" s="40"/>
      <c r="E94" s="41"/>
      <c r="F94" s="41"/>
      <c r="G94" s="42">
        <v>0</v>
      </c>
    </row>
    <row r="95" spans="1:7" s="58" customFormat="1" hidden="1">
      <c r="A95" s="34"/>
      <c r="B95" s="32"/>
      <c r="C95" s="59"/>
      <c r="D95" s="60"/>
      <c r="E95" s="61"/>
      <c r="F95" s="62"/>
      <c r="G95" s="56">
        <f>SUM(G93:G94)</f>
        <v>35</v>
      </c>
    </row>
    <row r="96" spans="1:7" s="52" customFormat="1" ht="48" hidden="1">
      <c r="A96" s="32"/>
      <c r="B96" s="32">
        <v>18</v>
      </c>
      <c r="C96" s="36" t="s">
        <v>357</v>
      </c>
      <c r="D96" s="34"/>
      <c r="E96" s="32"/>
      <c r="F96" s="32"/>
      <c r="G96" s="57"/>
    </row>
    <row r="97" spans="1:8" s="52" customFormat="1" ht="15" hidden="1">
      <c r="A97" s="32"/>
      <c r="B97" s="32"/>
      <c r="C97" s="59" t="s">
        <v>358</v>
      </c>
      <c r="D97" s="60" t="s">
        <v>114</v>
      </c>
      <c r="E97" s="62">
        <v>1</v>
      </c>
      <c r="F97" s="62">
        <f>'MINI SSR 2024-25'!H74</f>
        <v>1165</v>
      </c>
      <c r="G97" s="35">
        <f>ROUND(E97*F97,2)</f>
        <v>1165</v>
      </c>
    </row>
    <row r="98" spans="1:8" hidden="1">
      <c r="A98" s="32"/>
      <c r="B98" s="33"/>
      <c r="C98" s="39" t="s">
        <v>323</v>
      </c>
      <c r="D98" s="40"/>
      <c r="E98" s="41"/>
      <c r="F98" s="41"/>
      <c r="G98" s="42">
        <v>0</v>
      </c>
    </row>
    <row r="99" spans="1:8" s="52" customFormat="1" ht="15" hidden="1">
      <c r="A99" s="32"/>
      <c r="B99" s="63"/>
      <c r="C99" s="59"/>
      <c r="D99" s="60"/>
      <c r="E99" s="62"/>
      <c r="F99" s="62"/>
      <c r="G99" s="56">
        <f>SUM(G97:G98)</f>
        <v>1165</v>
      </c>
    </row>
    <row r="100" spans="1:8" s="58" customFormat="1" ht="108" hidden="1">
      <c r="A100" s="64"/>
      <c r="B100" s="32">
        <v>19</v>
      </c>
      <c r="C100" s="34" t="s">
        <v>359</v>
      </c>
      <c r="D100" s="34"/>
      <c r="E100" s="34"/>
      <c r="F100" s="34"/>
      <c r="G100" s="65"/>
    </row>
    <row r="101" spans="1:8" s="58" customFormat="1" hidden="1">
      <c r="A101" s="66"/>
      <c r="B101" s="63"/>
      <c r="C101" s="67" t="s">
        <v>360</v>
      </c>
      <c r="D101" s="68"/>
      <c r="E101" s="68"/>
      <c r="F101" s="69"/>
      <c r="G101" s="70"/>
    </row>
    <row r="102" spans="1:8" s="58" customFormat="1" hidden="1">
      <c r="A102" s="66"/>
      <c r="B102" s="32"/>
      <c r="C102" s="66" t="s">
        <v>361</v>
      </c>
      <c r="D102" s="69" t="s">
        <v>362</v>
      </c>
      <c r="E102" s="68">
        <v>1</v>
      </c>
      <c r="F102" s="68">
        <f>'MINI SSR 2024-25'!C78</f>
        <v>447</v>
      </c>
      <c r="G102" s="35">
        <f t="shared" ref="G102:G107" si="0">ROUND(E102*F102,2)</f>
        <v>447</v>
      </c>
    </row>
    <row r="103" spans="1:8" s="58" customFormat="1" hidden="1">
      <c r="A103" s="66"/>
      <c r="B103" s="32"/>
      <c r="C103" s="71" t="s">
        <v>363</v>
      </c>
      <c r="D103" s="69" t="s">
        <v>114</v>
      </c>
      <c r="E103" s="68">
        <v>1</v>
      </c>
      <c r="F103" s="68">
        <f>'MINI SSR 2024-25'!H75</f>
        <v>77</v>
      </c>
      <c r="G103" s="35">
        <f t="shared" si="0"/>
        <v>77</v>
      </c>
    </row>
    <row r="104" spans="1:8" s="58" customFormat="1" hidden="1">
      <c r="A104" s="66"/>
      <c r="B104" s="32"/>
      <c r="C104" s="71" t="s">
        <v>364</v>
      </c>
      <c r="D104" s="69" t="s">
        <v>114</v>
      </c>
      <c r="E104" s="68">
        <v>3</v>
      </c>
      <c r="F104" s="68">
        <f>'MINI SSR 2024-25'!H76</f>
        <v>17</v>
      </c>
      <c r="G104" s="35">
        <f t="shared" si="0"/>
        <v>51</v>
      </c>
    </row>
    <row r="105" spans="1:8" s="58" customFormat="1" hidden="1">
      <c r="A105" s="66"/>
      <c r="B105" s="32"/>
      <c r="C105" s="72" t="s">
        <v>365</v>
      </c>
      <c r="D105" s="69" t="s">
        <v>108</v>
      </c>
      <c r="E105" s="68">
        <v>0.3</v>
      </c>
      <c r="F105" s="68">
        <f>'MINI SSR 2024-25'!H13</f>
        <v>795</v>
      </c>
      <c r="G105" s="35">
        <f t="shared" si="0"/>
        <v>238.5</v>
      </c>
    </row>
    <row r="106" spans="1:8" s="58" customFormat="1" hidden="1">
      <c r="A106" s="66"/>
      <c r="B106" s="32"/>
      <c r="C106" s="72" t="s">
        <v>366</v>
      </c>
      <c r="D106" s="69" t="s">
        <v>108</v>
      </c>
      <c r="E106" s="68">
        <v>0.7</v>
      </c>
      <c r="F106" s="68">
        <f>'MINI SSR 2024-25'!H14</f>
        <v>640</v>
      </c>
      <c r="G106" s="35">
        <f t="shared" si="0"/>
        <v>448</v>
      </c>
    </row>
    <row r="107" spans="1:8" s="58" customFormat="1" hidden="1">
      <c r="A107" s="66"/>
      <c r="B107" s="32"/>
      <c r="C107" s="72" t="s">
        <v>367</v>
      </c>
      <c r="D107" s="69" t="s">
        <v>108</v>
      </c>
      <c r="E107" s="68">
        <v>1</v>
      </c>
      <c r="F107" s="208">
        <f>'MINI SSR 2024-25'!$H$5</f>
        <v>595</v>
      </c>
      <c r="G107" s="35">
        <f t="shared" si="0"/>
        <v>595</v>
      </c>
    </row>
    <row r="108" spans="1:8" s="58" customFormat="1" hidden="1">
      <c r="A108" s="66"/>
      <c r="B108" s="32"/>
      <c r="C108" s="72"/>
      <c r="D108" s="69"/>
      <c r="E108" s="68"/>
      <c r="F108" s="68"/>
      <c r="G108" s="70">
        <f>SUM(G102:G107)</f>
        <v>1856.5</v>
      </c>
    </row>
    <row r="109" spans="1:8" hidden="1">
      <c r="A109" s="32"/>
      <c r="B109" s="33"/>
      <c r="C109" s="39" t="s">
        <v>323</v>
      </c>
      <c r="D109" s="40"/>
      <c r="E109" s="41"/>
      <c r="F109" s="41"/>
      <c r="G109" s="42">
        <v>0</v>
      </c>
    </row>
    <row r="110" spans="1:8" s="58" customFormat="1" hidden="1">
      <c r="A110" s="66"/>
      <c r="B110" s="63"/>
      <c r="C110" s="72" t="s">
        <v>368</v>
      </c>
      <c r="D110" s="69"/>
      <c r="E110" s="68"/>
      <c r="F110" s="68"/>
      <c r="G110" s="70">
        <f>SUM(G108:G109)</f>
        <v>1856.5</v>
      </c>
    </row>
    <row r="111" spans="1:8" s="58" customFormat="1" hidden="1">
      <c r="A111" s="446"/>
      <c r="B111" s="447"/>
      <c r="C111" s="448" t="s">
        <v>369</v>
      </c>
      <c r="D111" s="449"/>
      <c r="E111" s="450"/>
      <c r="F111" s="450"/>
      <c r="G111" s="451">
        <f>G110/3</f>
        <v>618.83333333333337</v>
      </c>
    </row>
    <row r="112" spans="1:8" s="126" customFormat="1" ht="63.75" hidden="1">
      <c r="A112" s="465"/>
      <c r="B112" s="465">
        <v>1</v>
      </c>
      <c r="C112" s="473" t="s">
        <v>1650</v>
      </c>
      <c r="D112" s="473"/>
      <c r="E112" s="128"/>
      <c r="F112" s="128"/>
      <c r="G112" s="110"/>
      <c r="H112" s="251"/>
    </row>
    <row r="113" spans="1:8" s="126" customFormat="1" hidden="1">
      <c r="A113" s="127"/>
      <c r="B113" s="128"/>
      <c r="C113" s="129" t="s">
        <v>2134</v>
      </c>
      <c r="D113" s="81" t="s">
        <v>273</v>
      </c>
      <c r="E113" s="130">
        <v>1</v>
      </c>
      <c r="F113" s="12">
        <f>'MINI SSR 2024-25'!C86</f>
        <v>492.16</v>
      </c>
      <c r="G113" s="11">
        <f>(E113*F113)/1</f>
        <v>492.16</v>
      </c>
      <c r="H113" s="252"/>
    </row>
    <row r="114" spans="1:8" s="126" customFormat="1" hidden="1">
      <c r="A114" s="127"/>
      <c r="B114" s="128"/>
      <c r="C114" s="129"/>
      <c r="D114" s="81"/>
      <c r="E114" s="130"/>
      <c r="F114" s="12"/>
      <c r="G114" s="11"/>
      <c r="H114" s="252"/>
    </row>
    <row r="115" spans="1:8" s="126" customFormat="1" hidden="1">
      <c r="A115" s="127"/>
      <c r="B115" s="128"/>
      <c r="C115" s="129" t="s">
        <v>2135</v>
      </c>
      <c r="D115" s="81" t="s">
        <v>273</v>
      </c>
      <c r="E115" s="130">
        <v>1</v>
      </c>
      <c r="F115" s="12">
        <f>'MINI SSR 2024-25'!C87</f>
        <v>526.54999999999995</v>
      </c>
      <c r="G115" s="11">
        <f>(E115*F115)/1</f>
        <v>526.54999999999995</v>
      </c>
      <c r="H115" s="252"/>
    </row>
    <row r="116" spans="1:8" s="126" customFormat="1" hidden="1">
      <c r="A116" s="127"/>
      <c r="B116" s="128"/>
      <c r="C116" s="129"/>
      <c r="D116" s="81"/>
      <c r="E116" s="130"/>
      <c r="F116" s="12"/>
      <c r="G116" s="11"/>
      <c r="H116" s="252"/>
    </row>
    <row r="117" spans="1:8" s="126" customFormat="1" hidden="1">
      <c r="A117" s="127"/>
      <c r="B117" s="128"/>
      <c r="C117" s="129" t="s">
        <v>2100</v>
      </c>
      <c r="D117" s="81" t="s">
        <v>273</v>
      </c>
      <c r="E117" s="130">
        <v>1</v>
      </c>
      <c r="F117" s="12">
        <f>'MINI SSR 2024-25'!C88</f>
        <v>590.61</v>
      </c>
      <c r="G117" s="11">
        <f>(E117*F117)/1</f>
        <v>590.61</v>
      </c>
      <c r="H117" s="125"/>
    </row>
    <row r="118" spans="1:8" s="126" customFormat="1" hidden="1">
      <c r="A118" s="127"/>
      <c r="B118" s="128"/>
      <c r="C118" s="129"/>
      <c r="D118" s="81"/>
      <c r="E118" s="130"/>
      <c r="F118" s="12"/>
      <c r="G118" s="11"/>
      <c r="H118" s="131"/>
    </row>
    <row r="119" spans="1:8" s="126" customFormat="1" ht="51" hidden="1">
      <c r="A119" s="128"/>
      <c r="B119" s="128">
        <v>21</v>
      </c>
      <c r="C119" s="473" t="s">
        <v>580</v>
      </c>
      <c r="D119" s="473"/>
      <c r="E119" s="128"/>
      <c r="F119" s="128"/>
      <c r="G119" s="110"/>
      <c r="H119" s="111"/>
    </row>
    <row r="120" spans="1:8" s="126" customFormat="1" hidden="1">
      <c r="A120" s="127"/>
      <c r="B120" s="128"/>
      <c r="C120" s="129" t="s">
        <v>585</v>
      </c>
      <c r="D120" s="81" t="s">
        <v>268</v>
      </c>
      <c r="E120" s="130">
        <v>1</v>
      </c>
      <c r="F120" s="12">
        <f>'MINI SSR 2024-25'!C89</f>
        <v>29403</v>
      </c>
      <c r="G120" s="11">
        <f>(E120*F120)/1</f>
        <v>29403</v>
      </c>
      <c r="H120" s="125"/>
    </row>
    <row r="121" spans="1:8" s="126" customFormat="1" hidden="1">
      <c r="A121" s="452"/>
      <c r="B121" s="453"/>
      <c r="C121" s="454"/>
      <c r="D121" s="455"/>
      <c r="E121" s="456"/>
      <c r="F121" s="457"/>
      <c r="G121" s="458">
        <f>SUM(G120:G120)</f>
        <v>29403</v>
      </c>
      <c r="H121" s="131"/>
    </row>
    <row r="122" spans="1:8" s="126" customFormat="1" ht="51" hidden="1">
      <c r="A122" s="128"/>
      <c r="B122" s="128">
        <v>2</v>
      </c>
      <c r="C122" s="473" t="s">
        <v>1309</v>
      </c>
      <c r="D122" s="473"/>
      <c r="E122" s="128"/>
      <c r="F122" s="128"/>
      <c r="G122" s="110"/>
      <c r="H122" s="251"/>
    </row>
    <row r="123" spans="1:8" s="126" customFormat="1" hidden="1">
      <c r="A123" s="127"/>
      <c r="B123" s="128"/>
      <c r="C123" s="129" t="s">
        <v>1316</v>
      </c>
      <c r="D123" s="81" t="s">
        <v>268</v>
      </c>
      <c r="E123" s="130">
        <v>1</v>
      </c>
      <c r="F123" s="12">
        <f>'MINI SSR 2024-25'!C90</f>
        <v>20207</v>
      </c>
      <c r="G123" s="11">
        <f>(E123*F123)/1</f>
        <v>20207</v>
      </c>
      <c r="H123" s="252"/>
    </row>
    <row r="124" spans="1:8" s="126" customFormat="1" hidden="1">
      <c r="A124" s="127"/>
      <c r="B124" s="128"/>
      <c r="C124" s="129"/>
      <c r="D124" s="81"/>
      <c r="E124" s="130"/>
      <c r="F124" s="12"/>
      <c r="G124" s="11">
        <f>SUM(G123:G123)</f>
        <v>20207</v>
      </c>
      <c r="H124" s="466"/>
    </row>
    <row r="125" spans="1:8" s="126" customFormat="1" ht="51" hidden="1">
      <c r="A125" s="128"/>
      <c r="B125" s="128">
        <v>3</v>
      </c>
      <c r="C125" s="473" t="s">
        <v>586</v>
      </c>
      <c r="D125" s="473"/>
      <c r="E125" s="128"/>
      <c r="F125" s="128"/>
      <c r="G125" s="110"/>
      <c r="H125" s="251"/>
    </row>
    <row r="126" spans="1:8" s="126" customFormat="1" hidden="1">
      <c r="A126" s="127"/>
      <c r="B126" s="128"/>
      <c r="C126" s="467" t="s">
        <v>1649</v>
      </c>
      <c r="D126" s="81" t="s">
        <v>284</v>
      </c>
      <c r="E126" s="130">
        <v>1</v>
      </c>
      <c r="F126" s="12">
        <f>'MINI SSR 2024-25'!C91</f>
        <v>358.31</v>
      </c>
      <c r="G126" s="11">
        <f>(E126*F126)/1</f>
        <v>358.31</v>
      </c>
      <c r="H126" s="252"/>
    </row>
    <row r="127" spans="1:8" s="126" customFormat="1" hidden="1">
      <c r="A127" s="127"/>
      <c r="B127" s="128"/>
      <c r="C127" s="129"/>
      <c r="D127" s="81"/>
      <c r="E127" s="130"/>
      <c r="F127" s="12"/>
      <c r="G127" s="11">
        <f>SUM(G126:G126)</f>
        <v>358.31</v>
      </c>
      <c r="H127" s="466"/>
    </row>
    <row r="128" spans="1:8" s="126" customFormat="1" ht="38.25" hidden="1">
      <c r="A128" s="128"/>
      <c r="B128" s="128">
        <v>4</v>
      </c>
      <c r="C128" s="14" t="s">
        <v>278</v>
      </c>
      <c r="D128" s="14"/>
      <c r="E128" s="73"/>
      <c r="F128" s="73"/>
      <c r="G128" s="468"/>
      <c r="H128" s="251"/>
    </row>
    <row r="129" spans="1:8" s="126" customFormat="1" hidden="1">
      <c r="A129" s="127"/>
      <c r="B129" s="128"/>
      <c r="C129" s="17" t="s">
        <v>370</v>
      </c>
      <c r="D129" s="13" t="s">
        <v>273</v>
      </c>
      <c r="E129" s="74">
        <v>1</v>
      </c>
      <c r="F129" s="15">
        <f>'MINI SSR 2024-25'!C92</f>
        <v>80</v>
      </c>
      <c r="G129" s="16">
        <f>(E129*F129)/1</f>
        <v>80</v>
      </c>
      <c r="H129" s="252"/>
    </row>
    <row r="130" spans="1:8" s="126" customFormat="1" hidden="1">
      <c r="A130" s="127"/>
      <c r="B130" s="128"/>
      <c r="C130" s="17"/>
      <c r="D130" s="13"/>
      <c r="E130" s="74"/>
      <c r="F130" s="15"/>
      <c r="G130" s="16">
        <f>SUM(G129:G129)</f>
        <v>80</v>
      </c>
      <c r="H130" s="466"/>
    </row>
    <row r="131" spans="1:8" s="126" customFormat="1" hidden="1">
      <c r="A131" s="128"/>
      <c r="B131" s="128">
        <v>5</v>
      </c>
      <c r="C131" s="473" t="s">
        <v>282</v>
      </c>
      <c r="D131" s="473"/>
      <c r="E131" s="128"/>
      <c r="F131" s="128"/>
      <c r="G131" s="110"/>
      <c r="H131" s="251"/>
    </row>
    <row r="132" spans="1:8" s="126" customFormat="1" hidden="1">
      <c r="A132" s="127"/>
      <c r="B132" s="128"/>
      <c r="C132" s="129" t="s">
        <v>1648</v>
      </c>
      <c r="D132" s="81" t="s">
        <v>268</v>
      </c>
      <c r="E132" s="130">
        <v>1</v>
      </c>
      <c r="F132" s="12">
        <f>'MINI SSR 2024-25'!C93</f>
        <v>185</v>
      </c>
      <c r="G132" s="11">
        <f>(E132*F132)/1</f>
        <v>185</v>
      </c>
      <c r="H132" s="252"/>
    </row>
    <row r="133" spans="1:8" s="126" customFormat="1" hidden="1">
      <c r="A133" s="127"/>
      <c r="B133" s="128"/>
      <c r="C133" s="129"/>
      <c r="D133" s="81"/>
      <c r="E133" s="130"/>
      <c r="F133" s="12"/>
      <c r="G133" s="11">
        <f>SUM(G132:G132)</f>
        <v>185</v>
      </c>
      <c r="H133" s="466"/>
    </row>
    <row r="134" spans="1:8" s="126" customFormat="1" hidden="1">
      <c r="A134" s="128"/>
      <c r="B134" s="128">
        <v>6</v>
      </c>
      <c r="C134" s="473" t="s">
        <v>279</v>
      </c>
      <c r="D134" s="473"/>
      <c r="E134" s="128"/>
      <c r="F134" s="128"/>
      <c r="G134" s="110"/>
      <c r="H134" s="251"/>
    </row>
    <row r="135" spans="1:8" s="126" customFormat="1" hidden="1">
      <c r="A135" s="127"/>
      <c r="B135" s="128"/>
      <c r="C135" s="129" t="s">
        <v>1647</v>
      </c>
      <c r="D135" s="81" t="s">
        <v>268</v>
      </c>
      <c r="E135" s="130">
        <v>1</v>
      </c>
      <c r="F135" s="12">
        <f>'MINI SSR 2024-25'!C94</f>
        <v>330.75</v>
      </c>
      <c r="G135" s="11">
        <f>(E135*F135)/1</f>
        <v>330.75</v>
      </c>
      <c r="H135" s="252"/>
    </row>
    <row r="136" spans="1:8" s="126" customFormat="1" hidden="1">
      <c r="A136" s="127"/>
      <c r="B136" s="128"/>
      <c r="C136" s="129"/>
      <c r="D136" s="81"/>
      <c r="E136" s="130"/>
      <c r="F136" s="12"/>
      <c r="G136" s="11">
        <f>SUM(G135:G135)</f>
        <v>330.75</v>
      </c>
      <c r="H136" s="466"/>
    </row>
    <row r="137" spans="1:8" s="126" customFormat="1" hidden="1">
      <c r="A137" s="128"/>
      <c r="B137" s="128">
        <v>7</v>
      </c>
      <c r="C137" s="473" t="s">
        <v>1646</v>
      </c>
      <c r="D137" s="473"/>
      <c r="E137" s="128"/>
      <c r="F137" s="128"/>
      <c r="G137" s="110"/>
      <c r="H137" s="251"/>
    </row>
    <row r="138" spans="1:8" s="126" customFormat="1" hidden="1">
      <c r="A138" s="127"/>
      <c r="B138" s="128"/>
      <c r="C138" s="129" t="s">
        <v>1647</v>
      </c>
      <c r="D138" s="81" t="s">
        <v>273</v>
      </c>
      <c r="E138" s="130">
        <v>1</v>
      </c>
      <c r="F138" s="12">
        <f>'MINI SSR 2024-25'!C95</f>
        <v>400</v>
      </c>
      <c r="G138" s="11">
        <f>(E138*F138)/1</f>
        <v>400</v>
      </c>
      <c r="H138" s="252"/>
    </row>
    <row r="139" spans="1:8" s="126" customFormat="1" hidden="1">
      <c r="A139" s="127"/>
      <c r="B139" s="128"/>
      <c r="C139" s="129"/>
      <c r="D139" s="81"/>
      <c r="E139" s="130"/>
      <c r="F139" s="12"/>
      <c r="G139" s="11">
        <f>SUM(G138:G138)</f>
        <v>400</v>
      </c>
      <c r="H139" s="466"/>
    </row>
    <row r="140" spans="1:8" s="126" customFormat="1" hidden="1">
      <c r="A140" s="128"/>
      <c r="B140" s="128">
        <v>8</v>
      </c>
      <c r="C140" s="473" t="s">
        <v>1644</v>
      </c>
      <c r="D140" s="473"/>
      <c r="E140" s="128"/>
      <c r="F140" s="128"/>
      <c r="G140" s="110"/>
      <c r="H140" s="251"/>
    </row>
    <row r="141" spans="1:8" s="126" customFormat="1" hidden="1">
      <c r="A141" s="127"/>
      <c r="B141" s="128"/>
      <c r="C141" s="129" t="s">
        <v>1645</v>
      </c>
      <c r="D141" s="81" t="s">
        <v>268</v>
      </c>
      <c r="E141" s="130">
        <v>1</v>
      </c>
      <c r="F141" s="12">
        <f>'MINI SSR 2024-25'!C96</f>
        <v>77</v>
      </c>
      <c r="G141" s="11">
        <f>(E141*F141)/1</f>
        <v>77</v>
      </c>
      <c r="H141" s="252"/>
    </row>
    <row r="142" spans="1:8" s="126" customFormat="1" hidden="1">
      <c r="A142" s="127"/>
      <c r="B142" s="128"/>
      <c r="C142" s="129"/>
      <c r="D142" s="81"/>
      <c r="E142" s="130"/>
      <c r="F142" s="12"/>
      <c r="G142" s="11">
        <f>SUM(G141:G141)</f>
        <v>77</v>
      </c>
      <c r="H142" s="466"/>
    </row>
    <row r="143" spans="1:8" s="126" customFormat="1" ht="51" hidden="1">
      <c r="A143" s="128"/>
      <c r="B143" s="128">
        <v>9</v>
      </c>
      <c r="C143" s="473" t="s">
        <v>587</v>
      </c>
      <c r="D143" s="473"/>
      <c r="E143" s="128"/>
      <c r="F143" s="128"/>
      <c r="G143" s="110"/>
      <c r="H143" s="251"/>
    </row>
    <row r="144" spans="1:8" s="126" customFormat="1" hidden="1">
      <c r="A144" s="127"/>
      <c r="B144" s="128"/>
      <c r="C144" s="129" t="s">
        <v>588</v>
      </c>
      <c r="D144" s="81" t="s">
        <v>273</v>
      </c>
      <c r="E144" s="130">
        <v>1</v>
      </c>
      <c r="F144" s="12">
        <f>'MINI SSR 2024-25'!C97</f>
        <v>109</v>
      </c>
      <c r="G144" s="11">
        <f>(E144*F144)/1</f>
        <v>109</v>
      </c>
      <c r="H144" s="252"/>
    </row>
    <row r="145" spans="1:8" s="126" customFormat="1" hidden="1">
      <c r="A145" s="127"/>
      <c r="B145" s="128"/>
      <c r="C145" s="129"/>
      <c r="D145" s="81"/>
      <c r="E145" s="130"/>
      <c r="F145" s="12"/>
      <c r="G145" s="11">
        <f>SUM(G144:G144)</f>
        <v>109</v>
      </c>
      <c r="H145" s="466"/>
    </row>
    <row r="146" spans="1:8" s="126" customFormat="1" ht="102" hidden="1">
      <c r="A146" s="128"/>
      <c r="B146" s="128">
        <v>10</v>
      </c>
      <c r="C146" s="473" t="s">
        <v>372</v>
      </c>
      <c r="D146" s="473"/>
      <c r="E146" s="128"/>
      <c r="F146" s="128"/>
      <c r="G146" s="110"/>
      <c r="H146" s="251"/>
    </row>
    <row r="147" spans="1:8" s="126" customFormat="1" hidden="1">
      <c r="A147" s="127"/>
      <c r="B147" s="128"/>
      <c r="C147" s="17" t="s">
        <v>373</v>
      </c>
      <c r="D147" s="81" t="s">
        <v>114</v>
      </c>
      <c r="E147" s="130">
        <v>1</v>
      </c>
      <c r="F147" s="12">
        <f>'MINI SSR 2024-25'!C98</f>
        <v>5445</v>
      </c>
      <c r="G147" s="11">
        <f>(E147*F147)/1</f>
        <v>5445</v>
      </c>
      <c r="H147" s="252"/>
    </row>
    <row r="148" spans="1:8" s="126" customFormat="1" hidden="1">
      <c r="A148" s="127"/>
      <c r="B148" s="128"/>
      <c r="C148" s="129"/>
      <c r="D148" s="81"/>
      <c r="E148" s="130"/>
      <c r="F148" s="12"/>
      <c r="G148" s="11">
        <f>SUM(G147:G147)</f>
        <v>5445</v>
      </c>
      <c r="H148" s="466"/>
    </row>
    <row r="149" spans="1:8" s="52" customFormat="1" ht="15" hidden="1">
      <c r="A149" s="73"/>
      <c r="B149" s="73"/>
      <c r="C149" s="17"/>
      <c r="D149" s="13"/>
      <c r="E149" s="74"/>
      <c r="F149" s="15"/>
      <c r="G149" s="16"/>
    </row>
    <row r="150" spans="1:8" s="52" customFormat="1" ht="24" hidden="1">
      <c r="A150" s="32"/>
      <c r="B150" s="32">
        <v>10</v>
      </c>
      <c r="C150" s="36" t="s">
        <v>707</v>
      </c>
      <c r="D150" s="53"/>
      <c r="E150" s="60"/>
      <c r="F150" s="60"/>
      <c r="G150" s="53"/>
    </row>
    <row r="151" spans="1:8" s="52" customFormat="1" ht="15" hidden="1">
      <c r="A151" s="32"/>
      <c r="B151" s="32"/>
      <c r="C151" s="59" t="s">
        <v>708</v>
      </c>
      <c r="D151" s="60" t="s">
        <v>114</v>
      </c>
      <c r="E151" s="61">
        <v>1</v>
      </c>
      <c r="F151" s="62">
        <v>115</v>
      </c>
      <c r="G151" s="35">
        <f>ROUND(E151*F151,2)</f>
        <v>115</v>
      </c>
    </row>
    <row r="152" spans="1:8" s="52" customFormat="1" ht="15" hidden="1">
      <c r="A152" s="32"/>
      <c r="B152" s="32"/>
      <c r="C152" s="59"/>
      <c r="D152" s="60"/>
      <c r="E152" s="61"/>
      <c r="F152" s="62"/>
      <c r="G152" s="56">
        <f>SUM(G151:G151)</f>
        <v>115</v>
      </c>
    </row>
    <row r="153" spans="1:8" s="26" customFormat="1" ht="11.25">
      <c r="A153" s="27"/>
      <c r="B153" s="28"/>
      <c r="C153" s="82"/>
      <c r="D153" s="29"/>
      <c r="E153" s="31"/>
      <c r="F153" s="29"/>
      <c r="G153" s="30"/>
    </row>
    <row r="154" spans="1:8" s="26" customFormat="1" ht="11.25">
      <c r="A154" s="27"/>
      <c r="B154" s="28"/>
      <c r="C154" s="82"/>
      <c r="D154" s="29"/>
      <c r="E154" s="31"/>
      <c r="F154" s="29"/>
      <c r="G154" s="30"/>
    </row>
    <row r="155" spans="1:8" s="26" customFormat="1" ht="11.25">
      <c r="A155" s="27"/>
      <c r="B155" s="28"/>
      <c r="C155" s="469" t="str">
        <f>'lead 24-25'!H32</f>
        <v>Deputy Executive Engineer</v>
      </c>
      <c r="D155" s="29"/>
      <c r="E155" s="31"/>
      <c r="F155" s="29" t="str">
        <f>'lead 24-25'!K32</f>
        <v>Assistant  Engineer</v>
      </c>
      <c r="G155" s="30"/>
    </row>
    <row r="156" spans="1:8">
      <c r="A156" s="24"/>
      <c r="C156" s="469" t="str">
        <f>'lead 24-25'!H33</f>
        <v>PRI Sub Division</v>
      </c>
      <c r="D156" s="75"/>
      <c r="E156" s="75"/>
      <c r="F156" s="29" t="str">
        <f>'lead 24-25'!K33</f>
        <v>Mandal Praja parishad</v>
      </c>
      <c r="G156" s="75"/>
    </row>
    <row r="157" spans="1:8">
      <c r="A157" s="24"/>
      <c r="C157" s="469" t="str">
        <f>'lead 24-25'!H34</f>
        <v>Kanigiri</v>
      </c>
      <c r="D157" s="75"/>
      <c r="E157" s="75"/>
      <c r="F157" s="29" t="str">
        <f>'lead 24-25'!K34</f>
        <v>P.C.Palli</v>
      </c>
      <c r="G157" s="75"/>
    </row>
  </sheetData>
  <autoFilter ref="A3:G152" xr:uid="{00000000-0009-0000-0000-000007000000}">
    <filterColumn colId="0">
      <colorFilter dxfId="2"/>
    </filterColumn>
  </autoFilter>
  <mergeCells count="1">
    <mergeCell ref="B1:F1"/>
  </mergeCells>
  <printOptions horizontalCentered="1"/>
  <pageMargins left="0.2" right="0.2" top="0.25" bottom="0.25" header="0.3" footer="0.3"/>
  <pageSetup paperSize="9" orientation="portrait"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tabColor rgb="FF7030A0"/>
  </sheetPr>
  <dimension ref="A1:I307"/>
  <sheetViews>
    <sheetView view="pageBreakPreview" topLeftCell="A287" zoomScale="115" zoomScaleSheetLayoutView="115" workbookViewId="0">
      <selection activeCell="I297" sqref="I297"/>
    </sheetView>
  </sheetViews>
  <sheetFormatPr defaultRowHeight="11.25"/>
  <cols>
    <col min="1" max="1" width="9.140625" style="26"/>
    <col min="2" max="2" width="5.140625" style="29" customWidth="1"/>
    <col min="3" max="3" width="45.5703125" style="26" customWidth="1"/>
    <col min="4" max="4" width="7.7109375" style="26" customWidth="1"/>
    <col min="5" max="5" width="4.7109375" style="26" customWidth="1"/>
    <col min="6" max="6" width="3.28515625" style="26" customWidth="1"/>
    <col min="7" max="7" width="5" style="26" customWidth="1"/>
    <col min="8" max="8" width="9.5703125" style="26" bestFit="1" customWidth="1"/>
    <col min="9" max="16384" width="9.140625" style="26"/>
  </cols>
  <sheetData>
    <row r="1" spans="1:9">
      <c r="A1" s="940" t="s">
        <v>2267</v>
      </c>
      <c r="B1" s="940"/>
      <c r="C1" s="940"/>
      <c r="D1" s="941"/>
      <c r="E1" s="942"/>
      <c r="F1" s="941"/>
      <c r="G1" s="942"/>
      <c r="H1" s="940"/>
      <c r="I1" s="940"/>
    </row>
    <row r="2" spans="1:9" ht="32.25" customHeight="1">
      <c r="A2" s="665" t="s">
        <v>312</v>
      </c>
      <c r="B2" s="665" t="s">
        <v>23</v>
      </c>
      <c r="C2" s="665" t="s">
        <v>313</v>
      </c>
      <c r="D2" s="943" t="s">
        <v>6</v>
      </c>
      <c r="E2" s="944"/>
      <c r="F2" s="945" t="s">
        <v>374</v>
      </c>
      <c r="G2" s="946"/>
      <c r="H2" s="666" t="s">
        <v>314</v>
      </c>
      <c r="I2" s="666" t="s">
        <v>315</v>
      </c>
    </row>
    <row r="3" spans="1:9" s="669" customFormat="1" ht="18" customHeight="1">
      <c r="A3" s="667">
        <v>1</v>
      </c>
      <c r="B3" s="667">
        <v>2</v>
      </c>
      <c r="C3" s="667">
        <v>3</v>
      </c>
      <c r="D3" s="947">
        <v>4</v>
      </c>
      <c r="E3" s="948"/>
      <c r="F3" s="949">
        <v>5</v>
      </c>
      <c r="G3" s="950"/>
      <c r="H3" s="668">
        <v>6</v>
      </c>
      <c r="I3" s="668">
        <v>7</v>
      </c>
    </row>
    <row r="4" spans="1:9" ht="33.75">
      <c r="A4" s="670" t="s">
        <v>1256</v>
      </c>
      <c r="B4" s="263">
        <v>1</v>
      </c>
      <c r="C4" s="255" t="s">
        <v>1265</v>
      </c>
      <c r="D4" s="671"/>
      <c r="E4" s="672"/>
      <c r="F4" s="671"/>
      <c r="G4" s="672"/>
      <c r="H4" s="673"/>
      <c r="I4" s="673"/>
    </row>
    <row r="5" spans="1:9">
      <c r="A5" s="674"/>
      <c r="B5" s="263"/>
      <c r="C5" s="255" t="s">
        <v>1257</v>
      </c>
      <c r="D5" s="675"/>
      <c r="E5" s="676"/>
      <c r="F5" s="675"/>
      <c r="G5" s="676"/>
      <c r="H5" s="255"/>
      <c r="I5" s="255"/>
    </row>
    <row r="6" spans="1:9">
      <c r="A6" s="674"/>
      <c r="B6" s="263"/>
      <c r="C6" s="677" t="s">
        <v>375</v>
      </c>
      <c r="D6" s="678"/>
      <c r="E6" s="679"/>
      <c r="F6" s="680"/>
      <c r="G6" s="681"/>
      <c r="H6" s="670"/>
      <c r="I6" s="682"/>
    </row>
    <row r="7" spans="1:9">
      <c r="A7" s="674"/>
      <c r="B7" s="263"/>
      <c r="C7" s="683" t="s">
        <v>149</v>
      </c>
      <c r="D7" s="684">
        <v>2</v>
      </c>
      <c r="E7" s="685" t="s">
        <v>27</v>
      </c>
      <c r="F7" s="686">
        <v>1</v>
      </c>
      <c r="G7" s="685" t="s">
        <v>27</v>
      </c>
      <c r="H7" s="670">
        <f>'MINI SSR 2024-25'!$H$16</f>
        <v>790</v>
      </c>
      <c r="I7" s="682">
        <f>ROUND(((D7*H7)/F7),2)</f>
        <v>1580</v>
      </c>
    </row>
    <row r="8" spans="1:9">
      <c r="A8" s="674"/>
      <c r="B8" s="263"/>
      <c r="C8" s="687" t="s">
        <v>1260</v>
      </c>
      <c r="D8" s="684">
        <v>2</v>
      </c>
      <c r="E8" s="685" t="s">
        <v>27</v>
      </c>
      <c r="F8" s="686">
        <v>1</v>
      </c>
      <c r="G8" s="685" t="s">
        <v>27</v>
      </c>
      <c r="H8" s="670">
        <f>'MINI SSR 2024-25'!$H$17</f>
        <v>640</v>
      </c>
      <c r="I8" s="682">
        <f>ROUND(((D8*H8)/F8),2)</f>
        <v>1280</v>
      </c>
    </row>
    <row r="9" spans="1:9">
      <c r="A9" s="674"/>
      <c r="B9" s="263"/>
      <c r="C9" s="683" t="s">
        <v>1261</v>
      </c>
      <c r="D9" s="684">
        <v>2</v>
      </c>
      <c r="E9" s="685" t="s">
        <v>27</v>
      </c>
      <c r="F9" s="686">
        <v>1</v>
      </c>
      <c r="G9" s="685" t="s">
        <v>27</v>
      </c>
      <c r="H9" s="670">
        <f>'MINI SSR 2024-25'!$H$5</f>
        <v>595</v>
      </c>
      <c r="I9" s="682">
        <f>ROUND(((D9*H9)/F9),2)</f>
        <v>1190</v>
      </c>
    </row>
    <row r="10" spans="1:9">
      <c r="A10" s="674"/>
      <c r="B10" s="263"/>
      <c r="C10" s="677" t="s">
        <v>318</v>
      </c>
      <c r="D10" s="684"/>
      <c r="E10" s="688"/>
      <c r="F10" s="689"/>
      <c r="G10" s="688"/>
      <c r="H10" s="670"/>
      <c r="I10" s="690"/>
    </row>
    <row r="11" spans="1:9">
      <c r="A11" s="674" t="s">
        <v>1262</v>
      </c>
      <c r="B11" s="263"/>
      <c r="C11" s="255" t="s">
        <v>1258</v>
      </c>
      <c r="D11" s="684">
        <v>12</v>
      </c>
      <c r="E11" s="685" t="s">
        <v>316</v>
      </c>
      <c r="F11" s="686">
        <v>1</v>
      </c>
      <c r="G11" s="685" t="s">
        <v>114</v>
      </c>
      <c r="H11" s="670">
        <f>'MINI SSR 2024-25'!C100</f>
        <v>28</v>
      </c>
      <c r="I11" s="682">
        <f>ROUND(((D11*H11)/F11),2)</f>
        <v>336</v>
      </c>
    </row>
    <row r="12" spans="1:9">
      <c r="A12" s="674" t="s">
        <v>1263</v>
      </c>
      <c r="B12" s="263"/>
      <c r="C12" s="255" t="s">
        <v>1259</v>
      </c>
      <c r="D12" s="684">
        <v>12</v>
      </c>
      <c r="E12" s="685" t="s">
        <v>316</v>
      </c>
      <c r="F12" s="686">
        <v>1</v>
      </c>
      <c r="G12" s="685" t="s">
        <v>114</v>
      </c>
      <c r="H12" s="670">
        <f>'MINI SSR 2024-25'!C101</f>
        <v>12</v>
      </c>
      <c r="I12" s="682">
        <f>ROUND(((D12*H12)/F12),2)</f>
        <v>144</v>
      </c>
    </row>
    <row r="13" spans="1:9">
      <c r="A13" s="674" t="s">
        <v>1264</v>
      </c>
      <c r="B13" s="263"/>
      <c r="C13" s="255" t="s">
        <v>1268</v>
      </c>
      <c r="D13" s="684">
        <v>100</v>
      </c>
      <c r="E13" s="685" t="s">
        <v>376</v>
      </c>
      <c r="F13" s="686">
        <v>1</v>
      </c>
      <c r="G13" s="685" t="s">
        <v>376</v>
      </c>
      <c r="H13" s="670">
        <f>'MINI SSR 2024-25'!C102</f>
        <v>36</v>
      </c>
      <c r="I13" s="682">
        <f>ROUND(((D13*H13)/F13),2)</f>
        <v>3600</v>
      </c>
    </row>
    <row r="14" spans="1:9">
      <c r="A14" s="674"/>
      <c r="B14" s="263"/>
      <c r="C14" s="255"/>
      <c r="D14" s="684"/>
      <c r="E14" s="685"/>
      <c r="F14" s="686"/>
      <c r="G14" s="685"/>
      <c r="H14" s="670"/>
      <c r="I14" s="682">
        <f>SUBTOTAL(9,I7:I13)</f>
        <v>8130</v>
      </c>
    </row>
    <row r="15" spans="1:9">
      <c r="A15" s="674"/>
      <c r="B15" s="263"/>
      <c r="C15" s="255" t="s">
        <v>2194</v>
      </c>
      <c r="D15" s="684"/>
      <c r="E15" s="685"/>
      <c r="F15" s="686"/>
      <c r="G15" s="685"/>
      <c r="H15" s="670"/>
      <c r="I15" s="729">
        <f>ROUND(I14*'DATA 2024-25'!$C$3,2)</f>
        <v>1106.9000000000001</v>
      </c>
    </row>
    <row r="16" spans="1:9">
      <c r="A16" s="691"/>
      <c r="B16" s="692"/>
      <c r="C16" s="673" t="s">
        <v>377</v>
      </c>
      <c r="D16" s="684"/>
      <c r="E16" s="685"/>
      <c r="F16" s="686"/>
      <c r="G16" s="685"/>
      <c r="H16" s="670"/>
      <c r="I16" s="690">
        <f>ROUND(I14+I15,2)</f>
        <v>9236.9</v>
      </c>
    </row>
    <row r="17" spans="1:9">
      <c r="A17" s="691"/>
      <c r="B17" s="692"/>
      <c r="C17" s="673" t="s">
        <v>378</v>
      </c>
      <c r="D17" s="693"/>
      <c r="E17" s="685"/>
      <c r="F17" s="686"/>
      <c r="G17" s="685"/>
      <c r="H17" s="694"/>
      <c r="I17" s="690">
        <f>ROUND(I16/100,2)</f>
        <v>92.37</v>
      </c>
    </row>
    <row r="18" spans="1:9" ht="32.25" customHeight="1">
      <c r="A18" s="670" t="s">
        <v>1401</v>
      </c>
      <c r="B18" s="263">
        <v>2</v>
      </c>
      <c r="C18" s="255" t="s">
        <v>1269</v>
      </c>
      <c r="D18" s="671"/>
      <c r="E18" s="672"/>
      <c r="F18" s="671"/>
      <c r="G18" s="672"/>
      <c r="H18" s="673"/>
      <c r="I18" s="673"/>
    </row>
    <row r="19" spans="1:9">
      <c r="A19" s="674"/>
      <c r="B19" s="263"/>
      <c r="C19" s="255" t="s">
        <v>1257</v>
      </c>
      <c r="D19" s="675"/>
      <c r="E19" s="676"/>
      <c r="F19" s="675"/>
      <c r="G19" s="676"/>
      <c r="H19" s="255"/>
      <c r="I19" s="255"/>
    </row>
    <row r="20" spans="1:9">
      <c r="A20" s="674"/>
      <c r="B20" s="263"/>
      <c r="C20" s="677" t="s">
        <v>375</v>
      </c>
      <c r="D20" s="678"/>
      <c r="E20" s="679"/>
      <c r="F20" s="680"/>
      <c r="G20" s="681"/>
      <c r="H20" s="670"/>
      <c r="I20" s="682"/>
    </row>
    <row r="21" spans="1:9">
      <c r="A21" s="674"/>
      <c r="B21" s="263"/>
      <c r="C21" s="683" t="s">
        <v>149</v>
      </c>
      <c r="D21" s="684">
        <v>2</v>
      </c>
      <c r="E21" s="685" t="s">
        <v>27</v>
      </c>
      <c r="F21" s="686">
        <v>1</v>
      </c>
      <c r="G21" s="685" t="s">
        <v>27</v>
      </c>
      <c r="H21" s="670">
        <f>'MINI SSR 2024-25'!$H$16</f>
        <v>790</v>
      </c>
      <c r="I21" s="682">
        <f t="shared" ref="I21:I24" si="0">ROUND(((D21*H21)/F21),2)</f>
        <v>1580</v>
      </c>
    </row>
    <row r="22" spans="1:9">
      <c r="A22" s="674"/>
      <c r="B22" s="263"/>
      <c r="C22" s="687" t="s">
        <v>1260</v>
      </c>
      <c r="D22" s="684">
        <v>2</v>
      </c>
      <c r="E22" s="685" t="s">
        <v>27</v>
      </c>
      <c r="F22" s="686">
        <v>1</v>
      </c>
      <c r="G22" s="685" t="s">
        <v>27</v>
      </c>
      <c r="H22" s="670">
        <f>'MINI SSR 2024-25'!$H$17</f>
        <v>640</v>
      </c>
      <c r="I22" s="682">
        <f t="shared" si="0"/>
        <v>1280</v>
      </c>
    </row>
    <row r="23" spans="1:9">
      <c r="A23" s="674"/>
      <c r="B23" s="263"/>
      <c r="C23" s="683" t="s">
        <v>1261</v>
      </c>
      <c r="D23" s="684">
        <v>2</v>
      </c>
      <c r="E23" s="685" t="s">
        <v>27</v>
      </c>
      <c r="F23" s="686">
        <v>1</v>
      </c>
      <c r="G23" s="685" t="s">
        <v>27</v>
      </c>
      <c r="H23" s="670">
        <f>'MINI SSR 2024-25'!$H$5</f>
        <v>595</v>
      </c>
      <c r="I23" s="682">
        <f t="shared" si="0"/>
        <v>1190</v>
      </c>
    </row>
    <row r="24" spans="1:9">
      <c r="A24" s="674"/>
      <c r="B24" s="263"/>
      <c r="C24" s="683" t="s">
        <v>1267</v>
      </c>
      <c r="D24" s="684">
        <v>2</v>
      </c>
      <c r="E24" s="685" t="s">
        <v>27</v>
      </c>
      <c r="F24" s="686">
        <v>1</v>
      </c>
      <c r="G24" s="685" t="s">
        <v>27</v>
      </c>
      <c r="H24" s="670">
        <f>'MINI SSR 2024-25'!H3</f>
        <v>710</v>
      </c>
      <c r="I24" s="682">
        <f t="shared" si="0"/>
        <v>1420</v>
      </c>
    </row>
    <row r="25" spans="1:9">
      <c r="A25" s="674"/>
      <c r="B25" s="263"/>
      <c r="C25" s="677" t="s">
        <v>318</v>
      </c>
      <c r="D25" s="684"/>
      <c r="E25" s="688"/>
      <c r="F25" s="689"/>
      <c r="G25" s="688"/>
      <c r="H25" s="670"/>
      <c r="I25" s="690"/>
    </row>
    <row r="26" spans="1:9">
      <c r="A26" s="674" t="s">
        <v>1264</v>
      </c>
      <c r="B26" s="263"/>
      <c r="C26" s="695" t="s">
        <v>1268</v>
      </c>
      <c r="D26" s="684">
        <v>100</v>
      </c>
      <c r="E26" s="685" t="s">
        <v>316</v>
      </c>
      <c r="F26" s="686">
        <v>1</v>
      </c>
      <c r="G26" s="685" t="s">
        <v>114</v>
      </c>
      <c r="H26" s="670">
        <f>'MINI SSR 2024-25'!C102</f>
        <v>36</v>
      </c>
      <c r="I26" s="682">
        <f t="shared" ref="I26:I30" si="1">ROUND(((D26*H26)/F26),2)</f>
        <v>3600</v>
      </c>
    </row>
    <row r="27" spans="1:9">
      <c r="A27" s="674" t="s">
        <v>1270</v>
      </c>
      <c r="B27" s="263"/>
      <c r="C27" s="696" t="s">
        <v>1266</v>
      </c>
      <c r="D27" s="684">
        <v>200</v>
      </c>
      <c r="E27" s="685" t="s">
        <v>316</v>
      </c>
      <c r="F27" s="686">
        <v>100</v>
      </c>
      <c r="G27" s="685" t="s">
        <v>114</v>
      </c>
      <c r="H27" s="670">
        <f>'MINI SSR 2024-25'!C103</f>
        <v>39</v>
      </c>
      <c r="I27" s="682">
        <f t="shared" si="1"/>
        <v>78</v>
      </c>
    </row>
    <row r="28" spans="1:9">
      <c r="A28" s="674" t="s">
        <v>1262</v>
      </c>
      <c r="B28" s="263"/>
      <c r="C28" s="255" t="s">
        <v>1258</v>
      </c>
      <c r="D28" s="684">
        <v>12</v>
      </c>
      <c r="E28" s="685" t="s">
        <v>316</v>
      </c>
      <c r="F28" s="686">
        <v>1</v>
      </c>
      <c r="G28" s="685" t="s">
        <v>114</v>
      </c>
      <c r="H28" s="670">
        <f>'MINI SSR 2024-25'!C100</f>
        <v>28</v>
      </c>
      <c r="I28" s="682">
        <f t="shared" si="1"/>
        <v>336</v>
      </c>
    </row>
    <row r="29" spans="1:9">
      <c r="A29" s="674" t="s">
        <v>1263</v>
      </c>
      <c r="B29" s="263"/>
      <c r="C29" s="255" t="s">
        <v>1259</v>
      </c>
      <c r="D29" s="684">
        <v>12</v>
      </c>
      <c r="E29" s="685" t="s">
        <v>316</v>
      </c>
      <c r="F29" s="686">
        <v>1</v>
      </c>
      <c r="G29" s="685" t="s">
        <v>114</v>
      </c>
      <c r="H29" s="670">
        <f>'MINI SSR 2024-25'!C101</f>
        <v>12</v>
      </c>
      <c r="I29" s="682">
        <f t="shared" si="1"/>
        <v>144</v>
      </c>
    </row>
    <row r="30" spans="1:9">
      <c r="A30" s="674"/>
      <c r="B30" s="263"/>
      <c r="C30" s="695" t="s">
        <v>800</v>
      </c>
      <c r="D30" s="684">
        <v>50</v>
      </c>
      <c r="E30" s="685" t="s">
        <v>4</v>
      </c>
      <c r="F30" s="686">
        <v>1</v>
      </c>
      <c r="G30" s="685" t="s">
        <v>4</v>
      </c>
      <c r="H30" s="697">
        <f>'lead 24-25'!L8/1000</f>
        <v>4.2187999999999999</v>
      </c>
      <c r="I30" s="682">
        <f t="shared" si="1"/>
        <v>210.94</v>
      </c>
    </row>
    <row r="31" spans="1:9">
      <c r="A31" s="674"/>
      <c r="B31" s="263"/>
      <c r="C31" s="695"/>
      <c r="D31" s="684"/>
      <c r="E31" s="685"/>
      <c r="F31" s="686"/>
      <c r="G31" s="685"/>
      <c r="H31" s="697"/>
      <c r="I31" s="682">
        <f>SUBTOTAL(9,I21:I30)</f>
        <v>9838.94</v>
      </c>
    </row>
    <row r="32" spans="1:9">
      <c r="A32" s="674"/>
      <c r="B32" s="263"/>
      <c r="C32" s="695" t="s">
        <v>2194</v>
      </c>
      <c r="D32" s="684"/>
      <c r="E32" s="685"/>
      <c r="F32" s="686"/>
      <c r="G32" s="685"/>
      <c r="H32" s="697"/>
      <c r="I32" s="729">
        <f>ROUND(I31*'DATA 2024-25'!$C$3,2)</f>
        <v>1339.57</v>
      </c>
    </row>
    <row r="33" spans="1:9">
      <c r="A33" s="691"/>
      <c r="B33" s="692"/>
      <c r="C33" s="673" t="s">
        <v>377</v>
      </c>
      <c r="D33" s="684"/>
      <c r="E33" s="685"/>
      <c r="F33" s="686"/>
      <c r="G33" s="685"/>
      <c r="H33" s="670"/>
      <c r="I33" s="690">
        <f>ROUND(I31+I32,2)</f>
        <v>11178.51</v>
      </c>
    </row>
    <row r="34" spans="1:9">
      <c r="A34" s="691"/>
      <c r="B34" s="692"/>
      <c r="C34" s="673" t="s">
        <v>378</v>
      </c>
      <c r="D34" s="693"/>
      <c r="E34" s="685"/>
      <c r="F34" s="686"/>
      <c r="G34" s="685"/>
      <c r="H34" s="694"/>
      <c r="I34" s="690">
        <f>ROUND(I33/100,2)</f>
        <v>111.79</v>
      </c>
    </row>
    <row r="35" spans="1:9" hidden="1">
      <c r="A35" s="691"/>
      <c r="B35" s="692"/>
      <c r="C35" s="677"/>
      <c r="D35" s="698"/>
      <c r="E35" s="699"/>
      <c r="F35" s="698"/>
      <c r="G35" s="699"/>
      <c r="H35" s="700"/>
      <c r="I35" s="700"/>
    </row>
    <row r="36" spans="1:9" hidden="1">
      <c r="A36" s="701"/>
      <c r="B36" s="702">
        <v>3</v>
      </c>
      <c r="C36" s="703" t="s">
        <v>380</v>
      </c>
      <c r="D36" s="704"/>
      <c r="E36" s="705"/>
      <c r="F36" s="704"/>
      <c r="G36" s="705"/>
      <c r="H36" s="706"/>
      <c r="I36" s="706"/>
    </row>
    <row r="37" spans="1:9" hidden="1">
      <c r="A37" s="707"/>
      <c r="B37" s="708"/>
      <c r="C37" s="709" t="s">
        <v>381</v>
      </c>
      <c r="D37" s="710">
        <v>1</v>
      </c>
      <c r="E37" s="711" t="s">
        <v>271</v>
      </c>
      <c r="F37" s="712">
        <v>1</v>
      </c>
      <c r="G37" s="711" t="s">
        <v>271</v>
      </c>
      <c r="H37" s="713">
        <f>'MINI SSR 2024-25'!C104</f>
        <v>74</v>
      </c>
      <c r="I37" s="714">
        <f>ROUND(((D37*H37)/F37),2)</f>
        <v>74</v>
      </c>
    </row>
    <row r="38" spans="1:9" hidden="1">
      <c r="A38" s="715"/>
      <c r="B38" s="716"/>
      <c r="C38" s="717"/>
      <c r="D38" s="718"/>
      <c r="E38" s="719"/>
      <c r="F38" s="720"/>
      <c r="G38" s="719"/>
      <c r="H38" s="721"/>
      <c r="I38" s="722">
        <f>SUM(I37)</f>
        <v>74</v>
      </c>
    </row>
    <row r="39" spans="1:9" ht="22.5" hidden="1">
      <c r="A39" s="691"/>
      <c r="B39" s="692">
        <v>2</v>
      </c>
      <c r="C39" s="255" t="s">
        <v>415</v>
      </c>
      <c r="D39" s="671"/>
      <c r="E39" s="672"/>
      <c r="F39" s="671"/>
      <c r="G39" s="672"/>
      <c r="H39" s="673"/>
      <c r="I39" s="673"/>
    </row>
    <row r="40" spans="1:9" hidden="1">
      <c r="A40" s="691"/>
      <c r="B40" s="692"/>
      <c r="C40" s="683" t="s">
        <v>423</v>
      </c>
      <c r="D40" s="684">
        <v>1</v>
      </c>
      <c r="E40" s="685" t="s">
        <v>316</v>
      </c>
      <c r="F40" s="686">
        <v>1</v>
      </c>
      <c r="G40" s="685" t="s">
        <v>316</v>
      </c>
      <c r="H40" s="670">
        <f>'MINI SSR 2024-25'!C106</f>
        <v>245</v>
      </c>
      <c r="I40" s="682">
        <f>ROUND(((D40*H40)/F40),2)</f>
        <v>245</v>
      </c>
    </row>
    <row r="41" spans="1:9" hidden="1">
      <c r="A41" s="691"/>
      <c r="B41" s="692"/>
      <c r="C41" s="687"/>
      <c r="D41" s="684"/>
      <c r="E41" s="685"/>
      <c r="F41" s="686"/>
      <c r="G41" s="685"/>
      <c r="H41" s="670"/>
      <c r="I41" s="682">
        <f>SUM(I40)</f>
        <v>245</v>
      </c>
    </row>
    <row r="42" spans="1:9" ht="22.5">
      <c r="A42" s="723"/>
      <c r="B42" s="724">
        <v>3</v>
      </c>
      <c r="C42" s="725" t="s">
        <v>595</v>
      </c>
      <c r="D42" s="726"/>
      <c r="E42" s="727"/>
      <c r="F42" s="726"/>
      <c r="G42" s="727"/>
      <c r="H42" s="728"/>
      <c r="I42" s="728"/>
    </row>
    <row r="43" spans="1:9">
      <c r="A43" s="691"/>
      <c r="B43" s="692"/>
      <c r="C43" s="683" t="s">
        <v>596</v>
      </c>
      <c r="D43" s="684">
        <v>1</v>
      </c>
      <c r="E43" s="685" t="s">
        <v>316</v>
      </c>
      <c r="F43" s="686">
        <v>1</v>
      </c>
      <c r="G43" s="685" t="s">
        <v>316</v>
      </c>
      <c r="H43" s="670">
        <f>'MINI SSR 2024-25'!C107</f>
        <v>203</v>
      </c>
      <c r="I43" s="682">
        <f>ROUND(((D43*H43)/F43),2)</f>
        <v>203</v>
      </c>
    </row>
    <row r="44" spans="1:9">
      <c r="A44" s="691"/>
      <c r="B44" s="692"/>
      <c r="C44" s="695" t="s">
        <v>2194</v>
      </c>
      <c r="D44" s="684"/>
      <c r="E44" s="685"/>
      <c r="F44" s="686"/>
      <c r="G44" s="685"/>
      <c r="H44" s="697"/>
      <c r="I44" s="729">
        <f>ROUND(SUM(I43)*'DATA 2024-25'!$C$3,2)</f>
        <v>27.64</v>
      </c>
    </row>
    <row r="45" spans="1:9">
      <c r="A45" s="691"/>
      <c r="B45" s="692"/>
      <c r="C45" s="687"/>
      <c r="D45" s="684"/>
      <c r="E45" s="685"/>
      <c r="F45" s="686"/>
      <c r="G45" s="685"/>
      <c r="H45" s="670"/>
      <c r="I45" s="682">
        <f>SUM(I43:I44)</f>
        <v>230.64</v>
      </c>
    </row>
    <row r="46" spans="1:9" ht="22.5" hidden="1">
      <c r="A46" s="691"/>
      <c r="B46" s="692">
        <v>3</v>
      </c>
      <c r="C46" s="255" t="s">
        <v>675</v>
      </c>
      <c r="D46" s="671"/>
      <c r="E46" s="672"/>
      <c r="F46" s="671"/>
      <c r="G46" s="672"/>
      <c r="H46" s="673"/>
      <c r="I46" s="673"/>
    </row>
    <row r="47" spans="1:9" hidden="1">
      <c r="A47" s="691"/>
      <c r="B47" s="692"/>
      <c r="C47" s="683" t="s">
        <v>676</v>
      </c>
      <c r="D47" s="684">
        <v>1</v>
      </c>
      <c r="E47" s="685" t="s">
        <v>316</v>
      </c>
      <c r="F47" s="686">
        <v>1</v>
      </c>
      <c r="G47" s="685" t="s">
        <v>316</v>
      </c>
      <c r="H47" s="670">
        <f>'MINI SSR 2024-25'!C108</f>
        <v>155</v>
      </c>
      <c r="I47" s="682">
        <f>ROUND(((D47*H47)/F47),2)</f>
        <v>155</v>
      </c>
    </row>
    <row r="48" spans="1:9" hidden="1">
      <c r="A48" s="691"/>
      <c r="B48" s="692"/>
      <c r="C48" s="687"/>
      <c r="D48" s="684"/>
      <c r="E48" s="685"/>
      <c r="F48" s="686"/>
      <c r="G48" s="685"/>
      <c r="H48" s="670"/>
      <c r="I48" s="682">
        <f>SUM(I47)</f>
        <v>155</v>
      </c>
    </row>
    <row r="49" spans="1:9" ht="22.5" hidden="1">
      <c r="A49" s="691"/>
      <c r="B49" s="692">
        <v>4</v>
      </c>
      <c r="C49" s="255" t="s">
        <v>732</v>
      </c>
      <c r="D49" s="671"/>
      <c r="E49" s="672"/>
      <c r="F49" s="671"/>
      <c r="G49" s="672"/>
      <c r="H49" s="673"/>
      <c r="I49" s="673"/>
    </row>
    <row r="50" spans="1:9" hidden="1">
      <c r="A50" s="691"/>
      <c r="B50" s="692"/>
      <c r="C50" s="683" t="s">
        <v>733</v>
      </c>
      <c r="D50" s="684">
        <v>1</v>
      </c>
      <c r="E50" s="685" t="s">
        <v>316</v>
      </c>
      <c r="F50" s="686">
        <v>1</v>
      </c>
      <c r="G50" s="685" t="s">
        <v>316</v>
      </c>
      <c r="H50" s="670">
        <f>'MINI SSR 2024-25'!C109</f>
        <v>114</v>
      </c>
      <c r="I50" s="682">
        <f>ROUND(((D50*H50)/F50),2)</f>
        <v>114</v>
      </c>
    </row>
    <row r="51" spans="1:9" hidden="1">
      <c r="A51" s="691"/>
      <c r="B51" s="692"/>
      <c r="C51" s="687"/>
      <c r="D51" s="684"/>
      <c r="E51" s="685"/>
      <c r="F51" s="686"/>
      <c r="G51" s="685"/>
      <c r="H51" s="670"/>
      <c r="I51" s="682">
        <f>SUM(I50)</f>
        <v>114</v>
      </c>
    </row>
    <row r="52" spans="1:9" ht="22.5" hidden="1">
      <c r="A52" s="701"/>
      <c r="B52" s="702">
        <v>8</v>
      </c>
      <c r="C52" s="703" t="s">
        <v>597</v>
      </c>
      <c r="D52" s="704"/>
      <c r="E52" s="705"/>
      <c r="F52" s="704"/>
      <c r="G52" s="705"/>
      <c r="H52" s="706"/>
      <c r="I52" s="706"/>
    </row>
    <row r="53" spans="1:9" hidden="1">
      <c r="A53" s="707"/>
      <c r="B53" s="708"/>
      <c r="C53" s="709" t="s">
        <v>599</v>
      </c>
      <c r="D53" s="710">
        <v>1</v>
      </c>
      <c r="E53" s="711" t="s">
        <v>316</v>
      </c>
      <c r="F53" s="712">
        <v>1</v>
      </c>
      <c r="G53" s="711" t="s">
        <v>316</v>
      </c>
      <c r="H53" s="713">
        <f>H40</f>
        <v>245</v>
      </c>
      <c r="I53" s="714">
        <f t="shared" ref="I53:I54" si="2">ROUND(((D53*H53)/F53),2)</f>
        <v>245</v>
      </c>
    </row>
    <row r="54" spans="1:9" hidden="1">
      <c r="A54" s="707"/>
      <c r="B54" s="708"/>
      <c r="C54" s="709" t="s">
        <v>598</v>
      </c>
      <c r="D54" s="710">
        <v>1</v>
      </c>
      <c r="E54" s="711" t="s">
        <v>316</v>
      </c>
      <c r="F54" s="712">
        <v>1</v>
      </c>
      <c r="G54" s="711" t="s">
        <v>316</v>
      </c>
      <c r="H54" s="713">
        <f>H47</f>
        <v>155</v>
      </c>
      <c r="I54" s="714">
        <f t="shared" si="2"/>
        <v>155</v>
      </c>
    </row>
    <row r="55" spans="1:9" hidden="1">
      <c r="A55" s="707"/>
      <c r="B55" s="708"/>
      <c r="C55" s="730"/>
      <c r="D55" s="710"/>
      <c r="E55" s="711"/>
      <c r="F55" s="712"/>
      <c r="G55" s="711"/>
      <c r="H55" s="713"/>
      <c r="I55" s="714">
        <f>SUM(I53:I54)</f>
        <v>400</v>
      </c>
    </row>
    <row r="56" spans="1:9" ht="22.5" hidden="1">
      <c r="A56" s="707"/>
      <c r="B56" s="708">
        <v>9</v>
      </c>
      <c r="C56" s="731" t="s">
        <v>1271</v>
      </c>
      <c r="D56" s="732"/>
      <c r="E56" s="733"/>
      <c r="F56" s="732"/>
      <c r="G56" s="733"/>
      <c r="H56" s="734"/>
      <c r="I56" s="734"/>
    </row>
    <row r="57" spans="1:9" hidden="1">
      <c r="A57" s="707"/>
      <c r="B57" s="708"/>
      <c r="C57" s="709" t="s">
        <v>599</v>
      </c>
      <c r="D57" s="710">
        <v>1</v>
      </c>
      <c r="E57" s="711" t="s">
        <v>316</v>
      </c>
      <c r="F57" s="712">
        <v>1</v>
      </c>
      <c r="G57" s="711" t="s">
        <v>316</v>
      </c>
      <c r="H57" s="713">
        <f>H53</f>
        <v>245</v>
      </c>
      <c r="I57" s="714">
        <f t="shared" ref="I57:I58" si="3">ROUND(((D57*H57)/F57),2)</f>
        <v>245</v>
      </c>
    </row>
    <row r="58" spans="1:9" hidden="1">
      <c r="A58" s="707"/>
      <c r="B58" s="708"/>
      <c r="C58" s="709" t="s">
        <v>1272</v>
      </c>
      <c r="D58" s="710">
        <v>1</v>
      </c>
      <c r="E58" s="711" t="s">
        <v>316</v>
      </c>
      <c r="F58" s="712">
        <v>1</v>
      </c>
      <c r="G58" s="711" t="s">
        <v>316</v>
      </c>
      <c r="H58" s="713">
        <f>H50</f>
        <v>114</v>
      </c>
      <c r="I58" s="714">
        <f t="shared" si="3"/>
        <v>114</v>
      </c>
    </row>
    <row r="59" spans="1:9" hidden="1">
      <c r="A59" s="715"/>
      <c r="B59" s="716"/>
      <c r="C59" s="717"/>
      <c r="D59" s="718"/>
      <c r="E59" s="719"/>
      <c r="F59" s="720"/>
      <c r="G59" s="719"/>
      <c r="H59" s="721"/>
      <c r="I59" s="722">
        <f>SUM(I57:I58)</f>
        <v>359</v>
      </c>
    </row>
    <row r="60" spans="1:9" ht="22.5" hidden="1">
      <c r="A60" s="691"/>
      <c r="B60" s="692">
        <v>10</v>
      </c>
      <c r="C60" s="255" t="s">
        <v>416</v>
      </c>
      <c r="D60" s="671"/>
      <c r="E60" s="672"/>
      <c r="F60" s="671"/>
      <c r="G60" s="672"/>
      <c r="H60" s="673"/>
      <c r="I60" s="673"/>
    </row>
    <row r="61" spans="1:9" hidden="1">
      <c r="A61" s="691"/>
      <c r="B61" s="692"/>
      <c r="C61" s="683" t="s">
        <v>424</v>
      </c>
      <c r="D61" s="684">
        <v>1</v>
      </c>
      <c r="E61" s="685" t="s">
        <v>316</v>
      </c>
      <c r="F61" s="686">
        <v>1</v>
      </c>
      <c r="G61" s="685" t="s">
        <v>316</v>
      </c>
      <c r="H61" s="670">
        <f>'MINI SSR 2024-25'!C112</f>
        <v>68</v>
      </c>
      <c r="I61" s="682">
        <f>ROUND(((D61*H61)/F61),2)</f>
        <v>68</v>
      </c>
    </row>
    <row r="62" spans="1:9" hidden="1">
      <c r="A62" s="691"/>
      <c r="B62" s="692"/>
      <c r="C62" s="687"/>
      <c r="D62" s="684"/>
      <c r="E62" s="685"/>
      <c r="F62" s="686"/>
      <c r="G62" s="685"/>
      <c r="H62" s="670"/>
      <c r="I62" s="682">
        <f>SUM(I61)</f>
        <v>68</v>
      </c>
    </row>
    <row r="63" spans="1:9" hidden="1">
      <c r="A63" s="691"/>
      <c r="B63" s="692">
        <v>3</v>
      </c>
      <c r="C63" s="255" t="s">
        <v>427</v>
      </c>
      <c r="D63" s="671"/>
      <c r="E63" s="672"/>
      <c r="F63" s="671"/>
      <c r="G63" s="672"/>
      <c r="H63" s="673"/>
      <c r="I63" s="673"/>
    </row>
    <row r="64" spans="1:9" hidden="1">
      <c r="A64" s="691"/>
      <c r="B64" s="692"/>
      <c r="C64" s="683" t="s">
        <v>428</v>
      </c>
      <c r="D64" s="684">
        <v>1</v>
      </c>
      <c r="E64" s="685" t="s">
        <v>316</v>
      </c>
      <c r="F64" s="686">
        <v>1</v>
      </c>
      <c r="G64" s="685" t="s">
        <v>316</v>
      </c>
      <c r="H64" s="670">
        <f>'MINI SSR 2024-25'!E106</f>
        <v>240</v>
      </c>
      <c r="I64" s="682">
        <f>ROUND(((D64*H64)/F64),2)</f>
        <v>240</v>
      </c>
    </row>
    <row r="65" spans="1:9" hidden="1">
      <c r="A65" s="691"/>
      <c r="B65" s="692"/>
      <c r="C65" s="687"/>
      <c r="D65" s="684"/>
      <c r="E65" s="685"/>
      <c r="F65" s="686"/>
      <c r="G65" s="685"/>
      <c r="H65" s="670"/>
      <c r="I65" s="682">
        <f>SUM(I64)</f>
        <v>240</v>
      </c>
    </row>
    <row r="66" spans="1:9">
      <c r="A66" s="723"/>
      <c r="B66" s="724">
        <v>4</v>
      </c>
      <c r="C66" s="725" t="s">
        <v>600</v>
      </c>
      <c r="D66" s="726"/>
      <c r="E66" s="727"/>
      <c r="F66" s="726"/>
      <c r="G66" s="727"/>
      <c r="H66" s="728"/>
      <c r="I66" s="728"/>
    </row>
    <row r="67" spans="1:9">
      <c r="A67" s="691"/>
      <c r="B67" s="692"/>
      <c r="C67" s="683" t="s">
        <v>601</v>
      </c>
      <c r="D67" s="684">
        <v>1</v>
      </c>
      <c r="E67" s="685" t="s">
        <v>316</v>
      </c>
      <c r="F67" s="686">
        <v>1</v>
      </c>
      <c r="G67" s="685" t="s">
        <v>316</v>
      </c>
      <c r="H67" s="670">
        <f>'MINI SSR 2024-25'!E107</f>
        <v>197</v>
      </c>
      <c r="I67" s="682">
        <f>ROUND(((D67*H67)/F67),2)</f>
        <v>197</v>
      </c>
    </row>
    <row r="68" spans="1:9">
      <c r="A68" s="691"/>
      <c r="B68" s="692"/>
      <c r="C68" s="695" t="s">
        <v>2194</v>
      </c>
      <c r="D68" s="684"/>
      <c r="E68" s="685"/>
      <c r="F68" s="686"/>
      <c r="G68" s="685"/>
      <c r="H68" s="697"/>
      <c r="I68" s="729">
        <f>ROUND(SUM(I67)*'DATA 2024-25'!$C$3,2)</f>
        <v>26.82</v>
      </c>
    </row>
    <row r="69" spans="1:9">
      <c r="A69" s="691"/>
      <c r="B69" s="692"/>
      <c r="C69" s="687"/>
      <c r="D69" s="684"/>
      <c r="E69" s="685"/>
      <c r="F69" s="686"/>
      <c r="G69" s="685"/>
      <c r="H69" s="670"/>
      <c r="I69" s="682">
        <f>SUM(I67:I68)</f>
        <v>223.82</v>
      </c>
    </row>
    <row r="70" spans="1:9" hidden="1">
      <c r="A70" s="691"/>
      <c r="B70" s="692">
        <v>7</v>
      </c>
      <c r="C70" s="255" t="s">
        <v>679</v>
      </c>
      <c r="D70" s="671"/>
      <c r="E70" s="672"/>
      <c r="F70" s="671"/>
      <c r="G70" s="672"/>
      <c r="H70" s="673"/>
      <c r="I70" s="673"/>
    </row>
    <row r="71" spans="1:9" hidden="1">
      <c r="A71" s="691"/>
      <c r="B71" s="692"/>
      <c r="C71" s="683" t="s">
        <v>604</v>
      </c>
      <c r="D71" s="684">
        <v>1</v>
      </c>
      <c r="E71" s="685" t="s">
        <v>316</v>
      </c>
      <c r="F71" s="686">
        <v>1</v>
      </c>
      <c r="G71" s="685" t="s">
        <v>316</v>
      </c>
      <c r="H71" s="670">
        <f>'MINI SSR 2024-25'!E108</f>
        <v>152</v>
      </c>
      <c r="I71" s="682">
        <f>ROUND(((D71*H71)/F71),2)</f>
        <v>152</v>
      </c>
    </row>
    <row r="72" spans="1:9" hidden="1">
      <c r="A72" s="691"/>
      <c r="B72" s="692"/>
      <c r="C72" s="687"/>
      <c r="D72" s="684"/>
      <c r="E72" s="685"/>
      <c r="F72" s="686"/>
      <c r="G72" s="685"/>
      <c r="H72" s="670"/>
      <c r="I72" s="682">
        <f>SUM(I71)</f>
        <v>152</v>
      </c>
    </row>
    <row r="73" spans="1:9" hidden="1">
      <c r="A73" s="691"/>
      <c r="B73" s="692">
        <v>8</v>
      </c>
      <c r="C73" s="255" t="s">
        <v>734</v>
      </c>
      <c r="D73" s="671"/>
      <c r="E73" s="672"/>
      <c r="F73" s="671"/>
      <c r="G73" s="672"/>
      <c r="H73" s="673"/>
      <c r="I73" s="673"/>
    </row>
    <row r="74" spans="1:9" hidden="1">
      <c r="A74" s="691"/>
      <c r="B74" s="692"/>
      <c r="C74" s="683" t="s">
        <v>735</v>
      </c>
      <c r="D74" s="684">
        <v>1</v>
      </c>
      <c r="E74" s="685" t="s">
        <v>316</v>
      </c>
      <c r="F74" s="686">
        <v>1</v>
      </c>
      <c r="G74" s="685" t="s">
        <v>316</v>
      </c>
      <c r="H74" s="670">
        <f>'MINI SSR 2024-25'!E109</f>
        <v>101</v>
      </c>
      <c r="I74" s="682">
        <f>ROUND(((D74*H74)/F74),2)</f>
        <v>101</v>
      </c>
    </row>
    <row r="75" spans="1:9" hidden="1">
      <c r="A75" s="691"/>
      <c r="B75" s="692"/>
      <c r="C75" s="687"/>
      <c r="D75" s="684"/>
      <c r="E75" s="685"/>
      <c r="F75" s="686"/>
      <c r="G75" s="685"/>
      <c r="H75" s="670"/>
      <c r="I75" s="682">
        <f>SUM(I74)</f>
        <v>101</v>
      </c>
    </row>
    <row r="76" spans="1:9" hidden="1">
      <c r="A76" s="701"/>
      <c r="B76" s="702">
        <v>15</v>
      </c>
      <c r="C76" s="703" t="s">
        <v>602</v>
      </c>
      <c r="D76" s="704"/>
      <c r="E76" s="705"/>
      <c r="F76" s="704"/>
      <c r="G76" s="705"/>
      <c r="H76" s="706"/>
      <c r="I76" s="706"/>
    </row>
    <row r="77" spans="1:9" hidden="1">
      <c r="A77" s="707"/>
      <c r="B77" s="708"/>
      <c r="C77" s="709" t="s">
        <v>603</v>
      </c>
      <c r="D77" s="710">
        <v>1</v>
      </c>
      <c r="E77" s="711" t="s">
        <v>316</v>
      </c>
      <c r="F77" s="712">
        <v>1</v>
      </c>
      <c r="G77" s="711" t="s">
        <v>316</v>
      </c>
      <c r="H77" s="713">
        <f>H64</f>
        <v>240</v>
      </c>
      <c r="I77" s="714">
        <f>ROUND(((D77*H77)/F77),2)</f>
        <v>240</v>
      </c>
    </row>
    <row r="78" spans="1:9" hidden="1">
      <c r="A78" s="707"/>
      <c r="B78" s="708"/>
      <c r="C78" s="709" t="s">
        <v>604</v>
      </c>
      <c r="D78" s="710">
        <v>1</v>
      </c>
      <c r="E78" s="711" t="s">
        <v>316</v>
      </c>
      <c r="F78" s="712">
        <v>1</v>
      </c>
      <c r="G78" s="711" t="s">
        <v>316</v>
      </c>
      <c r="H78" s="713">
        <f>H71</f>
        <v>152</v>
      </c>
      <c r="I78" s="714">
        <f>ROUND(((D78*H78)/F78),2)</f>
        <v>152</v>
      </c>
    </row>
    <row r="79" spans="1:9" hidden="1">
      <c r="A79" s="715"/>
      <c r="B79" s="716"/>
      <c r="C79" s="717"/>
      <c r="D79" s="718"/>
      <c r="E79" s="719"/>
      <c r="F79" s="720"/>
      <c r="G79" s="719"/>
      <c r="H79" s="721"/>
      <c r="I79" s="722">
        <f>SUM(I77:I78)</f>
        <v>392</v>
      </c>
    </row>
    <row r="80" spans="1:9" hidden="1">
      <c r="A80" s="691"/>
      <c r="B80" s="692">
        <v>16</v>
      </c>
      <c r="C80" s="255" t="s">
        <v>429</v>
      </c>
      <c r="D80" s="671"/>
      <c r="E80" s="672"/>
      <c r="F80" s="671"/>
      <c r="G80" s="672"/>
      <c r="H80" s="673"/>
      <c r="I80" s="673"/>
    </row>
    <row r="81" spans="1:9" hidden="1">
      <c r="A81" s="691"/>
      <c r="B81" s="692"/>
      <c r="C81" s="683" t="s">
        <v>430</v>
      </c>
      <c r="D81" s="684">
        <v>1</v>
      </c>
      <c r="E81" s="685" t="s">
        <v>316</v>
      </c>
      <c r="F81" s="686">
        <v>1</v>
      </c>
      <c r="G81" s="685" t="s">
        <v>316</v>
      </c>
      <c r="H81" s="670">
        <f>'MINI SSR 2024-25'!E112</f>
        <v>76</v>
      </c>
      <c r="I81" s="682">
        <f>ROUND(((D81*H81)/F81),2)</f>
        <v>76</v>
      </c>
    </row>
    <row r="82" spans="1:9" hidden="1">
      <c r="A82" s="691"/>
      <c r="B82" s="692"/>
      <c r="C82" s="687"/>
      <c r="D82" s="684"/>
      <c r="E82" s="685"/>
      <c r="F82" s="686"/>
      <c r="G82" s="685"/>
      <c r="H82" s="670"/>
      <c r="I82" s="682">
        <f>SUM(I81)</f>
        <v>76</v>
      </c>
    </row>
    <row r="83" spans="1:9" hidden="1">
      <c r="A83" s="691"/>
      <c r="B83" s="692"/>
      <c r="C83" s="691"/>
      <c r="D83" s="698"/>
      <c r="E83" s="699"/>
      <c r="F83" s="698"/>
      <c r="G83" s="699"/>
      <c r="H83" s="691"/>
      <c r="I83" s="691"/>
    </row>
    <row r="84" spans="1:9">
      <c r="A84" s="691"/>
      <c r="B84" s="692">
        <v>5</v>
      </c>
      <c r="C84" s="255" t="s">
        <v>609</v>
      </c>
      <c r="D84" s="671"/>
      <c r="E84" s="672"/>
      <c r="F84" s="671"/>
      <c r="G84" s="672"/>
      <c r="H84" s="673"/>
      <c r="I84" s="673"/>
    </row>
    <row r="85" spans="1:9">
      <c r="A85" s="691"/>
      <c r="B85" s="692"/>
      <c r="C85" s="683" t="s">
        <v>610</v>
      </c>
      <c r="D85" s="684">
        <v>1</v>
      </c>
      <c r="E85" s="685" t="s">
        <v>316</v>
      </c>
      <c r="F85" s="686">
        <v>1</v>
      </c>
      <c r="G85" s="685" t="s">
        <v>316</v>
      </c>
      <c r="H85" s="670">
        <f>'MINI SSR 2024-25'!C114</f>
        <v>21</v>
      </c>
      <c r="I85" s="682">
        <f>ROUND(((D85*H85)/F85),2)</f>
        <v>21</v>
      </c>
    </row>
    <row r="86" spans="1:9">
      <c r="A86" s="691"/>
      <c r="B86" s="692"/>
      <c r="C86" s="695" t="s">
        <v>2194</v>
      </c>
      <c r="D86" s="684"/>
      <c r="E86" s="685"/>
      <c r="F86" s="686"/>
      <c r="G86" s="685"/>
      <c r="H86" s="697"/>
      <c r="I86" s="729">
        <f>ROUND(SUM(I85)*'DATA 2024-25'!$C$3,2)</f>
        <v>2.86</v>
      </c>
    </row>
    <row r="87" spans="1:9">
      <c r="A87" s="691"/>
      <c r="B87" s="692"/>
      <c r="C87" s="687"/>
      <c r="D87" s="684"/>
      <c r="E87" s="685"/>
      <c r="F87" s="686"/>
      <c r="G87" s="685"/>
      <c r="H87" s="670"/>
      <c r="I87" s="682">
        <f>SUBTOTAL(9,I85:I86)</f>
        <v>23.86</v>
      </c>
    </row>
    <row r="88" spans="1:9" ht="22.5" hidden="1">
      <c r="A88" s="701"/>
      <c r="B88" s="702">
        <v>18</v>
      </c>
      <c r="C88" s="703" t="s">
        <v>736</v>
      </c>
      <c r="D88" s="704"/>
      <c r="E88" s="705"/>
      <c r="F88" s="704"/>
      <c r="G88" s="705"/>
      <c r="H88" s="706"/>
      <c r="I88" s="706"/>
    </row>
    <row r="89" spans="1:9" hidden="1">
      <c r="A89" s="707"/>
      <c r="B89" s="708"/>
      <c r="C89" s="709" t="s">
        <v>737</v>
      </c>
      <c r="D89" s="710">
        <v>1</v>
      </c>
      <c r="E89" s="711" t="s">
        <v>316</v>
      </c>
      <c r="F89" s="712">
        <v>1</v>
      </c>
      <c r="G89" s="711" t="s">
        <v>316</v>
      </c>
      <c r="H89" s="713">
        <f>'MINI SSR 2024-25'!C115</f>
        <v>1552</v>
      </c>
      <c r="I89" s="714">
        <f>ROUND(((D89*H89)/F89),2)</f>
        <v>1552</v>
      </c>
    </row>
    <row r="90" spans="1:9" hidden="1">
      <c r="A90" s="715"/>
      <c r="B90" s="716"/>
      <c r="C90" s="717"/>
      <c r="D90" s="718"/>
      <c r="E90" s="719"/>
      <c r="F90" s="720"/>
      <c r="G90" s="719"/>
      <c r="H90" s="721"/>
      <c r="I90" s="722">
        <f>SUM(I89)</f>
        <v>1552</v>
      </c>
    </row>
    <row r="91" spans="1:9" ht="67.5">
      <c r="A91" s="735" t="s">
        <v>710</v>
      </c>
      <c r="B91" s="674">
        <v>6</v>
      </c>
      <c r="C91" s="255" t="s">
        <v>426</v>
      </c>
      <c r="D91" s="675"/>
      <c r="E91" s="676"/>
      <c r="F91" s="675"/>
      <c r="G91" s="676"/>
      <c r="H91" s="255"/>
      <c r="I91" s="255"/>
    </row>
    <row r="92" spans="1:9" ht="22.5">
      <c r="A92" s="670"/>
      <c r="B92" s="263"/>
      <c r="C92" s="255" t="s">
        <v>382</v>
      </c>
      <c r="D92" s="684"/>
      <c r="E92" s="688"/>
      <c r="F92" s="686"/>
      <c r="G92" s="688"/>
      <c r="H92" s="670"/>
      <c r="I92" s="736"/>
    </row>
    <row r="93" spans="1:9" ht="33.75">
      <c r="A93" s="670"/>
      <c r="B93" s="263"/>
      <c r="C93" s="255" t="s">
        <v>383</v>
      </c>
      <c r="D93" s="675"/>
      <c r="E93" s="676"/>
      <c r="F93" s="675"/>
      <c r="G93" s="676"/>
      <c r="H93" s="255"/>
      <c r="I93" s="255"/>
    </row>
    <row r="94" spans="1:9">
      <c r="A94" s="670"/>
      <c r="B94" s="263"/>
      <c r="C94" s="255" t="s">
        <v>375</v>
      </c>
      <c r="D94" s="684"/>
      <c r="E94" s="688"/>
      <c r="F94" s="686"/>
      <c r="G94" s="688"/>
      <c r="H94" s="670"/>
      <c r="I94" s="736"/>
    </row>
    <row r="95" spans="1:9">
      <c r="A95" s="670"/>
      <c r="B95" s="263"/>
      <c r="C95" s="255" t="s">
        <v>686</v>
      </c>
      <c r="D95" s="684">
        <v>0.6</v>
      </c>
      <c r="E95" s="685" t="s">
        <v>27</v>
      </c>
      <c r="F95" s="686">
        <v>1</v>
      </c>
      <c r="G95" s="685" t="s">
        <v>27</v>
      </c>
      <c r="H95" s="670">
        <f>'MINI SSR 2024-25'!$H$16</f>
        <v>790</v>
      </c>
      <c r="I95" s="682">
        <f t="shared" ref="I95:I97" si="4">ROUND(((D95*H95)/F95),2)</f>
        <v>474</v>
      </c>
    </row>
    <row r="96" spans="1:9">
      <c r="A96" s="670"/>
      <c r="B96" s="263"/>
      <c r="C96" s="255" t="s">
        <v>1748</v>
      </c>
      <c r="D96" s="684">
        <v>1.2</v>
      </c>
      <c r="E96" s="685" t="s">
        <v>27</v>
      </c>
      <c r="F96" s="686">
        <v>1</v>
      </c>
      <c r="G96" s="685" t="s">
        <v>27</v>
      </c>
      <c r="H96" s="670">
        <f>'MINI SSR 2024-25'!$H$17</f>
        <v>640</v>
      </c>
      <c r="I96" s="682">
        <f t="shared" si="4"/>
        <v>768</v>
      </c>
    </row>
    <row r="97" spans="1:9">
      <c r="A97" s="670"/>
      <c r="B97" s="263"/>
      <c r="C97" s="255" t="s">
        <v>1261</v>
      </c>
      <c r="D97" s="684">
        <v>0.6</v>
      </c>
      <c r="E97" s="685" t="s">
        <v>27</v>
      </c>
      <c r="F97" s="686">
        <v>1</v>
      </c>
      <c r="G97" s="685" t="s">
        <v>27</v>
      </c>
      <c r="H97" s="670">
        <f>'MINI SSR 2024-25'!$H$5</f>
        <v>595</v>
      </c>
      <c r="I97" s="682">
        <f t="shared" si="4"/>
        <v>357</v>
      </c>
    </row>
    <row r="98" spans="1:9">
      <c r="A98" s="670"/>
      <c r="B98" s="263"/>
      <c r="C98" s="255" t="s">
        <v>318</v>
      </c>
      <c r="D98" s="684"/>
      <c r="E98" s="685"/>
      <c r="F98" s="686"/>
      <c r="G98" s="685"/>
      <c r="H98" s="670"/>
      <c r="I98" s="736"/>
    </row>
    <row r="99" spans="1:9">
      <c r="A99" s="670"/>
      <c r="B99" s="263"/>
      <c r="C99" s="257" t="s">
        <v>606</v>
      </c>
      <c r="D99" s="737">
        <v>6</v>
      </c>
      <c r="E99" s="688" t="s">
        <v>316</v>
      </c>
      <c r="F99" s="686">
        <v>1</v>
      </c>
      <c r="G99" s="688" t="s">
        <v>114</v>
      </c>
      <c r="H99" s="670">
        <f>'MINI SSR 2024-25'!C116</f>
        <v>18</v>
      </c>
      <c r="I99" s="682">
        <f t="shared" ref="I99:I100" si="5">ROUND(((D99*H99)/F99),2)</f>
        <v>108</v>
      </c>
    </row>
    <row r="100" spans="1:9">
      <c r="A100" s="670"/>
      <c r="B100" s="263"/>
      <c r="C100" s="257" t="s">
        <v>1746</v>
      </c>
      <c r="D100" s="684">
        <v>100</v>
      </c>
      <c r="E100" s="685" t="s">
        <v>384</v>
      </c>
      <c r="F100" s="686">
        <v>100</v>
      </c>
      <c r="G100" s="685" t="s">
        <v>384</v>
      </c>
      <c r="H100" s="670">
        <f>'MINI SSR 2024-25'!C119</f>
        <v>1238</v>
      </c>
      <c r="I100" s="682">
        <f t="shared" si="5"/>
        <v>1238</v>
      </c>
    </row>
    <row r="101" spans="1:9">
      <c r="A101" s="670"/>
      <c r="B101" s="263"/>
      <c r="C101" s="695" t="s">
        <v>2194</v>
      </c>
      <c r="D101" s="684"/>
      <c r="E101" s="685"/>
      <c r="F101" s="686"/>
      <c r="G101" s="685"/>
      <c r="H101" s="697"/>
      <c r="I101" s="729">
        <f>ROUND(SUM(I95:I100)*'DATA 2024-25'!$C$3,2)</f>
        <v>400.96</v>
      </c>
    </row>
    <row r="102" spans="1:9">
      <c r="A102" s="670"/>
      <c r="B102" s="263"/>
      <c r="C102" s="255" t="s">
        <v>385</v>
      </c>
      <c r="D102" s="684"/>
      <c r="E102" s="688"/>
      <c r="F102" s="686"/>
      <c r="G102" s="688"/>
      <c r="H102" s="670"/>
      <c r="I102" s="736">
        <f>SUM(I95:I101)</f>
        <v>3345.96</v>
      </c>
    </row>
    <row r="103" spans="1:9">
      <c r="A103" s="670"/>
      <c r="B103" s="263"/>
      <c r="C103" s="255" t="s">
        <v>386</v>
      </c>
      <c r="D103" s="684"/>
      <c r="E103" s="688"/>
      <c r="F103" s="686"/>
      <c r="G103" s="688"/>
      <c r="H103" s="670"/>
      <c r="I103" s="736">
        <f>ROUND(I102/6,2)</f>
        <v>557.66</v>
      </c>
    </row>
    <row r="104" spans="1:9" ht="67.5">
      <c r="A104" s="735" t="s">
        <v>710</v>
      </c>
      <c r="B104" s="674">
        <v>7</v>
      </c>
      <c r="C104" s="255" t="s">
        <v>425</v>
      </c>
      <c r="D104" s="675"/>
      <c r="E104" s="676"/>
      <c r="F104" s="675"/>
      <c r="G104" s="676"/>
      <c r="H104" s="255"/>
      <c r="I104" s="255"/>
    </row>
    <row r="105" spans="1:9" ht="22.5">
      <c r="A105" s="670"/>
      <c r="B105" s="263"/>
      <c r="C105" s="255" t="s">
        <v>382</v>
      </c>
      <c r="D105" s="684"/>
      <c r="E105" s="688"/>
      <c r="F105" s="686"/>
      <c r="G105" s="688"/>
      <c r="H105" s="670"/>
      <c r="I105" s="736"/>
    </row>
    <row r="106" spans="1:9" ht="33.75">
      <c r="A106" s="670"/>
      <c r="B106" s="263"/>
      <c r="C106" s="255" t="s">
        <v>383</v>
      </c>
      <c r="D106" s="675"/>
      <c r="E106" s="676"/>
      <c r="F106" s="675"/>
      <c r="G106" s="676"/>
      <c r="H106" s="255"/>
      <c r="I106" s="255"/>
    </row>
    <row r="107" spans="1:9">
      <c r="A107" s="670"/>
      <c r="B107" s="263"/>
      <c r="C107" s="255" t="s">
        <v>375</v>
      </c>
      <c r="D107" s="684"/>
      <c r="E107" s="688"/>
      <c r="F107" s="686"/>
      <c r="G107" s="688"/>
      <c r="H107" s="670"/>
      <c r="I107" s="736"/>
    </row>
    <row r="108" spans="1:9">
      <c r="A108" s="670"/>
      <c r="B108" s="263"/>
      <c r="C108" s="255" t="s">
        <v>686</v>
      </c>
      <c r="D108" s="684">
        <v>0.6</v>
      </c>
      <c r="E108" s="685" t="s">
        <v>27</v>
      </c>
      <c r="F108" s="686">
        <v>1</v>
      </c>
      <c r="G108" s="685" t="s">
        <v>27</v>
      </c>
      <c r="H108" s="670">
        <f>'MINI SSR 2024-25'!$H$16</f>
        <v>790</v>
      </c>
      <c r="I108" s="682">
        <f t="shared" ref="I108:I110" si="6">ROUND(((D108*H108)/F108),2)</f>
        <v>474</v>
      </c>
    </row>
    <row r="109" spans="1:9">
      <c r="A109" s="670"/>
      <c r="B109" s="263"/>
      <c r="C109" s="255" t="s">
        <v>1748</v>
      </c>
      <c r="D109" s="684">
        <v>1.2</v>
      </c>
      <c r="E109" s="685" t="s">
        <v>27</v>
      </c>
      <c r="F109" s="686">
        <v>1</v>
      </c>
      <c r="G109" s="685" t="s">
        <v>27</v>
      </c>
      <c r="H109" s="670">
        <f>'MINI SSR 2024-25'!$H$17</f>
        <v>640</v>
      </c>
      <c r="I109" s="682">
        <f t="shared" si="6"/>
        <v>768</v>
      </c>
    </row>
    <row r="110" spans="1:9">
      <c r="A110" s="670"/>
      <c r="B110" s="263"/>
      <c r="C110" s="255" t="s">
        <v>687</v>
      </c>
      <c r="D110" s="684">
        <v>0.6</v>
      </c>
      <c r="E110" s="685" t="s">
        <v>27</v>
      </c>
      <c r="F110" s="686">
        <v>1</v>
      </c>
      <c r="G110" s="685" t="s">
        <v>27</v>
      </c>
      <c r="H110" s="670">
        <f>'MINI SSR 2024-25'!$H$5</f>
        <v>595</v>
      </c>
      <c r="I110" s="682">
        <f t="shared" si="6"/>
        <v>357</v>
      </c>
    </row>
    <row r="111" spans="1:9">
      <c r="A111" s="670"/>
      <c r="B111" s="263"/>
      <c r="C111" s="255" t="s">
        <v>318</v>
      </c>
      <c r="D111" s="684"/>
      <c r="E111" s="685"/>
      <c r="F111" s="686"/>
      <c r="G111" s="685"/>
      <c r="H111" s="670"/>
      <c r="I111" s="736"/>
    </row>
    <row r="112" spans="1:9">
      <c r="A112" s="670"/>
      <c r="B112" s="263"/>
      <c r="C112" s="257" t="s">
        <v>606</v>
      </c>
      <c r="D112" s="737">
        <v>6</v>
      </c>
      <c r="E112" s="688" t="s">
        <v>316</v>
      </c>
      <c r="F112" s="686">
        <v>1</v>
      </c>
      <c r="G112" s="688" t="s">
        <v>114</v>
      </c>
      <c r="H112" s="670">
        <f>'MINI SSR 2024-25'!C116</f>
        <v>18</v>
      </c>
      <c r="I112" s="682">
        <f t="shared" ref="I112:I114" si="7">ROUND(((D112*H112)/F112),2)</f>
        <v>108</v>
      </c>
    </row>
    <row r="113" spans="1:9">
      <c r="A113" s="670"/>
      <c r="B113" s="263"/>
      <c r="C113" s="738" t="s">
        <v>1747</v>
      </c>
      <c r="D113" s="737">
        <v>6</v>
      </c>
      <c r="E113" s="688" t="s">
        <v>316</v>
      </c>
      <c r="F113" s="686">
        <v>1</v>
      </c>
      <c r="G113" s="688" t="s">
        <v>114</v>
      </c>
      <c r="H113" s="670">
        <f>'MINI SSR 2024-25'!C120</f>
        <v>22</v>
      </c>
      <c r="I113" s="682">
        <f t="shared" si="7"/>
        <v>132</v>
      </c>
    </row>
    <row r="114" spans="1:9">
      <c r="A114" s="670"/>
      <c r="B114" s="263"/>
      <c r="C114" s="257" t="s">
        <v>1746</v>
      </c>
      <c r="D114" s="684">
        <v>100</v>
      </c>
      <c r="E114" s="685" t="s">
        <v>384</v>
      </c>
      <c r="F114" s="686">
        <v>100</v>
      </c>
      <c r="G114" s="685" t="s">
        <v>384</v>
      </c>
      <c r="H114" s="670">
        <f>'MINI SSR 2024-25'!C119</f>
        <v>1238</v>
      </c>
      <c r="I114" s="682">
        <f t="shared" si="7"/>
        <v>1238</v>
      </c>
    </row>
    <row r="115" spans="1:9">
      <c r="A115" s="670"/>
      <c r="B115" s="263"/>
      <c r="C115" s="695" t="s">
        <v>2194</v>
      </c>
      <c r="D115" s="684"/>
      <c r="E115" s="685"/>
      <c r="F115" s="686"/>
      <c r="G115" s="685"/>
      <c r="H115" s="697"/>
      <c r="I115" s="729">
        <f>ROUND(SUM(I108:I114)*'DATA 2024-25'!$C$3,2)</f>
        <v>418.93</v>
      </c>
    </row>
    <row r="116" spans="1:9">
      <c r="A116" s="670"/>
      <c r="B116" s="263"/>
      <c r="C116" s="255" t="s">
        <v>385</v>
      </c>
      <c r="D116" s="684"/>
      <c r="E116" s="688"/>
      <c r="F116" s="686"/>
      <c r="G116" s="688"/>
      <c r="H116" s="670"/>
      <c r="I116" s="736">
        <f>SUM(I108:I115)</f>
        <v>3495.93</v>
      </c>
    </row>
    <row r="117" spans="1:9">
      <c r="A117" s="670"/>
      <c r="B117" s="263"/>
      <c r="C117" s="255" t="s">
        <v>386</v>
      </c>
      <c r="D117" s="684"/>
      <c r="E117" s="688"/>
      <c r="F117" s="686"/>
      <c r="G117" s="688"/>
      <c r="H117" s="670"/>
      <c r="I117" s="736">
        <f>ROUND(I116/6,2)</f>
        <v>582.66</v>
      </c>
    </row>
    <row r="118" spans="1:9" ht="45">
      <c r="A118" s="735" t="s">
        <v>711</v>
      </c>
      <c r="B118" s="674">
        <v>8</v>
      </c>
      <c r="C118" s="255" t="s">
        <v>421</v>
      </c>
      <c r="D118" s="675"/>
      <c r="E118" s="676"/>
      <c r="F118" s="675"/>
      <c r="G118" s="676"/>
      <c r="H118" s="255"/>
      <c r="I118" s="255"/>
    </row>
    <row r="119" spans="1:9">
      <c r="A119" s="670"/>
      <c r="B119" s="263"/>
      <c r="C119" s="255" t="s">
        <v>375</v>
      </c>
      <c r="D119" s="684"/>
      <c r="E119" s="688"/>
      <c r="F119" s="686"/>
      <c r="G119" s="688"/>
      <c r="H119" s="670"/>
      <c r="I119" s="736"/>
    </row>
    <row r="120" spans="1:9">
      <c r="A120" s="670"/>
      <c r="B120" s="263"/>
      <c r="C120" s="255" t="s">
        <v>686</v>
      </c>
      <c r="D120" s="739">
        <v>6.7000000000000004E-2</v>
      </c>
      <c r="E120" s="685" t="s">
        <v>27</v>
      </c>
      <c r="F120" s="686">
        <v>1</v>
      </c>
      <c r="G120" s="685" t="s">
        <v>27</v>
      </c>
      <c r="H120" s="670">
        <f>'MINI SSR 2024-25'!$H$16</f>
        <v>790</v>
      </c>
      <c r="I120" s="682">
        <f t="shared" ref="I120:I121" si="8">ROUND(((D120*H120)/F120),2)</f>
        <v>52.93</v>
      </c>
    </row>
    <row r="121" spans="1:9">
      <c r="A121" s="670"/>
      <c r="B121" s="263"/>
      <c r="C121" s="255" t="s">
        <v>687</v>
      </c>
      <c r="D121" s="739">
        <v>6.7000000000000004E-2</v>
      </c>
      <c r="E121" s="685" t="s">
        <v>27</v>
      </c>
      <c r="F121" s="686">
        <v>1</v>
      </c>
      <c r="G121" s="685" t="s">
        <v>27</v>
      </c>
      <c r="H121" s="670">
        <f>'MINI SSR 2024-25'!$H$5</f>
        <v>595</v>
      </c>
      <c r="I121" s="682">
        <f t="shared" si="8"/>
        <v>39.869999999999997</v>
      </c>
    </row>
    <row r="122" spans="1:9">
      <c r="A122" s="670"/>
      <c r="B122" s="263"/>
      <c r="C122" s="255" t="s">
        <v>318</v>
      </c>
      <c r="D122" s="684"/>
      <c r="E122" s="685"/>
      <c r="F122" s="686"/>
      <c r="G122" s="685"/>
      <c r="H122" s="670"/>
      <c r="I122" s="736"/>
    </row>
    <row r="123" spans="1:9">
      <c r="A123" s="670"/>
      <c r="B123" s="263"/>
      <c r="C123" s="257" t="s">
        <v>606</v>
      </c>
      <c r="D123" s="737">
        <v>1</v>
      </c>
      <c r="E123" s="688" t="s">
        <v>316</v>
      </c>
      <c r="F123" s="686">
        <v>1</v>
      </c>
      <c r="G123" s="688" t="s">
        <v>114</v>
      </c>
      <c r="H123" s="670">
        <f>'MINI SSR 2024-25'!C116</f>
        <v>18</v>
      </c>
      <c r="I123" s="682">
        <f t="shared" ref="I123:I124" si="9">ROUND(((D123*H123)/F123),2)</f>
        <v>18</v>
      </c>
    </row>
    <row r="124" spans="1:9">
      <c r="A124" s="670"/>
      <c r="B124" s="263"/>
      <c r="C124" s="257" t="s">
        <v>607</v>
      </c>
      <c r="D124" s="737">
        <v>1</v>
      </c>
      <c r="E124" s="688" t="s">
        <v>114</v>
      </c>
      <c r="F124" s="686">
        <v>1</v>
      </c>
      <c r="G124" s="688" t="s">
        <v>114</v>
      </c>
      <c r="H124" s="670">
        <f>'MINI SSR 2024-25'!C118</f>
        <v>27</v>
      </c>
      <c r="I124" s="682">
        <f t="shared" si="9"/>
        <v>27</v>
      </c>
    </row>
    <row r="125" spans="1:9">
      <c r="A125" s="670"/>
      <c r="B125" s="263"/>
      <c r="C125" s="695" t="s">
        <v>2194</v>
      </c>
      <c r="D125" s="684"/>
      <c r="E125" s="685"/>
      <c r="F125" s="686"/>
      <c r="G125" s="685"/>
      <c r="H125" s="697"/>
      <c r="I125" s="729">
        <f>ROUND(SUM(I120:I124)*'DATA 2024-25'!$C$3,2)</f>
        <v>18.760000000000002</v>
      </c>
    </row>
    <row r="126" spans="1:9">
      <c r="A126" s="670"/>
      <c r="B126" s="263"/>
      <c r="C126" s="677" t="s">
        <v>379</v>
      </c>
      <c r="D126" s="693"/>
      <c r="E126" s="688"/>
      <c r="F126" s="740"/>
      <c r="G126" s="741"/>
      <c r="H126" s="742"/>
      <c r="I126" s="736">
        <f>SUM(I120:I125)</f>
        <v>156.56</v>
      </c>
    </row>
    <row r="127" spans="1:9" ht="45" hidden="1">
      <c r="A127" s="743" t="s">
        <v>1053</v>
      </c>
      <c r="B127" s="744">
        <v>7</v>
      </c>
      <c r="C127" s="725" t="s">
        <v>1018</v>
      </c>
      <c r="D127" s="745"/>
      <c r="E127" s="746"/>
      <c r="F127" s="745"/>
      <c r="G127" s="746"/>
      <c r="H127" s="725"/>
      <c r="I127" s="725"/>
    </row>
    <row r="128" spans="1:9" hidden="1">
      <c r="A128" s="670"/>
      <c r="B128" s="263"/>
      <c r="C128" s="255" t="s">
        <v>375</v>
      </c>
      <c r="D128" s="684"/>
      <c r="E128" s="688"/>
      <c r="F128" s="686"/>
      <c r="G128" s="688"/>
      <c r="H128" s="670"/>
      <c r="I128" s="736"/>
    </row>
    <row r="129" spans="1:9" hidden="1">
      <c r="A129" s="670"/>
      <c r="B129" s="263"/>
      <c r="C129" s="255" t="s">
        <v>686</v>
      </c>
      <c r="D129" s="739">
        <v>0.1</v>
      </c>
      <c r="E129" s="685" t="s">
        <v>27</v>
      </c>
      <c r="F129" s="686">
        <v>1</v>
      </c>
      <c r="G129" s="685" t="s">
        <v>27</v>
      </c>
      <c r="H129" s="670">
        <f>'MINI SSR 2024-25'!$H$16</f>
        <v>790</v>
      </c>
      <c r="I129" s="682">
        <f t="shared" ref="I129:I130" si="10">ROUND(((D129*H129)/F129),2)</f>
        <v>79</v>
      </c>
    </row>
    <row r="130" spans="1:9" hidden="1">
      <c r="A130" s="670"/>
      <c r="B130" s="263"/>
      <c r="C130" s="255" t="s">
        <v>1261</v>
      </c>
      <c r="D130" s="739">
        <v>0.1</v>
      </c>
      <c r="E130" s="685" t="s">
        <v>27</v>
      </c>
      <c r="F130" s="686">
        <v>1</v>
      </c>
      <c r="G130" s="685" t="s">
        <v>27</v>
      </c>
      <c r="H130" s="670">
        <f>'MINI SSR 2024-25'!$H$5</f>
        <v>595</v>
      </c>
      <c r="I130" s="682">
        <f t="shared" si="10"/>
        <v>59.5</v>
      </c>
    </row>
    <row r="131" spans="1:9" hidden="1">
      <c r="A131" s="670"/>
      <c r="B131" s="263"/>
      <c r="C131" s="255" t="s">
        <v>318</v>
      </c>
      <c r="D131" s="684"/>
      <c r="E131" s="685"/>
      <c r="F131" s="686"/>
      <c r="G131" s="685"/>
      <c r="H131" s="670"/>
      <c r="I131" s="736"/>
    </row>
    <row r="132" spans="1:9" hidden="1">
      <c r="A132" s="670"/>
      <c r="B132" s="263"/>
      <c r="C132" s="257" t="s">
        <v>1054</v>
      </c>
      <c r="D132" s="737">
        <v>1</v>
      </c>
      <c r="E132" s="688" t="s">
        <v>316</v>
      </c>
      <c r="F132" s="686">
        <v>1</v>
      </c>
      <c r="G132" s="688" t="s">
        <v>114</v>
      </c>
      <c r="H132" s="670">
        <f>'MINI SSR 2024-25'!C121</f>
        <v>51</v>
      </c>
      <c r="I132" s="682">
        <f t="shared" ref="I132:I134" si="11">ROUND(((D132*H132)/F132),2)</f>
        <v>51</v>
      </c>
    </row>
    <row r="133" spans="1:9" hidden="1">
      <c r="A133" s="670"/>
      <c r="B133" s="263"/>
      <c r="C133" s="257" t="s">
        <v>1055</v>
      </c>
      <c r="D133" s="737">
        <v>1</v>
      </c>
      <c r="E133" s="688" t="s">
        <v>114</v>
      </c>
      <c r="F133" s="686">
        <v>1</v>
      </c>
      <c r="G133" s="688" t="s">
        <v>114</v>
      </c>
      <c r="H133" s="670">
        <f>'MINI SSR 2024-25'!C122</f>
        <v>124</v>
      </c>
      <c r="I133" s="682">
        <f t="shared" si="11"/>
        <v>124</v>
      </c>
    </row>
    <row r="134" spans="1:9" hidden="1">
      <c r="A134" s="670"/>
      <c r="B134" s="263"/>
      <c r="C134" s="257" t="s">
        <v>1749</v>
      </c>
      <c r="D134" s="737">
        <v>1</v>
      </c>
      <c r="E134" s="688" t="s">
        <v>114</v>
      </c>
      <c r="F134" s="686">
        <v>1</v>
      </c>
      <c r="G134" s="688" t="s">
        <v>114</v>
      </c>
      <c r="H134" s="670">
        <f>'MINI SSR 2024-25'!C123</f>
        <v>124</v>
      </c>
      <c r="I134" s="682">
        <f t="shared" si="11"/>
        <v>124</v>
      </c>
    </row>
    <row r="135" spans="1:9" hidden="1">
      <c r="A135" s="670"/>
      <c r="B135" s="263"/>
      <c r="C135" s="677" t="s">
        <v>379</v>
      </c>
      <c r="D135" s="693"/>
      <c r="E135" s="688"/>
      <c r="F135" s="740"/>
      <c r="G135" s="741"/>
      <c r="H135" s="742"/>
      <c r="I135" s="736">
        <f>SUM(I129:I134)</f>
        <v>437.5</v>
      </c>
    </row>
    <row r="136" spans="1:9" ht="45" hidden="1">
      <c r="A136" s="747" t="s">
        <v>431</v>
      </c>
      <c r="B136" s="748">
        <v>27</v>
      </c>
      <c r="C136" s="703" t="s">
        <v>605</v>
      </c>
      <c r="D136" s="749"/>
      <c r="E136" s="750"/>
      <c r="F136" s="749"/>
      <c r="G136" s="750"/>
      <c r="H136" s="703"/>
      <c r="I136" s="703"/>
    </row>
    <row r="137" spans="1:9" hidden="1">
      <c r="A137" s="713"/>
      <c r="B137" s="751"/>
      <c r="C137" s="731" t="s">
        <v>375</v>
      </c>
      <c r="D137" s="710"/>
      <c r="E137" s="752"/>
      <c r="F137" s="712"/>
      <c r="G137" s="752"/>
      <c r="H137" s="713"/>
      <c r="I137" s="753"/>
    </row>
    <row r="138" spans="1:9" hidden="1">
      <c r="A138" s="713"/>
      <c r="B138" s="751"/>
      <c r="C138" s="731" t="s">
        <v>686</v>
      </c>
      <c r="D138" s="754">
        <v>6.7000000000000004E-2</v>
      </c>
      <c r="E138" s="711" t="s">
        <v>27</v>
      </c>
      <c r="F138" s="712">
        <v>1</v>
      </c>
      <c r="G138" s="711" t="s">
        <v>27</v>
      </c>
      <c r="H138" s="713">
        <f>'MINI SSR 2024-25'!$H$16</f>
        <v>790</v>
      </c>
      <c r="I138" s="714">
        <f t="shared" ref="I138:I139" si="12">ROUND(((D138*H138)/F138),2)</f>
        <v>52.93</v>
      </c>
    </row>
    <row r="139" spans="1:9" hidden="1">
      <c r="A139" s="713"/>
      <c r="B139" s="751"/>
      <c r="C139" s="731" t="s">
        <v>1261</v>
      </c>
      <c r="D139" s="754">
        <v>6.7000000000000004E-2</v>
      </c>
      <c r="E139" s="711" t="s">
        <v>27</v>
      </c>
      <c r="F139" s="712">
        <v>1</v>
      </c>
      <c r="G139" s="711" t="s">
        <v>27</v>
      </c>
      <c r="H139" s="713">
        <f>'MINI SSR 2024-25'!$H$5</f>
        <v>595</v>
      </c>
      <c r="I139" s="714">
        <f t="shared" si="12"/>
        <v>39.869999999999997</v>
      </c>
    </row>
    <row r="140" spans="1:9" hidden="1">
      <c r="A140" s="713"/>
      <c r="B140" s="751"/>
      <c r="C140" s="731" t="s">
        <v>318</v>
      </c>
      <c r="D140" s="710"/>
      <c r="E140" s="711"/>
      <c r="F140" s="712"/>
      <c r="G140" s="711"/>
      <c r="H140" s="713"/>
      <c r="I140" s="753"/>
    </row>
    <row r="141" spans="1:9" hidden="1">
      <c r="A141" s="713"/>
      <c r="B141" s="751"/>
      <c r="C141" s="755" t="s">
        <v>606</v>
      </c>
      <c r="D141" s="756">
        <v>1</v>
      </c>
      <c r="E141" s="752" t="s">
        <v>316</v>
      </c>
      <c r="F141" s="712">
        <v>1</v>
      </c>
      <c r="G141" s="752" t="s">
        <v>114</v>
      </c>
      <c r="H141" s="713">
        <f>'MINI SSR 2024-25'!C116</f>
        <v>18</v>
      </c>
      <c r="I141" s="714">
        <f t="shared" ref="I141:I142" si="13">ROUND(((D141*H141)/F141),2)</f>
        <v>18</v>
      </c>
    </row>
    <row r="142" spans="1:9" hidden="1">
      <c r="A142" s="713"/>
      <c r="B142" s="751"/>
      <c r="C142" s="755" t="s">
        <v>608</v>
      </c>
      <c r="D142" s="756">
        <v>1</v>
      </c>
      <c r="E142" s="752" t="s">
        <v>114</v>
      </c>
      <c r="F142" s="712">
        <v>1</v>
      </c>
      <c r="G142" s="752" t="s">
        <v>114</v>
      </c>
      <c r="H142" s="713">
        <f>'MINI SSR 2024-25'!C117</f>
        <v>21</v>
      </c>
      <c r="I142" s="714">
        <f t="shared" si="13"/>
        <v>21</v>
      </c>
    </row>
    <row r="143" spans="1:9" hidden="1">
      <c r="A143" s="713"/>
      <c r="B143" s="751"/>
      <c r="C143" s="731" t="s">
        <v>889</v>
      </c>
      <c r="D143" s="757"/>
      <c r="E143" s="752"/>
      <c r="F143" s="758"/>
      <c r="G143" s="759"/>
      <c r="H143" s="760"/>
      <c r="I143" s="753">
        <f>SUM(I138:I142)</f>
        <v>131.80000000000001</v>
      </c>
    </row>
    <row r="144" spans="1:9" ht="56.25" hidden="1">
      <c r="A144" s="713"/>
      <c r="B144" s="761">
        <v>28</v>
      </c>
      <c r="C144" s="731" t="s">
        <v>387</v>
      </c>
      <c r="D144" s="762"/>
      <c r="E144" s="763"/>
      <c r="F144" s="762"/>
      <c r="G144" s="763"/>
      <c r="H144" s="731"/>
      <c r="I144" s="731"/>
    </row>
    <row r="145" spans="1:9" ht="22.5" hidden="1">
      <c r="A145" s="713"/>
      <c r="B145" s="751"/>
      <c r="C145" s="731" t="s">
        <v>388</v>
      </c>
      <c r="D145" s="762"/>
      <c r="E145" s="763"/>
      <c r="F145" s="762"/>
      <c r="G145" s="763"/>
      <c r="H145" s="731"/>
      <c r="I145" s="731"/>
    </row>
    <row r="146" spans="1:9" hidden="1">
      <c r="A146" s="713"/>
      <c r="B146" s="751"/>
      <c r="C146" s="731" t="s">
        <v>375</v>
      </c>
      <c r="D146" s="710"/>
      <c r="E146" s="752"/>
      <c r="F146" s="712"/>
      <c r="G146" s="752"/>
      <c r="H146" s="713"/>
      <c r="I146" s="753"/>
    </row>
    <row r="147" spans="1:9" hidden="1">
      <c r="A147" s="713"/>
      <c r="B147" s="751"/>
      <c r="C147" s="731" t="s">
        <v>686</v>
      </c>
      <c r="D147" s="754">
        <v>6.7000000000000004E-2</v>
      </c>
      <c r="E147" s="711" t="s">
        <v>27</v>
      </c>
      <c r="F147" s="712">
        <v>1</v>
      </c>
      <c r="G147" s="711" t="s">
        <v>27</v>
      </c>
      <c r="H147" s="713">
        <f>'MINI SSR 2024-25'!$H$16</f>
        <v>790</v>
      </c>
      <c r="I147" s="714">
        <f t="shared" ref="I147:I148" si="14">ROUND(((D147*H147)/F147),2)</f>
        <v>52.93</v>
      </c>
    </row>
    <row r="148" spans="1:9" hidden="1">
      <c r="A148" s="713"/>
      <c r="B148" s="751"/>
      <c r="C148" s="731" t="s">
        <v>1261</v>
      </c>
      <c r="D148" s="754">
        <v>6.7000000000000004E-2</v>
      </c>
      <c r="E148" s="711" t="s">
        <v>27</v>
      </c>
      <c r="F148" s="712">
        <v>1</v>
      </c>
      <c r="G148" s="711" t="s">
        <v>27</v>
      </c>
      <c r="H148" s="713">
        <f>'MINI SSR 2024-25'!$H$5</f>
        <v>595</v>
      </c>
      <c r="I148" s="714">
        <f t="shared" si="14"/>
        <v>39.869999999999997</v>
      </c>
    </row>
    <row r="149" spans="1:9" hidden="1">
      <c r="A149" s="713"/>
      <c r="B149" s="751"/>
      <c r="C149" s="731" t="s">
        <v>318</v>
      </c>
      <c r="D149" s="710"/>
      <c r="E149" s="711"/>
      <c r="F149" s="712"/>
      <c r="G149" s="711"/>
      <c r="H149" s="713"/>
      <c r="I149" s="753"/>
    </row>
    <row r="150" spans="1:9" hidden="1">
      <c r="A150" s="713"/>
      <c r="B150" s="751"/>
      <c r="C150" s="755" t="s">
        <v>1753</v>
      </c>
      <c r="D150" s="756">
        <v>1</v>
      </c>
      <c r="E150" s="752" t="s">
        <v>114</v>
      </c>
      <c r="F150" s="712">
        <v>1</v>
      </c>
      <c r="G150" s="752" t="s">
        <v>114</v>
      </c>
      <c r="H150" s="713">
        <f>'MINI SSR 2024-25'!C124</f>
        <v>72</v>
      </c>
      <c r="I150" s="714">
        <f t="shared" ref="I150:I153" si="15">ROUND(((D150*H150)/F150),2)</f>
        <v>72</v>
      </c>
    </row>
    <row r="151" spans="1:9" hidden="1">
      <c r="A151" s="713"/>
      <c r="B151" s="751"/>
      <c r="C151" s="755" t="s">
        <v>1754</v>
      </c>
      <c r="D151" s="756">
        <v>1</v>
      </c>
      <c r="E151" s="752" t="s">
        <v>114</v>
      </c>
      <c r="F151" s="712">
        <v>1</v>
      </c>
      <c r="G151" s="752" t="s">
        <v>114</v>
      </c>
      <c r="H151" s="713">
        <f>'MINI SSR 2024-25'!C125</f>
        <v>122</v>
      </c>
      <c r="I151" s="714">
        <f t="shared" si="15"/>
        <v>122</v>
      </c>
    </row>
    <row r="152" spans="1:9" hidden="1">
      <c r="A152" s="713"/>
      <c r="B152" s="751"/>
      <c r="C152" s="755" t="s">
        <v>1755</v>
      </c>
      <c r="D152" s="756">
        <v>1</v>
      </c>
      <c r="E152" s="752" t="s">
        <v>114</v>
      </c>
      <c r="F152" s="712">
        <v>1</v>
      </c>
      <c r="G152" s="752" t="s">
        <v>114</v>
      </c>
      <c r="H152" s="713">
        <f>'MINI SSR 2024-25'!C126</f>
        <v>95</v>
      </c>
      <c r="I152" s="714">
        <f t="shared" si="15"/>
        <v>95</v>
      </c>
    </row>
    <row r="153" spans="1:9" hidden="1">
      <c r="A153" s="713"/>
      <c r="B153" s="751"/>
      <c r="C153" s="755" t="s">
        <v>1756</v>
      </c>
      <c r="D153" s="756">
        <v>1</v>
      </c>
      <c r="E153" s="752" t="s">
        <v>114</v>
      </c>
      <c r="F153" s="712">
        <v>1</v>
      </c>
      <c r="G153" s="752" t="s">
        <v>114</v>
      </c>
      <c r="H153" s="713">
        <f>'MINI SSR 2024-25'!C127</f>
        <v>80</v>
      </c>
      <c r="I153" s="714">
        <f t="shared" si="15"/>
        <v>80</v>
      </c>
    </row>
    <row r="154" spans="1:9" hidden="1">
      <c r="A154" s="713"/>
      <c r="B154" s="751"/>
      <c r="C154" s="731" t="s">
        <v>889</v>
      </c>
      <c r="D154" s="757"/>
      <c r="E154" s="752"/>
      <c r="F154" s="758"/>
      <c r="G154" s="759"/>
      <c r="H154" s="760"/>
      <c r="I154" s="753">
        <f>SUM(I147:I153)</f>
        <v>461.8</v>
      </c>
    </row>
    <row r="155" spans="1:9" ht="33.75" hidden="1">
      <c r="A155" s="713" t="s">
        <v>1403</v>
      </c>
      <c r="B155" s="761">
        <v>29</v>
      </c>
      <c r="C155" s="731" t="s">
        <v>1402</v>
      </c>
      <c r="D155" s="732"/>
      <c r="E155" s="733"/>
      <c r="F155" s="732"/>
      <c r="G155" s="733"/>
      <c r="H155" s="751"/>
      <c r="I155" s="734"/>
    </row>
    <row r="156" spans="1:9" ht="22.5" hidden="1">
      <c r="A156" s="761"/>
      <c r="B156" s="751"/>
      <c r="C156" s="731" t="s">
        <v>382</v>
      </c>
      <c r="D156" s="710"/>
      <c r="E156" s="752"/>
      <c r="F156" s="712"/>
      <c r="G156" s="752"/>
      <c r="H156" s="713"/>
      <c r="I156" s="753"/>
    </row>
    <row r="157" spans="1:9" hidden="1">
      <c r="A157" s="761"/>
      <c r="B157" s="751"/>
      <c r="C157" s="731" t="s">
        <v>375</v>
      </c>
      <c r="D157" s="710"/>
      <c r="E157" s="752"/>
      <c r="F157" s="712"/>
      <c r="G157" s="752"/>
      <c r="H157" s="713"/>
      <c r="I157" s="753"/>
    </row>
    <row r="158" spans="1:9" hidden="1">
      <c r="A158" s="761"/>
      <c r="B158" s="751"/>
      <c r="C158" s="709" t="s">
        <v>686</v>
      </c>
      <c r="D158" s="710">
        <v>0.67</v>
      </c>
      <c r="E158" s="711" t="s">
        <v>27</v>
      </c>
      <c r="F158" s="712">
        <v>1</v>
      </c>
      <c r="G158" s="711" t="s">
        <v>27</v>
      </c>
      <c r="H158" s="713">
        <f>'MINI SSR 2024-25'!$H$16</f>
        <v>790</v>
      </c>
      <c r="I158" s="714">
        <f t="shared" ref="I158:I160" si="16">ROUND(((D158*H158)/F158),2)</f>
        <v>529.29999999999995</v>
      </c>
    </row>
    <row r="159" spans="1:9" hidden="1">
      <c r="A159" s="761"/>
      <c r="B159" s="751"/>
      <c r="C159" s="709" t="s">
        <v>836</v>
      </c>
      <c r="D159" s="710">
        <v>2</v>
      </c>
      <c r="E159" s="711" t="s">
        <v>27</v>
      </c>
      <c r="F159" s="712">
        <v>1</v>
      </c>
      <c r="G159" s="711" t="s">
        <v>27</v>
      </c>
      <c r="H159" s="713">
        <f>'MINI SSR 2024-25'!$H$17</f>
        <v>640</v>
      </c>
      <c r="I159" s="714">
        <f t="shared" si="16"/>
        <v>1280</v>
      </c>
    </row>
    <row r="160" spans="1:9" hidden="1">
      <c r="A160" s="761"/>
      <c r="B160" s="751"/>
      <c r="C160" s="709" t="s">
        <v>1261</v>
      </c>
      <c r="D160" s="710">
        <v>0.67</v>
      </c>
      <c r="E160" s="711" t="s">
        <v>27</v>
      </c>
      <c r="F160" s="712">
        <v>1</v>
      </c>
      <c r="G160" s="711" t="s">
        <v>27</v>
      </c>
      <c r="H160" s="713">
        <f>'MINI SSR 2024-25'!$H$5</f>
        <v>595</v>
      </c>
      <c r="I160" s="714">
        <f t="shared" si="16"/>
        <v>398.65</v>
      </c>
    </row>
    <row r="161" spans="1:9" hidden="1">
      <c r="A161" s="761"/>
      <c r="B161" s="751"/>
      <c r="C161" s="755" t="s">
        <v>1757</v>
      </c>
      <c r="D161" s="710">
        <v>200</v>
      </c>
      <c r="E161" s="752" t="s">
        <v>384</v>
      </c>
      <c r="F161" s="712">
        <v>100</v>
      </c>
      <c r="G161" s="752" t="s">
        <v>384</v>
      </c>
      <c r="H161" s="713">
        <f>'MINI SSR 2024-25'!C128</f>
        <v>2046</v>
      </c>
      <c r="I161" s="714">
        <f>ROUND(((D161*H161)/F161),2)</f>
        <v>4092</v>
      </c>
    </row>
    <row r="162" spans="1:9" hidden="1">
      <c r="A162" s="761"/>
      <c r="B162" s="751"/>
      <c r="C162" s="731" t="s">
        <v>389</v>
      </c>
      <c r="D162" s="710"/>
      <c r="E162" s="752"/>
      <c r="F162" s="712"/>
      <c r="G162" s="752"/>
      <c r="H162" s="713"/>
      <c r="I162" s="753">
        <f>SUM(I158:I161)</f>
        <v>6299.95</v>
      </c>
    </row>
    <row r="163" spans="1:9" hidden="1">
      <c r="A163" s="764"/>
      <c r="B163" s="765"/>
      <c r="C163" s="766" t="s">
        <v>1764</v>
      </c>
      <c r="D163" s="718"/>
      <c r="E163" s="767"/>
      <c r="F163" s="720"/>
      <c r="G163" s="767"/>
      <c r="H163" s="768"/>
      <c r="I163" s="769">
        <f>ROUND(I162/100,2)</f>
        <v>63</v>
      </c>
    </row>
    <row r="164" spans="1:9" ht="46.5" customHeight="1">
      <c r="A164" s="735" t="s">
        <v>712</v>
      </c>
      <c r="B164" s="674">
        <v>9</v>
      </c>
      <c r="C164" s="255" t="s">
        <v>391</v>
      </c>
      <c r="D164" s="671"/>
      <c r="E164" s="672"/>
      <c r="F164" s="671"/>
      <c r="G164" s="672"/>
      <c r="H164" s="263"/>
      <c r="I164" s="736"/>
    </row>
    <row r="165" spans="1:9" ht="22.5">
      <c r="A165" s="674"/>
      <c r="B165" s="263"/>
      <c r="C165" s="255" t="s">
        <v>382</v>
      </c>
      <c r="D165" s="684"/>
      <c r="E165" s="688"/>
      <c r="F165" s="686"/>
      <c r="G165" s="688"/>
      <c r="H165" s="670"/>
      <c r="I165" s="736"/>
    </row>
    <row r="166" spans="1:9">
      <c r="A166" s="674"/>
      <c r="B166" s="263"/>
      <c r="C166" s="255" t="s">
        <v>375</v>
      </c>
      <c r="D166" s="684"/>
      <c r="E166" s="688"/>
      <c r="F166" s="686"/>
      <c r="G166" s="688"/>
      <c r="H166" s="670"/>
      <c r="I166" s="736"/>
    </row>
    <row r="167" spans="1:9">
      <c r="A167" s="674"/>
      <c r="B167" s="263"/>
      <c r="C167" s="683" t="s">
        <v>686</v>
      </c>
      <c r="D167" s="684">
        <v>0.67</v>
      </c>
      <c r="E167" s="685" t="s">
        <v>27</v>
      </c>
      <c r="F167" s="686">
        <v>1</v>
      </c>
      <c r="G167" s="685" t="s">
        <v>27</v>
      </c>
      <c r="H167" s="670">
        <f>'MINI SSR 2024-25'!$H$16</f>
        <v>790</v>
      </c>
      <c r="I167" s="682">
        <f t="shared" ref="I167:I169" si="17">ROUND(((D167*H167)/F167),2)</f>
        <v>529.29999999999995</v>
      </c>
    </row>
    <row r="168" spans="1:9">
      <c r="A168" s="674"/>
      <c r="B168" s="263"/>
      <c r="C168" s="683" t="s">
        <v>836</v>
      </c>
      <c r="D168" s="684">
        <v>2</v>
      </c>
      <c r="E168" s="685" t="s">
        <v>27</v>
      </c>
      <c r="F168" s="686">
        <v>1</v>
      </c>
      <c r="G168" s="685" t="s">
        <v>27</v>
      </c>
      <c r="H168" s="670">
        <f>'MINI SSR 2024-25'!$H$17</f>
        <v>640</v>
      </c>
      <c r="I168" s="682">
        <f t="shared" si="17"/>
        <v>1280</v>
      </c>
    </row>
    <row r="169" spans="1:9">
      <c r="A169" s="674"/>
      <c r="B169" s="263"/>
      <c r="C169" s="683" t="s">
        <v>1261</v>
      </c>
      <c r="D169" s="684">
        <v>0.67</v>
      </c>
      <c r="E169" s="685" t="s">
        <v>27</v>
      </c>
      <c r="F169" s="686">
        <v>1</v>
      </c>
      <c r="G169" s="685" t="s">
        <v>27</v>
      </c>
      <c r="H169" s="670">
        <f>'MINI SSR 2024-25'!$H$5</f>
        <v>595</v>
      </c>
      <c r="I169" s="682">
        <f t="shared" si="17"/>
        <v>398.65</v>
      </c>
    </row>
    <row r="170" spans="1:9">
      <c r="A170" s="674"/>
      <c r="B170" s="263"/>
      <c r="C170" s="255" t="s">
        <v>318</v>
      </c>
      <c r="D170" s="684"/>
      <c r="E170" s="685"/>
      <c r="F170" s="686"/>
      <c r="G170" s="685"/>
      <c r="H170" s="670"/>
      <c r="I170" s="736"/>
    </row>
    <row r="171" spans="1:9">
      <c r="A171" s="674"/>
      <c r="B171" s="263"/>
      <c r="C171" s="257" t="s">
        <v>1758</v>
      </c>
      <c r="D171" s="684">
        <v>200</v>
      </c>
      <c r="E171" s="688" t="s">
        <v>384</v>
      </c>
      <c r="F171" s="686">
        <v>100</v>
      </c>
      <c r="G171" s="688" t="s">
        <v>384</v>
      </c>
      <c r="H171" s="670">
        <f>'MINI SSR 2024-25'!C129</f>
        <v>3305</v>
      </c>
      <c r="I171" s="682">
        <f>ROUND(((D171*H171)/F171),2)</f>
        <v>6610</v>
      </c>
    </row>
    <row r="172" spans="1:9">
      <c r="A172" s="674"/>
      <c r="B172" s="263"/>
      <c r="C172" s="695" t="s">
        <v>2194</v>
      </c>
      <c r="D172" s="684"/>
      <c r="E172" s="685"/>
      <c r="F172" s="686"/>
      <c r="G172" s="685"/>
      <c r="H172" s="697"/>
      <c r="I172" s="729">
        <f>ROUND(SUM(I167:I171)*'DATA 2024-25'!$C$3,2)</f>
        <v>1200.56</v>
      </c>
    </row>
    <row r="173" spans="1:9">
      <c r="A173" s="674"/>
      <c r="B173" s="263"/>
      <c r="C173" s="255" t="s">
        <v>389</v>
      </c>
      <c r="D173" s="684"/>
      <c r="E173" s="688"/>
      <c r="F173" s="686"/>
      <c r="G173" s="688"/>
      <c r="H173" s="670"/>
      <c r="I173" s="736">
        <f>SUM(I167:I172)</f>
        <v>10018.51</v>
      </c>
    </row>
    <row r="174" spans="1:9">
      <c r="A174" s="674"/>
      <c r="B174" s="263"/>
      <c r="C174" s="255" t="s">
        <v>390</v>
      </c>
      <c r="D174" s="684"/>
      <c r="E174" s="688"/>
      <c r="F174" s="686"/>
      <c r="G174" s="688"/>
      <c r="H174" s="670"/>
      <c r="I174" s="736">
        <f>ROUND(I173/100,2)</f>
        <v>100.19</v>
      </c>
    </row>
    <row r="175" spans="1:9" ht="45" hidden="1">
      <c r="A175" s="735" t="s">
        <v>713</v>
      </c>
      <c r="B175" s="674">
        <v>9</v>
      </c>
      <c r="C175" s="255" t="s">
        <v>392</v>
      </c>
      <c r="D175" s="671"/>
      <c r="E175" s="672"/>
      <c r="F175" s="671"/>
      <c r="G175" s="672"/>
      <c r="H175" s="263"/>
      <c r="I175" s="736"/>
    </row>
    <row r="176" spans="1:9" ht="22.5" hidden="1">
      <c r="A176" s="670"/>
      <c r="B176" s="263"/>
      <c r="C176" s="255" t="s">
        <v>393</v>
      </c>
      <c r="D176" s="684"/>
      <c r="E176" s="688"/>
      <c r="F176" s="686"/>
      <c r="G176" s="688"/>
      <c r="H176" s="670"/>
      <c r="I176" s="736"/>
    </row>
    <row r="177" spans="1:9" hidden="1">
      <c r="A177" s="670"/>
      <c r="B177" s="263"/>
      <c r="C177" s="255" t="s">
        <v>375</v>
      </c>
      <c r="D177" s="684"/>
      <c r="E177" s="688"/>
      <c r="F177" s="686"/>
      <c r="G177" s="688"/>
      <c r="H177" s="670"/>
      <c r="I177" s="736"/>
    </row>
    <row r="178" spans="1:9" hidden="1">
      <c r="A178" s="670"/>
      <c r="B178" s="263"/>
      <c r="C178" s="683" t="s">
        <v>686</v>
      </c>
      <c r="D178" s="684">
        <v>1</v>
      </c>
      <c r="E178" s="685" t="s">
        <v>27</v>
      </c>
      <c r="F178" s="686">
        <v>1</v>
      </c>
      <c r="G178" s="685" t="s">
        <v>27</v>
      </c>
      <c r="H178" s="670">
        <f>'MINI SSR 2024-25'!$H$16</f>
        <v>790</v>
      </c>
      <c r="I178" s="682">
        <f t="shared" ref="I178:I180" si="18">ROUND(((D178*H178)/F178),2)</f>
        <v>790</v>
      </c>
    </row>
    <row r="179" spans="1:9" hidden="1">
      <c r="A179" s="670"/>
      <c r="B179" s="263"/>
      <c r="C179" s="683" t="s">
        <v>836</v>
      </c>
      <c r="D179" s="684">
        <v>3</v>
      </c>
      <c r="E179" s="685" t="s">
        <v>27</v>
      </c>
      <c r="F179" s="686">
        <v>1</v>
      </c>
      <c r="G179" s="685" t="s">
        <v>27</v>
      </c>
      <c r="H179" s="670">
        <f>'MINI SSR 2024-25'!$H$17</f>
        <v>640</v>
      </c>
      <c r="I179" s="682">
        <f t="shared" si="18"/>
        <v>1920</v>
      </c>
    </row>
    <row r="180" spans="1:9" hidden="1">
      <c r="A180" s="670"/>
      <c r="B180" s="263"/>
      <c r="C180" s="683" t="s">
        <v>1261</v>
      </c>
      <c r="D180" s="684">
        <v>1</v>
      </c>
      <c r="E180" s="685" t="s">
        <v>27</v>
      </c>
      <c r="F180" s="686">
        <v>1</v>
      </c>
      <c r="G180" s="685" t="s">
        <v>27</v>
      </c>
      <c r="H180" s="670">
        <f>'MINI SSR 2024-25'!$H$5</f>
        <v>595</v>
      </c>
      <c r="I180" s="682">
        <f t="shared" si="18"/>
        <v>595</v>
      </c>
    </row>
    <row r="181" spans="1:9" hidden="1">
      <c r="A181" s="670"/>
      <c r="B181" s="263"/>
      <c r="C181" s="255" t="s">
        <v>318</v>
      </c>
      <c r="D181" s="684"/>
      <c r="E181" s="685"/>
      <c r="F181" s="686"/>
      <c r="G181" s="685"/>
      <c r="H181" s="670"/>
      <c r="I181" s="736"/>
    </row>
    <row r="182" spans="1:9" hidden="1">
      <c r="A182" s="670"/>
      <c r="B182" s="263"/>
      <c r="C182" s="257" t="s">
        <v>1759</v>
      </c>
      <c r="D182" s="684">
        <v>200</v>
      </c>
      <c r="E182" s="688" t="s">
        <v>384</v>
      </c>
      <c r="F182" s="686">
        <v>100</v>
      </c>
      <c r="G182" s="688" t="s">
        <v>384</v>
      </c>
      <c r="H182" s="670">
        <f>'MINI SSR 2024-25'!C130</f>
        <v>5046</v>
      </c>
      <c r="I182" s="682">
        <f>ROUND(((D182*H182)/F182),2)</f>
        <v>10092</v>
      </c>
    </row>
    <row r="183" spans="1:9" hidden="1">
      <c r="A183" s="670"/>
      <c r="B183" s="263"/>
      <c r="C183" s="255" t="s">
        <v>389</v>
      </c>
      <c r="D183" s="684"/>
      <c r="E183" s="688"/>
      <c r="F183" s="686"/>
      <c r="G183" s="688"/>
      <c r="H183" s="670"/>
      <c r="I183" s="736">
        <f>SUM(I178:I182)</f>
        <v>13397</v>
      </c>
    </row>
    <row r="184" spans="1:9" hidden="1">
      <c r="A184" s="670"/>
      <c r="B184" s="263"/>
      <c r="C184" s="255" t="s">
        <v>390</v>
      </c>
      <c r="D184" s="684"/>
      <c r="E184" s="688"/>
      <c r="F184" s="686"/>
      <c r="G184" s="688"/>
      <c r="H184" s="670"/>
      <c r="I184" s="736">
        <f>SUM(I183/100)</f>
        <v>133.97</v>
      </c>
    </row>
    <row r="185" spans="1:9" ht="45">
      <c r="A185" s="735" t="s">
        <v>831</v>
      </c>
      <c r="B185" s="674">
        <v>10</v>
      </c>
      <c r="C185" s="255" t="s">
        <v>832</v>
      </c>
      <c r="D185" s="671"/>
      <c r="E185" s="672"/>
      <c r="F185" s="671"/>
      <c r="G185" s="672"/>
      <c r="H185" s="263"/>
      <c r="I185" s="736"/>
    </row>
    <row r="186" spans="1:9">
      <c r="A186" s="670"/>
      <c r="B186" s="263"/>
      <c r="C186" s="255" t="s">
        <v>375</v>
      </c>
      <c r="D186" s="684"/>
      <c r="E186" s="688"/>
      <c r="F186" s="686"/>
      <c r="G186" s="688"/>
      <c r="H186" s="670"/>
      <c r="I186" s="736"/>
    </row>
    <row r="187" spans="1:9">
      <c r="A187" s="670"/>
      <c r="B187" s="263"/>
      <c r="C187" s="683" t="s">
        <v>149</v>
      </c>
      <c r="D187" s="684">
        <v>1</v>
      </c>
      <c r="E187" s="685" t="s">
        <v>27</v>
      </c>
      <c r="F187" s="686">
        <v>1</v>
      </c>
      <c r="G187" s="685" t="s">
        <v>27</v>
      </c>
      <c r="H187" s="670">
        <f>'MINI SSR 2024-25'!$H$16</f>
        <v>790</v>
      </c>
      <c r="I187" s="682">
        <f t="shared" ref="I187:I189" si="19">ROUND(((D187*H187)/F187),2)</f>
        <v>790</v>
      </c>
    </row>
    <row r="188" spans="1:9">
      <c r="A188" s="670"/>
      <c r="B188" s="263"/>
      <c r="C188" s="683" t="s">
        <v>836</v>
      </c>
      <c r="D188" s="684">
        <v>1</v>
      </c>
      <c r="E188" s="685" t="s">
        <v>27</v>
      </c>
      <c r="F188" s="686">
        <v>1</v>
      </c>
      <c r="G188" s="685" t="s">
        <v>27</v>
      </c>
      <c r="H188" s="670">
        <f>'MINI SSR 2024-25'!$H$17</f>
        <v>640</v>
      </c>
      <c r="I188" s="682">
        <f t="shared" si="19"/>
        <v>640</v>
      </c>
    </row>
    <row r="189" spans="1:9">
      <c r="A189" s="670"/>
      <c r="B189" s="263"/>
      <c r="C189" s="683" t="s">
        <v>687</v>
      </c>
      <c r="D189" s="684">
        <v>1</v>
      </c>
      <c r="E189" s="685" t="s">
        <v>27</v>
      </c>
      <c r="F189" s="686">
        <v>1</v>
      </c>
      <c r="G189" s="685" t="s">
        <v>27</v>
      </c>
      <c r="H189" s="670">
        <f>'MINI SSR 2024-25'!$H$5</f>
        <v>595</v>
      </c>
      <c r="I189" s="682">
        <f t="shared" si="19"/>
        <v>595</v>
      </c>
    </row>
    <row r="190" spans="1:9">
      <c r="A190" s="670"/>
      <c r="B190" s="263"/>
      <c r="C190" s="255" t="s">
        <v>318</v>
      </c>
      <c r="D190" s="684"/>
      <c r="E190" s="685"/>
      <c r="F190" s="686"/>
      <c r="G190" s="685"/>
      <c r="H190" s="670"/>
      <c r="I190" s="736"/>
    </row>
    <row r="191" spans="1:9">
      <c r="A191" s="670"/>
      <c r="B191" s="263"/>
      <c r="C191" s="257" t="s">
        <v>833</v>
      </c>
      <c r="D191" s="684">
        <v>200</v>
      </c>
      <c r="E191" s="688" t="s">
        <v>384</v>
      </c>
      <c r="F191" s="686">
        <v>100</v>
      </c>
      <c r="G191" s="688" t="s">
        <v>384</v>
      </c>
      <c r="H191" s="670">
        <f>'MINI SSR 2024-25'!C131</f>
        <v>1816</v>
      </c>
      <c r="I191" s="682">
        <f t="shared" ref="I191:I193" si="20">ROUND(((D191*H191)/F191),2)</f>
        <v>3632</v>
      </c>
    </row>
    <row r="192" spans="1:9">
      <c r="A192" s="670"/>
      <c r="B192" s="263"/>
      <c r="C192" s="257" t="s">
        <v>834</v>
      </c>
      <c r="D192" s="684">
        <v>6.7</v>
      </c>
      <c r="E192" s="688" t="s">
        <v>4</v>
      </c>
      <c r="F192" s="686">
        <v>1</v>
      </c>
      <c r="G192" s="688" t="s">
        <v>4</v>
      </c>
      <c r="H192" s="670">
        <f>'MINI SSR 2024-25'!C132</f>
        <v>94</v>
      </c>
      <c r="I192" s="682">
        <f t="shared" si="20"/>
        <v>629.79999999999995</v>
      </c>
    </row>
    <row r="193" spans="1:9">
      <c r="A193" s="670"/>
      <c r="B193" s="263"/>
      <c r="C193" s="257" t="s">
        <v>835</v>
      </c>
      <c r="D193" s="684">
        <v>100</v>
      </c>
      <c r="E193" s="688" t="s">
        <v>316</v>
      </c>
      <c r="F193" s="686">
        <v>100</v>
      </c>
      <c r="G193" s="688" t="s">
        <v>114</v>
      </c>
      <c r="H193" s="670">
        <f>'MINI SSR 2024-25'!C133</f>
        <v>556</v>
      </c>
      <c r="I193" s="682">
        <f t="shared" si="20"/>
        <v>556</v>
      </c>
    </row>
    <row r="194" spans="1:9">
      <c r="A194" s="670"/>
      <c r="B194" s="263"/>
      <c r="C194" s="695" t="s">
        <v>2194</v>
      </c>
      <c r="D194" s="684"/>
      <c r="E194" s="685"/>
      <c r="F194" s="686"/>
      <c r="G194" s="685"/>
      <c r="H194" s="697"/>
      <c r="I194" s="729">
        <f>ROUND(SUM(I187:I193)*'DATA 2024-25'!$C$3,2)</f>
        <v>931.65</v>
      </c>
    </row>
    <row r="195" spans="1:9">
      <c r="A195" s="670"/>
      <c r="B195" s="263"/>
      <c r="C195" s="255" t="s">
        <v>389</v>
      </c>
      <c r="D195" s="684"/>
      <c r="E195" s="688"/>
      <c r="F195" s="686"/>
      <c r="G195" s="688"/>
      <c r="H195" s="670"/>
      <c r="I195" s="736">
        <f>SUM(I187:I194)</f>
        <v>7774.45</v>
      </c>
    </row>
    <row r="196" spans="1:9">
      <c r="A196" s="670"/>
      <c r="B196" s="263"/>
      <c r="C196" s="255" t="s">
        <v>390</v>
      </c>
      <c r="D196" s="684"/>
      <c r="E196" s="688"/>
      <c r="F196" s="686"/>
      <c r="G196" s="688"/>
      <c r="H196" s="670"/>
      <c r="I196" s="736">
        <f>SUM(I195/100)</f>
        <v>77.744500000000002</v>
      </c>
    </row>
    <row r="197" spans="1:9" ht="33.75">
      <c r="A197" s="735" t="s">
        <v>714</v>
      </c>
      <c r="B197" s="674">
        <v>11</v>
      </c>
      <c r="C197" s="255" t="s">
        <v>1057</v>
      </c>
      <c r="D197" s="675"/>
      <c r="E197" s="676"/>
      <c r="F197" s="675"/>
      <c r="G197" s="676"/>
      <c r="H197" s="255"/>
      <c r="I197" s="255"/>
    </row>
    <row r="198" spans="1:9" ht="22.5">
      <c r="A198" s="674"/>
      <c r="B198" s="263"/>
      <c r="C198" s="255" t="s">
        <v>394</v>
      </c>
      <c r="D198" s="675"/>
      <c r="E198" s="676"/>
      <c r="F198" s="675"/>
      <c r="G198" s="676"/>
      <c r="H198" s="255"/>
      <c r="I198" s="255"/>
    </row>
    <row r="199" spans="1:9">
      <c r="A199" s="674"/>
      <c r="B199" s="263"/>
      <c r="C199" s="255" t="s">
        <v>375</v>
      </c>
      <c r="D199" s="684"/>
      <c r="E199" s="688"/>
      <c r="F199" s="686"/>
      <c r="G199" s="688"/>
      <c r="H199" s="670"/>
      <c r="I199" s="736"/>
    </row>
    <row r="200" spans="1:9">
      <c r="A200" s="674"/>
      <c r="B200" s="263"/>
      <c r="C200" s="683" t="s">
        <v>686</v>
      </c>
      <c r="D200" s="684">
        <v>0.05</v>
      </c>
      <c r="E200" s="685" t="s">
        <v>27</v>
      </c>
      <c r="F200" s="686">
        <v>1</v>
      </c>
      <c r="G200" s="685" t="s">
        <v>27</v>
      </c>
      <c r="H200" s="670">
        <f>'MINI SSR 2024-25'!$H$16</f>
        <v>790</v>
      </c>
      <c r="I200" s="682">
        <f t="shared" ref="I200:I201" si="21">ROUND(((D200*H200)/F200),2)</f>
        <v>39.5</v>
      </c>
    </row>
    <row r="201" spans="1:9">
      <c r="A201" s="674"/>
      <c r="B201" s="263"/>
      <c r="C201" s="683" t="s">
        <v>1261</v>
      </c>
      <c r="D201" s="684">
        <v>0.05</v>
      </c>
      <c r="E201" s="685" t="s">
        <v>27</v>
      </c>
      <c r="F201" s="686">
        <v>1</v>
      </c>
      <c r="G201" s="685" t="s">
        <v>27</v>
      </c>
      <c r="H201" s="670">
        <f>'MINI SSR 2024-25'!$H$5</f>
        <v>595</v>
      </c>
      <c r="I201" s="682">
        <f t="shared" si="21"/>
        <v>29.75</v>
      </c>
    </row>
    <row r="202" spans="1:9">
      <c r="A202" s="674"/>
      <c r="B202" s="263"/>
      <c r="C202" s="255" t="s">
        <v>318</v>
      </c>
      <c r="D202" s="684"/>
      <c r="E202" s="685"/>
      <c r="F202" s="686"/>
      <c r="G202" s="685"/>
      <c r="H202" s="670"/>
      <c r="I202" s="736"/>
    </row>
    <row r="203" spans="1:9">
      <c r="A203" s="674"/>
      <c r="B203" s="263"/>
      <c r="C203" s="255" t="s">
        <v>1760</v>
      </c>
      <c r="D203" s="737">
        <v>1</v>
      </c>
      <c r="E203" s="688" t="s">
        <v>316</v>
      </c>
      <c r="F203" s="686">
        <v>1</v>
      </c>
      <c r="G203" s="688" t="s">
        <v>114</v>
      </c>
      <c r="H203" s="670">
        <f>'MINI SSR 2024-25'!G114</f>
        <v>21</v>
      </c>
      <c r="I203" s="682">
        <f t="shared" ref="I203:I204" si="22">ROUND(((D203*H203)/F203),2)</f>
        <v>21</v>
      </c>
    </row>
    <row r="204" spans="1:9">
      <c r="A204" s="674"/>
      <c r="B204" s="263"/>
      <c r="C204" s="255" t="s">
        <v>1056</v>
      </c>
      <c r="D204" s="737">
        <v>1</v>
      </c>
      <c r="E204" s="688" t="s">
        <v>316</v>
      </c>
      <c r="F204" s="686">
        <v>1</v>
      </c>
      <c r="G204" s="688" t="s">
        <v>114</v>
      </c>
      <c r="H204" s="670">
        <f>'MINI SSR 2024-25'!G115</f>
        <v>46</v>
      </c>
      <c r="I204" s="682">
        <f t="shared" si="22"/>
        <v>46</v>
      </c>
    </row>
    <row r="205" spans="1:9">
      <c r="A205" s="670"/>
      <c r="B205" s="263"/>
      <c r="C205" s="695" t="s">
        <v>2194</v>
      </c>
      <c r="D205" s="684"/>
      <c r="E205" s="685"/>
      <c r="F205" s="686"/>
      <c r="G205" s="685"/>
      <c r="H205" s="697"/>
      <c r="I205" s="729">
        <f>ROUND(SUM(I200:I204)*'DATA 2024-25'!$C$3,2)</f>
        <v>18.55</v>
      </c>
    </row>
    <row r="206" spans="1:9">
      <c r="A206" s="674"/>
      <c r="B206" s="263"/>
      <c r="C206" s="255" t="s">
        <v>395</v>
      </c>
      <c r="D206" s="684"/>
      <c r="E206" s="685"/>
      <c r="F206" s="686"/>
      <c r="G206" s="685"/>
      <c r="H206" s="670"/>
      <c r="I206" s="736">
        <f>SUM(I200:I205)</f>
        <v>154.80000000000001</v>
      </c>
    </row>
    <row r="207" spans="1:9" ht="45">
      <c r="A207" s="670" t="s">
        <v>1404</v>
      </c>
      <c r="B207" s="674">
        <v>12</v>
      </c>
      <c r="C207" s="255" t="s">
        <v>396</v>
      </c>
      <c r="D207" s="675"/>
      <c r="E207" s="676"/>
      <c r="F207" s="675"/>
      <c r="G207" s="676"/>
      <c r="H207" s="255"/>
      <c r="I207" s="255"/>
    </row>
    <row r="208" spans="1:9" ht="33.75">
      <c r="A208" s="674"/>
      <c r="B208" s="674"/>
      <c r="C208" s="255" t="s">
        <v>397</v>
      </c>
      <c r="D208" s="770"/>
      <c r="E208" s="676"/>
      <c r="F208" s="675"/>
      <c r="G208" s="676"/>
      <c r="H208" s="255"/>
      <c r="I208" s="255"/>
    </row>
    <row r="209" spans="1:9" ht="33.75">
      <c r="A209" s="674"/>
      <c r="B209" s="674"/>
      <c r="C209" s="255" t="s">
        <v>398</v>
      </c>
      <c r="D209" s="770"/>
      <c r="E209" s="676"/>
      <c r="F209" s="675"/>
      <c r="G209" s="676"/>
      <c r="H209" s="255"/>
      <c r="I209" s="255"/>
    </row>
    <row r="210" spans="1:9">
      <c r="A210" s="674"/>
      <c r="B210" s="263"/>
      <c r="C210" s="771" t="s">
        <v>399</v>
      </c>
      <c r="D210" s="684"/>
      <c r="E210" s="688"/>
      <c r="F210" s="686"/>
      <c r="G210" s="688"/>
      <c r="H210" s="670"/>
      <c r="I210" s="736"/>
    </row>
    <row r="211" spans="1:9">
      <c r="A211" s="674"/>
      <c r="B211" s="263"/>
      <c r="C211" s="683" t="s">
        <v>686</v>
      </c>
      <c r="D211" s="739">
        <v>0.125</v>
      </c>
      <c r="E211" s="685" t="s">
        <v>27</v>
      </c>
      <c r="F211" s="686">
        <v>1</v>
      </c>
      <c r="G211" s="685" t="s">
        <v>27</v>
      </c>
      <c r="H211" s="670">
        <f>'MINI SSR 2024-25'!$H$16</f>
        <v>790</v>
      </c>
      <c r="I211" s="682">
        <f t="shared" ref="I211:I212" si="23">ROUND(((D211*H211)/F211),2)</f>
        <v>98.75</v>
      </c>
    </row>
    <row r="212" spans="1:9">
      <c r="A212" s="674"/>
      <c r="B212" s="263"/>
      <c r="C212" s="683" t="s">
        <v>1261</v>
      </c>
      <c r="D212" s="739">
        <v>0.125</v>
      </c>
      <c r="E212" s="685" t="s">
        <v>27</v>
      </c>
      <c r="F212" s="686">
        <v>1</v>
      </c>
      <c r="G212" s="685" t="s">
        <v>27</v>
      </c>
      <c r="H212" s="670">
        <f>'MINI SSR 2024-25'!$H$5</f>
        <v>595</v>
      </c>
      <c r="I212" s="682">
        <f t="shared" si="23"/>
        <v>74.38</v>
      </c>
    </row>
    <row r="213" spans="1:9">
      <c r="A213" s="674"/>
      <c r="B213" s="263"/>
      <c r="C213" s="255" t="s">
        <v>400</v>
      </c>
      <c r="D213" s="684"/>
      <c r="E213" s="685"/>
      <c r="F213" s="686"/>
      <c r="G213" s="685"/>
      <c r="H213" s="670"/>
      <c r="I213" s="736"/>
    </row>
    <row r="214" spans="1:9">
      <c r="A214" s="674"/>
      <c r="B214" s="263"/>
      <c r="C214" s="257" t="s">
        <v>1405</v>
      </c>
      <c r="D214" s="684">
        <v>1</v>
      </c>
      <c r="E214" s="688" t="s">
        <v>376</v>
      </c>
      <c r="F214" s="686">
        <v>100</v>
      </c>
      <c r="G214" s="688" t="s">
        <v>384</v>
      </c>
      <c r="H214" s="670">
        <f>'MINI SSR 2024-25'!G116</f>
        <v>1288</v>
      </c>
      <c r="I214" s="682">
        <f t="shared" ref="I214:I216" si="24">ROUND(((D214*H214)/F214),2)</f>
        <v>12.88</v>
      </c>
    </row>
    <row r="215" spans="1:9">
      <c r="A215" s="674"/>
      <c r="B215" s="263"/>
      <c r="C215" s="257" t="s">
        <v>1407</v>
      </c>
      <c r="D215" s="684">
        <v>1</v>
      </c>
      <c r="E215" s="688" t="s">
        <v>114</v>
      </c>
      <c r="F215" s="686">
        <v>1</v>
      </c>
      <c r="G215" s="688" t="s">
        <v>114</v>
      </c>
      <c r="H215" s="670">
        <f>'MINI SSR 2024-25'!G117</f>
        <v>208</v>
      </c>
      <c r="I215" s="682">
        <f t="shared" si="24"/>
        <v>208</v>
      </c>
    </row>
    <row r="216" spans="1:9">
      <c r="A216" s="674"/>
      <c r="B216" s="263"/>
      <c r="C216" s="257" t="s">
        <v>1406</v>
      </c>
      <c r="D216" s="684">
        <v>1</v>
      </c>
      <c r="E216" s="688" t="s">
        <v>316</v>
      </c>
      <c r="F216" s="686">
        <v>1</v>
      </c>
      <c r="G216" s="688" t="s">
        <v>316</v>
      </c>
      <c r="H216" s="670">
        <f>'MINI SSR 2024-25'!G118</f>
        <v>2904</v>
      </c>
      <c r="I216" s="682">
        <f t="shared" si="24"/>
        <v>2904</v>
      </c>
    </row>
    <row r="217" spans="1:9">
      <c r="A217" s="674"/>
      <c r="B217" s="263"/>
      <c r="C217" s="255" t="s">
        <v>401</v>
      </c>
      <c r="D217" s="684"/>
      <c r="E217" s="688"/>
      <c r="F217" s="686"/>
      <c r="G217" s="688"/>
      <c r="H217" s="772">
        <v>0.01</v>
      </c>
      <c r="I217" s="736">
        <f>SUM(I216*H217)</f>
        <v>29.04</v>
      </c>
    </row>
    <row r="218" spans="1:9">
      <c r="A218" s="674"/>
      <c r="B218" s="263"/>
      <c r="C218" s="695" t="s">
        <v>2194</v>
      </c>
      <c r="D218" s="684"/>
      <c r="E218" s="685"/>
      <c r="F218" s="686"/>
      <c r="G218" s="685"/>
      <c r="H218" s="697"/>
      <c r="I218" s="729">
        <f>ROUND(SUM(I211:I217)*'DATA 2024-25'!$C$3,2)</f>
        <v>452.98</v>
      </c>
    </row>
    <row r="219" spans="1:9">
      <c r="A219" s="773"/>
      <c r="B219" s="774"/>
      <c r="C219" s="775" t="s">
        <v>379</v>
      </c>
      <c r="D219" s="776"/>
      <c r="E219" s="777"/>
      <c r="F219" s="776"/>
      <c r="G219" s="778"/>
      <c r="H219" s="779"/>
      <c r="I219" s="780">
        <f>SUM(I211:I218)</f>
        <v>3780.03</v>
      </c>
    </row>
    <row r="220" spans="1:9" ht="33.75" hidden="1">
      <c r="A220" s="670" t="s">
        <v>1410</v>
      </c>
      <c r="B220" s="674">
        <v>1</v>
      </c>
      <c r="C220" s="255" t="s">
        <v>890</v>
      </c>
      <c r="D220" s="255"/>
      <c r="E220" s="255"/>
      <c r="F220" s="675"/>
      <c r="G220" s="676"/>
      <c r="H220" s="255"/>
      <c r="I220" s="255"/>
    </row>
    <row r="221" spans="1:9" hidden="1">
      <c r="A221" s="674"/>
      <c r="B221" s="263"/>
      <c r="C221" s="257" t="s">
        <v>919</v>
      </c>
      <c r="D221" s="781">
        <v>1</v>
      </c>
      <c r="E221" s="687" t="s">
        <v>316</v>
      </c>
      <c r="F221" s="686">
        <v>1</v>
      </c>
      <c r="G221" s="688" t="s">
        <v>316</v>
      </c>
      <c r="H221" s="670">
        <f>'MINI SSR 2024-25'!G118</f>
        <v>2904</v>
      </c>
      <c r="I221" s="682">
        <f>ROUND(((D221*H221)/F221),2)</f>
        <v>2904</v>
      </c>
    </row>
    <row r="222" spans="1:9" hidden="1">
      <c r="A222" s="674"/>
      <c r="B222" s="263"/>
      <c r="C222" s="255" t="s">
        <v>401</v>
      </c>
      <c r="D222" s="781"/>
      <c r="E222" s="687"/>
      <c r="F222" s="686"/>
      <c r="G222" s="688"/>
      <c r="H222" s="772">
        <v>0.01</v>
      </c>
      <c r="I222" s="736">
        <f>SUM(I221*H222)</f>
        <v>29.04</v>
      </c>
    </row>
    <row r="223" spans="1:9" hidden="1">
      <c r="A223" s="674"/>
      <c r="B223" s="263"/>
      <c r="C223" s="677" t="s">
        <v>379</v>
      </c>
      <c r="D223" s="673"/>
      <c r="E223" s="673"/>
      <c r="F223" s="671"/>
      <c r="G223" s="782"/>
      <c r="H223" s="742"/>
      <c r="I223" s="736">
        <f>SUM(I221:I222)</f>
        <v>2933.04</v>
      </c>
    </row>
    <row r="224" spans="1:9" ht="22.5" hidden="1">
      <c r="A224" s="747" t="s">
        <v>1409</v>
      </c>
      <c r="B224" s="748">
        <v>37</v>
      </c>
      <c r="C224" s="703" t="s">
        <v>1408</v>
      </c>
      <c r="D224" s="749"/>
      <c r="E224" s="750"/>
      <c r="F224" s="749"/>
      <c r="G224" s="750"/>
      <c r="H224" s="703"/>
      <c r="I224" s="703"/>
    </row>
    <row r="225" spans="1:9" hidden="1">
      <c r="A225" s="761"/>
      <c r="B225" s="751"/>
      <c r="C225" s="755" t="s">
        <v>1407</v>
      </c>
      <c r="D225" s="710">
        <v>1</v>
      </c>
      <c r="E225" s="752" t="s">
        <v>316</v>
      </c>
      <c r="F225" s="712">
        <v>1</v>
      </c>
      <c r="G225" s="752" t="s">
        <v>316</v>
      </c>
      <c r="H225" s="713">
        <f>'MINI SSR 2024-25'!G117</f>
        <v>208</v>
      </c>
      <c r="I225" s="714">
        <f t="shared" ref="I225:I226" si="25">ROUND(((D225*H225)/F225),2)</f>
        <v>208</v>
      </c>
    </row>
    <row r="226" spans="1:9" hidden="1">
      <c r="A226" s="761"/>
      <c r="B226" s="751"/>
      <c r="C226" s="709" t="s">
        <v>686</v>
      </c>
      <c r="D226" s="754">
        <v>0.1</v>
      </c>
      <c r="E226" s="711" t="s">
        <v>27</v>
      </c>
      <c r="F226" s="712">
        <v>1</v>
      </c>
      <c r="G226" s="711" t="s">
        <v>27</v>
      </c>
      <c r="H226" s="713">
        <f>'MINI SSR 2024-25'!$H$16</f>
        <v>790</v>
      </c>
      <c r="I226" s="714">
        <f t="shared" si="25"/>
        <v>79</v>
      </c>
    </row>
    <row r="227" spans="1:9" hidden="1">
      <c r="A227" s="761"/>
      <c r="B227" s="751"/>
      <c r="C227" s="731"/>
      <c r="D227" s="710"/>
      <c r="E227" s="752"/>
      <c r="F227" s="712"/>
      <c r="G227" s="752"/>
      <c r="H227" s="783"/>
      <c r="I227" s="753"/>
    </row>
    <row r="228" spans="1:9" hidden="1">
      <c r="A228" s="764"/>
      <c r="B228" s="765"/>
      <c r="C228" s="784" t="s">
        <v>379</v>
      </c>
      <c r="D228" s="785"/>
      <c r="E228" s="786"/>
      <c r="F228" s="785"/>
      <c r="G228" s="787"/>
      <c r="H228" s="768"/>
      <c r="I228" s="769">
        <f>SUM(I225:I227)</f>
        <v>287</v>
      </c>
    </row>
    <row r="229" spans="1:9" ht="22.5" hidden="1">
      <c r="A229" s="670" t="s">
        <v>1404</v>
      </c>
      <c r="B229" s="674">
        <v>2</v>
      </c>
      <c r="C229" s="255" t="s">
        <v>892</v>
      </c>
      <c r="D229" s="255"/>
      <c r="E229" s="255"/>
      <c r="F229" s="675"/>
      <c r="G229" s="676"/>
      <c r="H229" s="255"/>
      <c r="I229" s="255"/>
    </row>
    <row r="230" spans="1:9" hidden="1">
      <c r="A230" s="674"/>
      <c r="B230" s="263"/>
      <c r="C230" s="771" t="s">
        <v>399</v>
      </c>
      <c r="D230" s="781"/>
      <c r="E230" s="687"/>
      <c r="F230" s="686"/>
      <c r="G230" s="688"/>
      <c r="H230" s="670"/>
      <c r="I230" s="736"/>
    </row>
    <row r="231" spans="1:9" hidden="1">
      <c r="A231" s="674"/>
      <c r="B231" s="263"/>
      <c r="C231" s="683" t="s">
        <v>686</v>
      </c>
      <c r="D231" s="788">
        <v>0.125</v>
      </c>
      <c r="E231" s="789" t="s">
        <v>27</v>
      </c>
      <c r="F231" s="686">
        <v>1</v>
      </c>
      <c r="G231" s="685" t="s">
        <v>27</v>
      </c>
      <c r="H231" s="670">
        <f>'MINI SSR 2024-25'!$H$16</f>
        <v>790</v>
      </c>
      <c r="I231" s="682">
        <f t="shared" ref="I231:I232" si="26">ROUND(((D231*H231)/F231),2)</f>
        <v>98.75</v>
      </c>
    </row>
    <row r="232" spans="1:9" hidden="1">
      <c r="A232" s="674"/>
      <c r="B232" s="263"/>
      <c r="C232" s="683" t="s">
        <v>1261</v>
      </c>
      <c r="D232" s="788">
        <v>0.125</v>
      </c>
      <c r="E232" s="789" t="s">
        <v>27</v>
      </c>
      <c r="F232" s="686">
        <v>1</v>
      </c>
      <c r="G232" s="685" t="s">
        <v>27</v>
      </c>
      <c r="H232" s="670">
        <f>'MINI SSR 2024-25'!$H$5</f>
        <v>595</v>
      </c>
      <c r="I232" s="682">
        <f t="shared" si="26"/>
        <v>74.38</v>
      </c>
    </row>
    <row r="233" spans="1:9" hidden="1">
      <c r="A233" s="674"/>
      <c r="B233" s="263"/>
      <c r="C233" s="255" t="s">
        <v>400</v>
      </c>
      <c r="D233" s="781"/>
      <c r="E233" s="789"/>
      <c r="F233" s="686"/>
      <c r="G233" s="685"/>
      <c r="H233" s="670"/>
      <c r="I233" s="736"/>
    </row>
    <row r="234" spans="1:9" hidden="1">
      <c r="A234" s="674"/>
      <c r="B234" s="263"/>
      <c r="C234" s="257" t="s">
        <v>1405</v>
      </c>
      <c r="D234" s="781">
        <v>1</v>
      </c>
      <c r="E234" s="687" t="s">
        <v>376</v>
      </c>
      <c r="F234" s="686">
        <v>100</v>
      </c>
      <c r="G234" s="688" t="s">
        <v>384</v>
      </c>
      <c r="H234" s="670">
        <f>'MINI SSR 2024-25'!G116</f>
        <v>1288</v>
      </c>
      <c r="I234" s="682">
        <f>ROUND(((D234*H234)/F234),2)</f>
        <v>12.88</v>
      </c>
    </row>
    <row r="235" spans="1:9" hidden="1">
      <c r="A235" s="674"/>
      <c r="B235" s="263"/>
      <c r="C235" s="677" t="s">
        <v>379</v>
      </c>
      <c r="D235" s="673"/>
      <c r="E235" s="673"/>
      <c r="F235" s="671"/>
      <c r="G235" s="782"/>
      <c r="H235" s="742"/>
      <c r="I235" s="736">
        <f>SUM(I231:I234)</f>
        <v>186.01</v>
      </c>
    </row>
    <row r="236" spans="1:9" ht="33.75" hidden="1">
      <c r="A236" s="747" t="s">
        <v>1411</v>
      </c>
      <c r="B236" s="748">
        <v>39</v>
      </c>
      <c r="C236" s="703" t="s">
        <v>893</v>
      </c>
      <c r="D236" s="749"/>
      <c r="E236" s="750"/>
      <c r="F236" s="749"/>
      <c r="G236" s="750"/>
      <c r="H236" s="703"/>
      <c r="I236" s="703"/>
    </row>
    <row r="237" spans="1:9" hidden="1">
      <c r="A237" s="761"/>
      <c r="B237" s="751"/>
      <c r="C237" s="790" t="s">
        <v>399</v>
      </c>
      <c r="D237" s="710"/>
      <c r="E237" s="752"/>
      <c r="F237" s="712"/>
      <c r="G237" s="752"/>
      <c r="H237" s="713"/>
      <c r="I237" s="753"/>
    </row>
    <row r="238" spans="1:9" hidden="1">
      <c r="A238" s="761"/>
      <c r="B238" s="751"/>
      <c r="C238" s="709" t="s">
        <v>1261</v>
      </c>
      <c r="D238" s="754">
        <v>0.1</v>
      </c>
      <c r="E238" s="711" t="s">
        <v>27</v>
      </c>
      <c r="F238" s="712">
        <v>1</v>
      </c>
      <c r="G238" s="711" t="s">
        <v>27</v>
      </c>
      <c r="H238" s="713">
        <f>'MINI SSR 2024-25'!$H$5</f>
        <v>595</v>
      </c>
      <c r="I238" s="714">
        <f>ROUND(((D238*H238)/F238),2)</f>
        <v>59.5</v>
      </c>
    </row>
    <row r="239" spans="1:9" hidden="1">
      <c r="A239" s="761"/>
      <c r="B239" s="751"/>
      <c r="C239" s="731" t="s">
        <v>400</v>
      </c>
      <c r="D239" s="710"/>
      <c r="E239" s="711"/>
      <c r="F239" s="712"/>
      <c r="G239" s="711"/>
      <c r="H239" s="713"/>
      <c r="I239" s="753"/>
    </row>
    <row r="240" spans="1:9" ht="22.5" hidden="1">
      <c r="A240" s="761"/>
      <c r="B240" s="751"/>
      <c r="C240" s="755" t="s">
        <v>894</v>
      </c>
      <c r="D240" s="710">
        <v>1</v>
      </c>
      <c r="E240" s="752" t="s">
        <v>114</v>
      </c>
      <c r="F240" s="712">
        <v>1</v>
      </c>
      <c r="G240" s="752" t="s">
        <v>114</v>
      </c>
      <c r="H240" s="713">
        <f>'MINI SSR 2024-25'!G119</f>
        <v>119</v>
      </c>
      <c r="I240" s="714">
        <f>ROUND(((D240*H240)/F240),2)</f>
        <v>119</v>
      </c>
    </row>
    <row r="241" spans="1:9" hidden="1">
      <c r="A241" s="764"/>
      <c r="B241" s="765"/>
      <c r="C241" s="784" t="s">
        <v>379</v>
      </c>
      <c r="D241" s="785"/>
      <c r="E241" s="786"/>
      <c r="F241" s="785"/>
      <c r="G241" s="787"/>
      <c r="H241" s="768"/>
      <c r="I241" s="769">
        <f>SUM(I238:I240)</f>
        <v>178.5</v>
      </c>
    </row>
    <row r="242" spans="1:9" ht="22.5">
      <c r="A242" s="670" t="s">
        <v>1413</v>
      </c>
      <c r="B242" s="692">
        <v>13</v>
      </c>
      <c r="C242" s="255" t="s">
        <v>1412</v>
      </c>
      <c r="D242" s="671"/>
      <c r="E242" s="672"/>
      <c r="F242" s="671"/>
      <c r="G242" s="672"/>
      <c r="H242" s="673"/>
      <c r="I242" s="673"/>
    </row>
    <row r="243" spans="1:9">
      <c r="A243" s="691"/>
      <c r="B243" s="692"/>
      <c r="C243" s="683" t="s">
        <v>1318</v>
      </c>
      <c r="D243" s="684">
        <v>1</v>
      </c>
      <c r="E243" s="685" t="s">
        <v>316</v>
      </c>
      <c r="F243" s="686">
        <v>1</v>
      </c>
      <c r="G243" s="685" t="s">
        <v>316</v>
      </c>
      <c r="H243" s="670">
        <f>'MINI SSR 2024-25'!G120</f>
        <v>42</v>
      </c>
      <c r="I243" s="682">
        <f t="shared" ref="I243:I245" si="27">ROUND(((D243*H243)/F243),2)</f>
        <v>42</v>
      </c>
    </row>
    <row r="244" spans="1:9">
      <c r="A244" s="674"/>
      <c r="B244" s="263"/>
      <c r="C244" s="683" t="s">
        <v>1414</v>
      </c>
      <c r="D244" s="739">
        <v>0.16600000000000001</v>
      </c>
      <c r="E244" s="685" t="s">
        <v>27</v>
      </c>
      <c r="F244" s="686">
        <v>1</v>
      </c>
      <c r="G244" s="685" t="s">
        <v>27</v>
      </c>
      <c r="H244" s="670">
        <f>'MINI SSR 2024-25'!H3</f>
        <v>710</v>
      </c>
      <c r="I244" s="682">
        <f t="shared" si="27"/>
        <v>117.86</v>
      </c>
    </row>
    <row r="245" spans="1:9">
      <c r="A245" s="674"/>
      <c r="B245" s="263"/>
      <c r="C245" s="683" t="s">
        <v>1415</v>
      </c>
      <c r="D245" s="739">
        <v>0.16600000000000001</v>
      </c>
      <c r="E245" s="685" t="s">
        <v>27</v>
      </c>
      <c r="F245" s="686">
        <v>1</v>
      </c>
      <c r="G245" s="685" t="s">
        <v>27</v>
      </c>
      <c r="H245" s="670">
        <f>'MINI SSR 2024-25'!H5</f>
        <v>595</v>
      </c>
      <c r="I245" s="682">
        <f t="shared" si="27"/>
        <v>98.77</v>
      </c>
    </row>
    <row r="246" spans="1:9">
      <c r="A246" s="674"/>
      <c r="B246" s="263"/>
      <c r="C246" s="695" t="s">
        <v>2194</v>
      </c>
      <c r="D246" s="684"/>
      <c r="E246" s="685"/>
      <c r="F246" s="686"/>
      <c r="G246" s="685"/>
      <c r="H246" s="697"/>
      <c r="I246" s="729">
        <f>ROUND(SUM(I243:I245)*'DATA 2024-25'!$C$3,2)</f>
        <v>35.21</v>
      </c>
    </row>
    <row r="247" spans="1:9">
      <c r="A247" s="791"/>
      <c r="B247" s="792"/>
      <c r="C247" s="793"/>
      <c r="D247" s="794"/>
      <c r="E247" s="795"/>
      <c r="F247" s="796"/>
      <c r="G247" s="795"/>
      <c r="H247" s="797"/>
      <c r="I247" s="798">
        <f>SUBTOTAL(9,I243:I246)</f>
        <v>293.83999999999997</v>
      </c>
    </row>
    <row r="248" spans="1:9" ht="56.25">
      <c r="A248" s="735" t="s">
        <v>715</v>
      </c>
      <c r="B248" s="674">
        <v>14</v>
      </c>
      <c r="C248" s="255" t="s">
        <v>402</v>
      </c>
      <c r="D248" s="675"/>
      <c r="E248" s="676"/>
      <c r="F248" s="675"/>
      <c r="G248" s="676"/>
      <c r="H248" s="255"/>
      <c r="I248" s="255"/>
    </row>
    <row r="249" spans="1:9">
      <c r="A249" s="674"/>
      <c r="B249" s="263"/>
      <c r="C249" s="255" t="s">
        <v>399</v>
      </c>
      <c r="D249" s="684"/>
      <c r="E249" s="688"/>
      <c r="F249" s="686"/>
      <c r="G249" s="688"/>
      <c r="H249" s="670"/>
      <c r="I249" s="736"/>
    </row>
    <row r="250" spans="1:9">
      <c r="A250" s="674"/>
      <c r="B250" s="263"/>
      <c r="C250" s="683" t="s">
        <v>686</v>
      </c>
      <c r="D250" s="684">
        <v>0.1</v>
      </c>
      <c r="E250" s="685" t="s">
        <v>27</v>
      </c>
      <c r="F250" s="686">
        <v>1</v>
      </c>
      <c r="G250" s="685" t="s">
        <v>27</v>
      </c>
      <c r="H250" s="670">
        <f>'MINI SSR 2024-25'!$H$16</f>
        <v>790</v>
      </c>
      <c r="I250" s="682">
        <f t="shared" ref="I250:I251" si="28">ROUND(((D250*H250)/F250),2)</f>
        <v>79</v>
      </c>
    </row>
    <row r="251" spans="1:9">
      <c r="A251" s="674"/>
      <c r="B251" s="263"/>
      <c r="C251" s="683" t="s">
        <v>836</v>
      </c>
      <c r="D251" s="684">
        <v>0.1</v>
      </c>
      <c r="E251" s="685" t="s">
        <v>27</v>
      </c>
      <c r="F251" s="686">
        <v>1</v>
      </c>
      <c r="G251" s="685" t="s">
        <v>27</v>
      </c>
      <c r="H251" s="670">
        <f>'MINI SSR 2024-25'!$H$17</f>
        <v>640</v>
      </c>
      <c r="I251" s="682">
        <f t="shared" si="28"/>
        <v>64</v>
      </c>
    </row>
    <row r="252" spans="1:9">
      <c r="A252" s="674"/>
      <c r="B252" s="263"/>
      <c r="C252" s="255" t="s">
        <v>318</v>
      </c>
      <c r="D252" s="684"/>
      <c r="E252" s="685"/>
      <c r="F252" s="686"/>
      <c r="G252" s="685"/>
      <c r="H252" s="670"/>
      <c r="I252" s="736"/>
    </row>
    <row r="253" spans="1:9">
      <c r="A253" s="674"/>
      <c r="B253" s="263"/>
      <c r="C253" s="257" t="s">
        <v>2136</v>
      </c>
      <c r="D253" s="684">
        <v>1</v>
      </c>
      <c r="E253" s="688" t="s">
        <v>376</v>
      </c>
      <c r="F253" s="686">
        <v>100</v>
      </c>
      <c r="G253" s="688" t="s">
        <v>384</v>
      </c>
      <c r="H253" s="670">
        <f>'MINI SSR 2024-25'!G116</f>
        <v>1288</v>
      </c>
      <c r="I253" s="682">
        <f t="shared" ref="I253:I254" si="29">ROUND(((D253*H253)/F253),2)</f>
        <v>12.88</v>
      </c>
    </row>
    <row r="254" spans="1:9">
      <c r="A254" s="674"/>
      <c r="B254" s="263"/>
      <c r="C254" s="257" t="s">
        <v>1762</v>
      </c>
      <c r="D254" s="737">
        <v>1</v>
      </c>
      <c r="E254" s="688" t="s">
        <v>114</v>
      </c>
      <c r="F254" s="686">
        <v>1</v>
      </c>
      <c r="G254" s="688" t="s">
        <v>114</v>
      </c>
      <c r="H254" s="670">
        <f>'MINI SSR 2024-25'!G121</f>
        <v>248</v>
      </c>
      <c r="I254" s="682">
        <f t="shared" si="29"/>
        <v>248</v>
      </c>
    </row>
    <row r="255" spans="1:9">
      <c r="A255" s="674"/>
      <c r="B255" s="263"/>
      <c r="C255" s="695" t="s">
        <v>2194</v>
      </c>
      <c r="D255" s="684"/>
      <c r="E255" s="685"/>
      <c r="F255" s="686"/>
      <c r="G255" s="685"/>
      <c r="H255" s="697"/>
      <c r="I255" s="729">
        <f>ROUND(SUM(I250:I254)*'DATA 2024-25'!$C$3,2)</f>
        <v>54.99</v>
      </c>
    </row>
    <row r="256" spans="1:9">
      <c r="A256" s="674"/>
      <c r="B256" s="263"/>
      <c r="C256" s="255" t="s">
        <v>395</v>
      </c>
      <c r="D256" s="684"/>
      <c r="E256" s="676"/>
      <c r="F256" s="686"/>
      <c r="G256" s="688"/>
      <c r="H256" s="670"/>
      <c r="I256" s="736">
        <f>SUM(I250:I255)</f>
        <v>458.87</v>
      </c>
    </row>
    <row r="257" spans="1:9">
      <c r="A257" s="691"/>
      <c r="B257" s="692"/>
      <c r="C257" s="691"/>
      <c r="D257" s="698"/>
      <c r="E257" s="699"/>
      <c r="F257" s="698"/>
      <c r="G257" s="699"/>
      <c r="H257" s="691"/>
      <c r="I257" s="691"/>
    </row>
    <row r="258" spans="1:9" ht="67.5">
      <c r="A258" s="743" t="s">
        <v>716</v>
      </c>
      <c r="B258" s="744">
        <v>15</v>
      </c>
      <c r="C258" s="725" t="s">
        <v>685</v>
      </c>
      <c r="D258" s="745"/>
      <c r="E258" s="746"/>
      <c r="F258" s="745"/>
      <c r="G258" s="746"/>
      <c r="H258" s="725"/>
      <c r="I258" s="725"/>
    </row>
    <row r="259" spans="1:9">
      <c r="A259" s="674"/>
      <c r="B259" s="263"/>
      <c r="C259" s="255" t="s">
        <v>399</v>
      </c>
      <c r="D259" s="684"/>
      <c r="E259" s="688"/>
      <c r="F259" s="686"/>
      <c r="G259" s="688"/>
      <c r="H259" s="670"/>
      <c r="I259" s="736"/>
    </row>
    <row r="260" spans="1:9">
      <c r="A260" s="674"/>
      <c r="B260" s="263"/>
      <c r="C260" s="683" t="s">
        <v>686</v>
      </c>
      <c r="D260" s="684">
        <v>0.5</v>
      </c>
      <c r="E260" s="685" t="s">
        <v>27</v>
      </c>
      <c r="F260" s="686">
        <v>1</v>
      </c>
      <c r="G260" s="685" t="s">
        <v>27</v>
      </c>
      <c r="H260" s="670">
        <f>'MINI SSR 2024-25'!$H$16</f>
        <v>790</v>
      </c>
      <c r="I260" s="682">
        <f t="shared" ref="I260:I262" si="30">ROUND(((D260*H260)/F260),2)</f>
        <v>395</v>
      </c>
    </row>
    <row r="261" spans="1:9">
      <c r="A261" s="674"/>
      <c r="B261" s="263"/>
      <c r="C261" s="683" t="s">
        <v>220</v>
      </c>
      <c r="D261" s="684">
        <v>0.5</v>
      </c>
      <c r="E261" s="685" t="s">
        <v>27</v>
      </c>
      <c r="F261" s="686">
        <v>1</v>
      </c>
      <c r="G261" s="685" t="s">
        <v>27</v>
      </c>
      <c r="H261" s="670">
        <f>'MINI SSR 2024-25'!$H$17</f>
        <v>640</v>
      </c>
      <c r="I261" s="682">
        <f t="shared" si="30"/>
        <v>320</v>
      </c>
    </row>
    <row r="262" spans="1:9">
      <c r="A262" s="674"/>
      <c r="B262" s="263"/>
      <c r="C262" s="683" t="s">
        <v>687</v>
      </c>
      <c r="D262" s="684">
        <v>1</v>
      </c>
      <c r="E262" s="685" t="s">
        <v>27</v>
      </c>
      <c r="F262" s="686">
        <v>1</v>
      </c>
      <c r="G262" s="685" t="s">
        <v>27</v>
      </c>
      <c r="H262" s="670">
        <f>'MINI SSR 2024-25'!$H$5</f>
        <v>595</v>
      </c>
      <c r="I262" s="682">
        <f t="shared" si="30"/>
        <v>595</v>
      </c>
    </row>
    <row r="263" spans="1:9">
      <c r="A263" s="674"/>
      <c r="B263" s="263"/>
      <c r="C263" s="255" t="s">
        <v>318</v>
      </c>
      <c r="D263" s="684"/>
      <c r="E263" s="685"/>
      <c r="F263" s="686"/>
      <c r="G263" s="685"/>
      <c r="H263" s="670"/>
      <c r="I263" s="736"/>
    </row>
    <row r="264" spans="1:9" ht="22.5">
      <c r="A264" s="674"/>
      <c r="B264" s="674"/>
      <c r="C264" s="255" t="s">
        <v>688</v>
      </c>
      <c r="D264" s="799">
        <v>1</v>
      </c>
      <c r="E264" s="676" t="s">
        <v>316</v>
      </c>
      <c r="F264" s="799">
        <v>1</v>
      </c>
      <c r="G264" s="676" t="s">
        <v>114</v>
      </c>
      <c r="H264" s="735">
        <f>'MINI SSR 2024-25'!G122</f>
        <v>1105</v>
      </c>
      <c r="I264" s="682">
        <f t="shared" ref="I264:I266" si="31">ROUND(((D264*H264)/F264),2)</f>
        <v>1105</v>
      </c>
    </row>
    <row r="265" spans="1:9">
      <c r="A265" s="674"/>
      <c r="B265" s="263"/>
      <c r="C265" s="257" t="s">
        <v>689</v>
      </c>
      <c r="D265" s="737">
        <v>1</v>
      </c>
      <c r="E265" s="688" t="s">
        <v>316</v>
      </c>
      <c r="F265" s="686">
        <v>1</v>
      </c>
      <c r="G265" s="688" t="s">
        <v>114</v>
      </c>
      <c r="H265" s="735">
        <f>'MINI SSR 2024-25'!G123</f>
        <v>432</v>
      </c>
      <c r="I265" s="682">
        <f t="shared" si="31"/>
        <v>432</v>
      </c>
    </row>
    <row r="266" spans="1:9">
      <c r="A266" s="674"/>
      <c r="B266" s="263"/>
      <c r="C266" s="257" t="s">
        <v>690</v>
      </c>
      <c r="D266" s="737">
        <v>4</v>
      </c>
      <c r="E266" s="688" t="s">
        <v>316</v>
      </c>
      <c r="F266" s="686">
        <v>1</v>
      </c>
      <c r="G266" s="688" t="s">
        <v>114</v>
      </c>
      <c r="H266" s="735">
        <f>'MINI SSR 2024-25'!G124</f>
        <v>228</v>
      </c>
      <c r="I266" s="682">
        <f t="shared" si="31"/>
        <v>912</v>
      </c>
    </row>
    <row r="267" spans="1:9">
      <c r="A267" s="674"/>
      <c r="B267" s="263"/>
      <c r="C267" s="695" t="s">
        <v>2194</v>
      </c>
      <c r="D267" s="684"/>
      <c r="E267" s="685"/>
      <c r="F267" s="686"/>
      <c r="G267" s="685"/>
      <c r="H267" s="697"/>
      <c r="I267" s="729">
        <f>ROUND(SUM(I260:I266)*'DATA 2024-25'!$C$3,2)</f>
        <v>511.79</v>
      </c>
    </row>
    <row r="268" spans="1:9">
      <c r="A268" s="674"/>
      <c r="B268" s="800"/>
      <c r="C268" s="677" t="s">
        <v>379</v>
      </c>
      <c r="D268" s="801"/>
      <c r="E268" s="802"/>
      <c r="F268" s="689"/>
      <c r="G268" s="741"/>
      <c r="H268" s="742"/>
      <c r="I268" s="803">
        <f>SUM(I260:I267)</f>
        <v>4270.79</v>
      </c>
    </row>
    <row r="269" spans="1:9" ht="45">
      <c r="A269" s="735"/>
      <c r="B269" s="674">
        <v>16</v>
      </c>
      <c r="C269" s="255" t="s">
        <v>885</v>
      </c>
      <c r="D269" s="675"/>
      <c r="E269" s="676"/>
      <c r="F269" s="675"/>
      <c r="G269" s="676"/>
      <c r="H269" s="255"/>
      <c r="I269" s="255"/>
    </row>
    <row r="270" spans="1:9">
      <c r="A270" s="674"/>
      <c r="B270" s="263"/>
      <c r="C270" s="255" t="s">
        <v>318</v>
      </c>
      <c r="D270" s="684"/>
      <c r="E270" s="685"/>
      <c r="F270" s="686"/>
      <c r="G270" s="685"/>
      <c r="H270" s="670"/>
      <c r="I270" s="736"/>
    </row>
    <row r="271" spans="1:9">
      <c r="A271" s="674"/>
      <c r="B271" s="674"/>
      <c r="C271" s="255" t="s">
        <v>886</v>
      </c>
      <c r="D271" s="799">
        <v>2</v>
      </c>
      <c r="E271" s="676" t="s">
        <v>316</v>
      </c>
      <c r="F271" s="799">
        <v>1</v>
      </c>
      <c r="G271" s="676" t="s">
        <v>114</v>
      </c>
      <c r="H271" s="735">
        <f>'MINI SSR 2024-25'!G125</f>
        <v>140</v>
      </c>
      <c r="I271" s="682">
        <f t="shared" ref="I271:I273" si="32">ROUND(((D271*H271)/F271),2)</f>
        <v>280</v>
      </c>
    </row>
    <row r="272" spans="1:9">
      <c r="A272" s="674"/>
      <c r="B272" s="263"/>
      <c r="C272" s="257" t="s">
        <v>2106</v>
      </c>
      <c r="D272" s="737">
        <v>4</v>
      </c>
      <c r="E272" s="688" t="s">
        <v>271</v>
      </c>
      <c r="F272" s="686">
        <v>100</v>
      </c>
      <c r="G272" s="688" t="s">
        <v>271</v>
      </c>
      <c r="H272" s="670">
        <f>'MINI SSR 2024-25'!C131</f>
        <v>1816</v>
      </c>
      <c r="I272" s="682">
        <f t="shared" si="32"/>
        <v>72.64</v>
      </c>
    </row>
    <row r="273" spans="1:9">
      <c r="A273" s="674"/>
      <c r="B273" s="263"/>
      <c r="C273" s="257" t="s">
        <v>887</v>
      </c>
      <c r="D273" s="737">
        <v>1</v>
      </c>
      <c r="E273" s="688" t="s">
        <v>316</v>
      </c>
      <c r="F273" s="686">
        <v>1</v>
      </c>
      <c r="G273" s="688" t="s">
        <v>114</v>
      </c>
      <c r="H273" s="670">
        <f>'MINI SSR 2024-25'!G127</f>
        <v>246</v>
      </c>
      <c r="I273" s="682">
        <f t="shared" si="32"/>
        <v>246</v>
      </c>
    </row>
    <row r="274" spans="1:9">
      <c r="A274" s="674"/>
      <c r="B274" s="263"/>
      <c r="C274" s="255" t="s">
        <v>399</v>
      </c>
      <c r="D274" s="684"/>
      <c r="E274" s="688"/>
      <c r="F274" s="686"/>
      <c r="G274" s="688"/>
      <c r="H274" s="670"/>
      <c r="I274" s="736"/>
    </row>
    <row r="275" spans="1:9">
      <c r="A275" s="674"/>
      <c r="B275" s="263"/>
      <c r="C275" s="683" t="s">
        <v>686</v>
      </c>
      <c r="D275" s="684">
        <v>0.2</v>
      </c>
      <c r="E275" s="685" t="s">
        <v>27</v>
      </c>
      <c r="F275" s="686">
        <v>1</v>
      </c>
      <c r="G275" s="685" t="s">
        <v>27</v>
      </c>
      <c r="H275" s="670">
        <f>'MINI SSR 2024-25'!$H$16</f>
        <v>790</v>
      </c>
      <c r="I275" s="682">
        <f t="shared" ref="I275:I277" si="33">ROUND(((D275*H275)/F275),2)</f>
        <v>158</v>
      </c>
    </row>
    <row r="276" spans="1:9">
      <c r="A276" s="674"/>
      <c r="B276" s="263"/>
      <c r="C276" s="683" t="s">
        <v>220</v>
      </c>
      <c r="D276" s="684">
        <v>0.2</v>
      </c>
      <c r="E276" s="685" t="s">
        <v>27</v>
      </c>
      <c r="F276" s="686">
        <v>1</v>
      </c>
      <c r="G276" s="685" t="s">
        <v>27</v>
      </c>
      <c r="H276" s="670">
        <f>'MINI SSR 2024-25'!$H$17</f>
        <v>640</v>
      </c>
      <c r="I276" s="682">
        <f t="shared" si="33"/>
        <v>128</v>
      </c>
    </row>
    <row r="277" spans="1:9">
      <c r="A277" s="674"/>
      <c r="B277" s="263"/>
      <c r="C277" s="683" t="s">
        <v>687</v>
      </c>
      <c r="D277" s="684">
        <v>0.2</v>
      </c>
      <c r="E277" s="685" t="s">
        <v>27</v>
      </c>
      <c r="F277" s="686">
        <v>1</v>
      </c>
      <c r="G277" s="685" t="s">
        <v>27</v>
      </c>
      <c r="H277" s="670">
        <f>'MINI SSR 2024-25'!$H$5</f>
        <v>595</v>
      </c>
      <c r="I277" s="682">
        <f t="shared" si="33"/>
        <v>119</v>
      </c>
    </row>
    <row r="278" spans="1:9">
      <c r="A278" s="674"/>
      <c r="B278" s="263"/>
      <c r="C278" s="695" t="s">
        <v>2194</v>
      </c>
      <c r="D278" s="684"/>
      <c r="E278" s="685"/>
      <c r="F278" s="686"/>
      <c r="G278" s="685"/>
      <c r="H278" s="697"/>
      <c r="I278" s="729">
        <f>ROUND(SUM(I271:I277)*'DATA 2024-25'!$C$3,2)</f>
        <v>136.65</v>
      </c>
    </row>
    <row r="279" spans="1:9">
      <c r="A279" s="674"/>
      <c r="B279" s="800"/>
      <c r="C279" s="677" t="s">
        <v>379</v>
      </c>
      <c r="D279" s="801"/>
      <c r="E279" s="802"/>
      <c r="F279" s="689"/>
      <c r="G279" s="741"/>
      <c r="H279" s="742"/>
      <c r="I279" s="803">
        <f>SUM(I271:I278)</f>
        <v>1140.29</v>
      </c>
    </row>
    <row r="280" spans="1:9" ht="78.75">
      <c r="A280" s="743" t="s">
        <v>717</v>
      </c>
      <c r="B280" s="804">
        <v>17</v>
      </c>
      <c r="C280" s="725" t="s">
        <v>403</v>
      </c>
      <c r="D280" s="745"/>
      <c r="E280" s="746"/>
      <c r="F280" s="745"/>
      <c r="G280" s="746"/>
      <c r="H280" s="725"/>
      <c r="I280" s="725"/>
    </row>
    <row r="281" spans="1:9">
      <c r="A281" s="263"/>
      <c r="B281" s="263"/>
      <c r="C281" s="771" t="s">
        <v>404</v>
      </c>
      <c r="D281" s="805"/>
      <c r="E281" s="806"/>
      <c r="F281" s="686"/>
      <c r="G281" s="806"/>
      <c r="H281" s="670"/>
      <c r="I281" s="736"/>
    </row>
    <row r="282" spans="1:9">
      <c r="A282" s="263"/>
      <c r="B282" s="263"/>
      <c r="C282" s="683" t="s">
        <v>836</v>
      </c>
      <c r="D282" s="684">
        <v>0.5</v>
      </c>
      <c r="E282" s="688" t="s">
        <v>316</v>
      </c>
      <c r="F282" s="686">
        <v>1</v>
      </c>
      <c r="G282" s="688" t="s">
        <v>114</v>
      </c>
      <c r="H282" s="670">
        <f>'MINI SSR 2024-25'!$H$17</f>
        <v>640</v>
      </c>
      <c r="I282" s="682">
        <f t="shared" ref="I282:I283" si="34">ROUND(((D282*H282)/F282),2)</f>
        <v>320</v>
      </c>
    </row>
    <row r="283" spans="1:9">
      <c r="A283" s="263"/>
      <c r="B283" s="263"/>
      <c r="C283" s="683" t="s">
        <v>1261</v>
      </c>
      <c r="D283" s="684">
        <v>0.5</v>
      </c>
      <c r="E283" s="685" t="s">
        <v>27</v>
      </c>
      <c r="F283" s="686">
        <v>1</v>
      </c>
      <c r="G283" s="685" t="s">
        <v>27</v>
      </c>
      <c r="H283" s="670">
        <f>'MINI SSR 2024-25'!$H$5</f>
        <v>595</v>
      </c>
      <c r="I283" s="682">
        <f t="shared" si="34"/>
        <v>297.5</v>
      </c>
    </row>
    <row r="284" spans="1:9">
      <c r="A284" s="263"/>
      <c r="B284" s="263"/>
      <c r="C284" s="255" t="s">
        <v>106</v>
      </c>
      <c r="D284" s="684"/>
      <c r="E284" s="688"/>
      <c r="F284" s="686"/>
      <c r="G284" s="688"/>
      <c r="H284" s="670"/>
      <c r="I284" s="736"/>
    </row>
    <row r="285" spans="1:9">
      <c r="A285" s="263"/>
      <c r="B285" s="263"/>
      <c r="C285" s="683" t="s">
        <v>718</v>
      </c>
      <c r="D285" s="684">
        <v>2.5</v>
      </c>
      <c r="E285" s="806" t="s">
        <v>376</v>
      </c>
      <c r="F285" s="686">
        <v>1</v>
      </c>
      <c r="G285" s="806" t="s">
        <v>376</v>
      </c>
      <c r="H285" s="670">
        <f>'MINI SSR 2024-25'!G128</f>
        <v>455</v>
      </c>
      <c r="I285" s="682">
        <f t="shared" ref="I285:I295" si="35">ROUND(((D285*H285)/F285),2)</f>
        <v>1137.5</v>
      </c>
    </row>
    <row r="286" spans="1:9">
      <c r="A286" s="263"/>
      <c r="B286" s="263"/>
      <c r="C286" s="255" t="s">
        <v>719</v>
      </c>
      <c r="D286" s="684">
        <v>0.24</v>
      </c>
      <c r="E286" s="806" t="s">
        <v>139</v>
      </c>
      <c r="F286" s="686">
        <v>1</v>
      </c>
      <c r="G286" s="806" t="s">
        <v>4</v>
      </c>
      <c r="H286" s="670">
        <f>'MINI SSR 2024-25'!G129</f>
        <v>94</v>
      </c>
      <c r="I286" s="682">
        <f t="shared" si="35"/>
        <v>22.56</v>
      </c>
    </row>
    <row r="287" spans="1:9">
      <c r="A287" s="263"/>
      <c r="B287" s="263"/>
      <c r="C287" s="255" t="s">
        <v>720</v>
      </c>
      <c r="D287" s="684">
        <v>0.83</v>
      </c>
      <c r="E287" s="806" t="s">
        <v>139</v>
      </c>
      <c r="F287" s="686">
        <v>1</v>
      </c>
      <c r="G287" s="806" t="s">
        <v>90</v>
      </c>
      <c r="H287" s="670">
        <f>'MINI SSR 2024-25'!G130</f>
        <v>94</v>
      </c>
      <c r="I287" s="682">
        <f t="shared" si="35"/>
        <v>78.02</v>
      </c>
    </row>
    <row r="288" spans="1:9">
      <c r="A288" s="263"/>
      <c r="B288" s="263"/>
      <c r="C288" s="683" t="s">
        <v>721</v>
      </c>
      <c r="D288" s="684">
        <v>16</v>
      </c>
      <c r="E288" s="806" t="s">
        <v>316</v>
      </c>
      <c r="F288" s="686">
        <v>1</v>
      </c>
      <c r="G288" s="688" t="s">
        <v>114</v>
      </c>
      <c r="H288" s="670">
        <f>'MINI SSR 2024-25'!G131</f>
        <v>9</v>
      </c>
      <c r="I288" s="682">
        <f t="shared" si="35"/>
        <v>144</v>
      </c>
    </row>
    <row r="289" spans="1:9">
      <c r="A289" s="263"/>
      <c r="B289" s="263"/>
      <c r="C289" s="683" t="s">
        <v>722</v>
      </c>
      <c r="D289" s="684">
        <v>2</v>
      </c>
      <c r="E289" s="806" t="s">
        <v>405</v>
      </c>
      <c r="F289" s="686">
        <v>1</v>
      </c>
      <c r="G289" s="806" t="s">
        <v>406</v>
      </c>
      <c r="H289" s="670">
        <f>'MINI SSR 2024-25'!G132</f>
        <v>15</v>
      </c>
      <c r="I289" s="682">
        <f t="shared" si="35"/>
        <v>30</v>
      </c>
    </row>
    <row r="290" spans="1:9">
      <c r="A290" s="263"/>
      <c r="B290" s="263"/>
      <c r="C290" s="683" t="s">
        <v>723</v>
      </c>
      <c r="D290" s="684">
        <v>1</v>
      </c>
      <c r="E290" s="688" t="s">
        <v>114</v>
      </c>
      <c r="F290" s="686">
        <v>1</v>
      </c>
      <c r="G290" s="688" t="s">
        <v>114</v>
      </c>
      <c r="H290" s="670">
        <f>'MINI SSR 2024-25'!G133</f>
        <v>390</v>
      </c>
      <c r="I290" s="682">
        <f t="shared" si="35"/>
        <v>390</v>
      </c>
    </row>
    <row r="291" spans="1:9">
      <c r="A291" s="263"/>
      <c r="B291" s="263"/>
      <c r="C291" s="683" t="s">
        <v>724</v>
      </c>
      <c r="D291" s="684">
        <v>1</v>
      </c>
      <c r="E291" s="806" t="s">
        <v>114</v>
      </c>
      <c r="F291" s="686">
        <v>1</v>
      </c>
      <c r="G291" s="806" t="s">
        <v>114</v>
      </c>
      <c r="H291" s="670">
        <f>'MINI SSR 2024-25'!G134</f>
        <v>250</v>
      </c>
      <c r="I291" s="682">
        <f t="shared" si="35"/>
        <v>250</v>
      </c>
    </row>
    <row r="292" spans="1:9">
      <c r="A292" s="263"/>
      <c r="B292" s="263"/>
      <c r="C292" s="683" t="s">
        <v>725</v>
      </c>
      <c r="D292" s="684">
        <v>40</v>
      </c>
      <c r="E292" s="806" t="s">
        <v>4</v>
      </c>
      <c r="F292" s="686">
        <v>1</v>
      </c>
      <c r="G292" s="806" t="s">
        <v>4</v>
      </c>
      <c r="H292" s="670">
        <f>'MINI SSR 2024-25'!G135</f>
        <v>26</v>
      </c>
      <c r="I292" s="682">
        <f t="shared" si="35"/>
        <v>1040</v>
      </c>
    </row>
    <row r="293" spans="1:9">
      <c r="A293" s="263"/>
      <c r="B293" s="263"/>
      <c r="C293" s="683" t="s">
        <v>726</v>
      </c>
      <c r="D293" s="684">
        <v>20</v>
      </c>
      <c r="E293" s="806" t="s">
        <v>4</v>
      </c>
      <c r="F293" s="686">
        <v>1</v>
      </c>
      <c r="G293" s="806" t="s">
        <v>4</v>
      </c>
      <c r="H293" s="670">
        <f>'MINI SSR 2024-25'!G136</f>
        <v>20</v>
      </c>
      <c r="I293" s="682">
        <f t="shared" si="35"/>
        <v>400</v>
      </c>
    </row>
    <row r="294" spans="1:9" ht="22.5">
      <c r="A294" s="263"/>
      <c r="B294" s="263"/>
      <c r="C294" s="255" t="s">
        <v>727</v>
      </c>
      <c r="D294" s="684">
        <v>0.65</v>
      </c>
      <c r="E294" s="688" t="s">
        <v>35</v>
      </c>
      <c r="F294" s="686">
        <v>1</v>
      </c>
      <c r="G294" s="688" t="s">
        <v>35</v>
      </c>
      <c r="H294" s="670">
        <f>'MINI SSR 2024-25'!G137</f>
        <v>348</v>
      </c>
      <c r="I294" s="682">
        <f t="shared" si="35"/>
        <v>226.2</v>
      </c>
    </row>
    <row r="295" spans="1:9" ht="22.5">
      <c r="A295" s="263"/>
      <c r="B295" s="263"/>
      <c r="C295" s="255" t="s">
        <v>728</v>
      </c>
      <c r="D295" s="684">
        <v>0.65</v>
      </c>
      <c r="E295" s="688" t="s">
        <v>35</v>
      </c>
      <c r="F295" s="686">
        <v>1</v>
      </c>
      <c r="G295" s="688" t="s">
        <v>35</v>
      </c>
      <c r="H295" s="670">
        <f>'MINI SSR 2024-25'!G138</f>
        <v>348</v>
      </c>
      <c r="I295" s="682">
        <f t="shared" si="35"/>
        <v>226.2</v>
      </c>
    </row>
    <row r="296" spans="1:9" ht="22.5">
      <c r="A296" s="263"/>
      <c r="B296" s="263"/>
      <c r="C296" s="255" t="s">
        <v>407</v>
      </c>
      <c r="D296" s="807">
        <v>0.25</v>
      </c>
      <c r="E296" s="806"/>
      <c r="F296" s="686"/>
      <c r="G296" s="806"/>
      <c r="H296" s="670">
        <f>I294+I295</f>
        <v>452.4</v>
      </c>
      <c r="I296" s="736">
        <f>SUM(H296*D296)</f>
        <v>113.1</v>
      </c>
    </row>
    <row r="297" spans="1:9">
      <c r="A297" s="674"/>
      <c r="B297" s="263"/>
      <c r="C297" s="695" t="s">
        <v>2194</v>
      </c>
      <c r="D297" s="684"/>
      <c r="E297" s="685"/>
      <c r="F297" s="686"/>
      <c r="G297" s="685"/>
      <c r="H297" s="697"/>
      <c r="I297" s="729">
        <f>ROUND(SUM(I282:I296)*'DATA 2024-25'!$C$3,2)</f>
        <v>636.51</v>
      </c>
    </row>
    <row r="298" spans="1:9">
      <c r="A298" s="263"/>
      <c r="B298" s="263"/>
      <c r="C298" s="255" t="s">
        <v>395</v>
      </c>
      <c r="D298" s="684"/>
      <c r="E298" s="688"/>
      <c r="F298" s="686"/>
      <c r="G298" s="688"/>
      <c r="H298" s="670"/>
      <c r="I298" s="736">
        <f>SUM(I282:I297)</f>
        <v>5311.59</v>
      </c>
    </row>
    <row r="299" spans="1:9" ht="106.5" hidden="1" customHeight="1">
      <c r="A299" s="735"/>
      <c r="B299" s="674">
        <v>15</v>
      </c>
      <c r="C299" s="255" t="s">
        <v>1765</v>
      </c>
      <c r="D299" s="675"/>
      <c r="E299" s="676"/>
      <c r="F299" s="675"/>
      <c r="G299" s="676"/>
      <c r="H299" s="255"/>
      <c r="I299" s="255"/>
    </row>
    <row r="300" spans="1:9" hidden="1">
      <c r="A300" s="674"/>
      <c r="B300" s="263"/>
      <c r="C300" s="683" t="s">
        <v>896</v>
      </c>
      <c r="D300" s="684">
        <v>1</v>
      </c>
      <c r="E300" s="685" t="s">
        <v>114</v>
      </c>
      <c r="F300" s="686">
        <v>1</v>
      </c>
      <c r="G300" s="685" t="s">
        <v>114</v>
      </c>
      <c r="H300" s="670">
        <f>'MINI SSR 2024-25'!G139</f>
        <v>4543</v>
      </c>
      <c r="I300" s="682">
        <f>ROUND(((D300*H300)/F300),2)</f>
        <v>4543</v>
      </c>
    </row>
    <row r="301" spans="1:9" hidden="1">
      <c r="A301" s="674"/>
      <c r="B301" s="263"/>
      <c r="C301" s="255" t="s">
        <v>395</v>
      </c>
      <c r="D301" s="684"/>
      <c r="E301" s="676"/>
      <c r="F301" s="686"/>
      <c r="G301" s="688"/>
      <c r="H301" s="670"/>
      <c r="I301" s="736">
        <f>SUM(I300:I300)</f>
        <v>4543</v>
      </c>
    </row>
    <row r="305" spans="3:7">
      <c r="C305" s="669" t="str">
        <f>'lead 24-25'!H32</f>
        <v>Deputy Executive Engineer</v>
      </c>
      <c r="G305" s="669" t="str">
        <f>'lead 24-25'!K32</f>
        <v>Assistant  Engineer</v>
      </c>
    </row>
    <row r="306" spans="3:7">
      <c r="C306" s="669" t="str">
        <f>'lead 24-25'!H33</f>
        <v>PRI Sub Division</v>
      </c>
      <c r="G306" s="669" t="str">
        <f>'lead 24-25'!K33</f>
        <v>Mandal Praja parishad</v>
      </c>
    </row>
    <row r="307" spans="3:7">
      <c r="C307" s="669" t="str">
        <f>'lead 24-25'!H34</f>
        <v>Kanigiri</v>
      </c>
      <c r="G307" s="669" t="str">
        <f>'lead 24-25'!K34</f>
        <v>P.C.Palli</v>
      </c>
    </row>
  </sheetData>
  <autoFilter ref="A3:I301" xr:uid="{00000000-0009-0000-0000-000008000000}">
    <filterColumn colId="1">
      <colorFilter dxfId="1"/>
    </filterColumn>
    <filterColumn colId="3" showButton="0"/>
    <filterColumn colId="5" showButton="0"/>
  </autoFilter>
  <mergeCells count="5">
    <mergeCell ref="A1:I1"/>
    <mergeCell ref="D2:E2"/>
    <mergeCell ref="F2:G2"/>
    <mergeCell ref="D3:E3"/>
    <mergeCell ref="F3:G3"/>
  </mergeCells>
  <pageMargins left="0.7" right="0.4" top="0.49" bottom="0.27" header="0.3" footer="0.3"/>
  <pageSetup paperSize="9" scale="93"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tabColor rgb="FFFF0000"/>
  </sheetPr>
  <dimension ref="A1:L287"/>
  <sheetViews>
    <sheetView view="pageBreakPreview" topLeftCell="A256" zoomScaleSheetLayoutView="100" workbookViewId="0">
      <selection activeCell="H279" sqref="H279"/>
    </sheetView>
  </sheetViews>
  <sheetFormatPr defaultRowHeight="12.75"/>
  <cols>
    <col min="1" max="1" width="4.5703125" style="10" customWidth="1"/>
    <col min="2" max="2" width="10.42578125" style="10" customWidth="1"/>
    <col min="3" max="3" width="35.7109375" style="653" customWidth="1"/>
    <col min="4" max="4" width="6.5703125" style="20" bestFit="1" customWidth="1"/>
    <col min="5" max="5" width="6.28515625" style="20" customWidth="1"/>
    <col min="6" max="6" width="9.5703125" style="20" bestFit="1" customWidth="1"/>
    <col min="7" max="7" width="9.5703125" style="20" customWidth="1"/>
    <col min="8" max="8" width="10.5703125" style="10" customWidth="1"/>
    <col min="9" max="9" width="7.5703125" style="21" customWidth="1"/>
    <col min="10" max="10" width="3" style="10" bestFit="1" customWidth="1"/>
    <col min="11" max="11" width="9.140625" style="10"/>
    <col min="12" max="12" width="8.5703125" style="10" bestFit="1" customWidth="1"/>
    <col min="13" max="13" width="55.5703125" style="10" customWidth="1"/>
    <col min="14" max="14" width="10.42578125" style="10" customWidth="1"/>
    <col min="15" max="15" width="5.42578125" style="10" bestFit="1" customWidth="1"/>
    <col min="16" max="16384" width="9.140625" style="10"/>
  </cols>
  <sheetData>
    <row r="1" spans="1:12" ht="17.25">
      <c r="A1" s="951" t="s">
        <v>2296</v>
      </c>
      <c r="B1" s="951"/>
      <c r="C1" s="951"/>
      <c r="D1" s="951"/>
      <c r="E1" s="951"/>
      <c r="F1" s="951"/>
      <c r="G1" s="951"/>
      <c r="H1" s="951"/>
    </row>
    <row r="2" spans="1:12" ht="27.75" customHeight="1">
      <c r="A2" s="938" t="str">
        <f>'lead 24-25'!B2&amp;'lead 24-25'!C2</f>
        <v>Name of the Work: Completion of incomplete Anganwadi building  in Paletipalli village of P.C.Palli Mandal.</v>
      </c>
      <c r="B2" s="938"/>
      <c r="C2" s="938"/>
      <c r="D2" s="938"/>
      <c r="E2" s="938"/>
      <c r="F2" s="938"/>
      <c r="G2" s="938"/>
      <c r="H2" s="938"/>
    </row>
    <row r="3" spans="1:12">
      <c r="A3" s="144"/>
      <c r="E3" s="20" t="s">
        <v>262</v>
      </c>
      <c r="F3" s="165" t="str">
        <f>'lead 24-25'!K4</f>
        <v>15.00 Lakhs</v>
      </c>
      <c r="G3" s="165"/>
    </row>
    <row r="4" spans="1:12" ht="3" customHeight="1"/>
    <row r="5" spans="1:12" s="655" customFormat="1" ht="24" customHeight="1">
      <c r="A5" s="287" t="s">
        <v>23</v>
      </c>
      <c r="B5" s="287" t="s">
        <v>24</v>
      </c>
      <c r="C5" s="654" t="s">
        <v>25</v>
      </c>
      <c r="D5" s="287" t="s">
        <v>16</v>
      </c>
      <c r="E5" s="287" t="s">
        <v>6</v>
      </c>
      <c r="F5" s="287" t="s">
        <v>8</v>
      </c>
      <c r="G5" s="287" t="s">
        <v>10</v>
      </c>
      <c r="H5" s="287" t="s">
        <v>10</v>
      </c>
    </row>
    <row r="6" spans="1:12" ht="76.5" hidden="1">
      <c r="A6" s="81">
        <v>1</v>
      </c>
      <c r="B6" s="207"/>
      <c r="C6" s="215" t="s">
        <v>2221</v>
      </c>
      <c r="D6" s="128"/>
      <c r="E6" s="128"/>
      <c r="F6" s="128"/>
      <c r="G6" s="128"/>
      <c r="H6" s="204"/>
    </row>
    <row r="7" spans="1:12" s="21" customFormat="1" hidden="1">
      <c r="A7" s="81"/>
      <c r="B7" s="207"/>
      <c r="C7" s="215" t="s">
        <v>2</v>
      </c>
      <c r="D7" s="656">
        <v>2</v>
      </c>
      <c r="E7" s="657">
        <v>1.95</v>
      </c>
      <c r="F7" s="658">
        <v>0.1</v>
      </c>
      <c r="G7" s="658">
        <v>7.4999999999999997E-2</v>
      </c>
      <c r="H7" s="659">
        <f>ROUND(D7*E7*F7*G7,4)</f>
        <v>2.93E-2</v>
      </c>
      <c r="J7" s="10"/>
    </row>
    <row r="8" spans="1:12" s="21" customFormat="1" hidden="1">
      <c r="A8" s="81"/>
      <c r="B8" s="207"/>
      <c r="C8" s="215" t="s">
        <v>730</v>
      </c>
      <c r="D8" s="656">
        <v>2</v>
      </c>
      <c r="E8" s="657">
        <v>1.2</v>
      </c>
      <c r="F8" s="658">
        <v>0.1</v>
      </c>
      <c r="G8" s="658">
        <v>7.4999999999999997E-2</v>
      </c>
      <c r="H8" s="659">
        <f>ROUND(D8*E8*F8*G8,4)</f>
        <v>1.7999999999999999E-2</v>
      </c>
      <c r="J8" s="10"/>
    </row>
    <row r="9" spans="1:12" s="21" customFormat="1" hidden="1">
      <c r="A9" s="81"/>
      <c r="B9" s="207"/>
      <c r="C9" s="660"/>
      <c r="D9" s="128"/>
      <c r="E9" s="128"/>
      <c r="F9" s="128"/>
      <c r="G9" s="128"/>
      <c r="H9" s="661">
        <f>SUM(H7:H8)</f>
        <v>4.7299999999999995E-2</v>
      </c>
      <c r="J9" s="10"/>
    </row>
    <row r="10" spans="1:12" s="21" customFormat="1" hidden="1">
      <c r="A10" s="81"/>
      <c r="B10" s="207" t="s">
        <v>1772</v>
      </c>
      <c r="C10" s="215" t="s">
        <v>2142</v>
      </c>
      <c r="D10" s="128"/>
      <c r="E10" s="128" t="s">
        <v>35</v>
      </c>
      <c r="F10" s="206">
        <f>H9</f>
        <v>4.7299999999999995E-2</v>
      </c>
      <c r="G10" s="208">
        <f>'MINI SSR 2024-25'!$C$144</f>
        <v>53228</v>
      </c>
      <c r="H10" s="125">
        <f t="shared" ref="H10:H11" si="0">ROUND(F10*G10,2)</f>
        <v>2517.6799999999998</v>
      </c>
      <c r="J10" s="10"/>
    </row>
    <row r="11" spans="1:12" hidden="1">
      <c r="A11" s="81"/>
      <c r="B11" s="128" t="s">
        <v>1180</v>
      </c>
      <c r="C11" s="215" t="s">
        <v>1179</v>
      </c>
      <c r="D11" s="128"/>
      <c r="E11" s="128" t="s">
        <v>11</v>
      </c>
      <c r="F11" s="134">
        <v>6</v>
      </c>
      <c r="G11" s="208">
        <f>'MINI SSR 2024-25'!$G$152</f>
        <v>41</v>
      </c>
      <c r="H11" s="125">
        <f t="shared" si="0"/>
        <v>246</v>
      </c>
      <c r="I11" s="10"/>
    </row>
    <row r="12" spans="1:12" hidden="1">
      <c r="A12" s="128"/>
      <c r="B12" s="128"/>
      <c r="C12" s="660" t="s">
        <v>68</v>
      </c>
      <c r="D12" s="128"/>
      <c r="E12" s="128"/>
      <c r="F12" s="208"/>
      <c r="G12" s="210"/>
      <c r="H12" s="125"/>
    </row>
    <row r="13" spans="1:12" hidden="1">
      <c r="A13" s="128"/>
      <c r="B13" s="128" t="s">
        <v>1775</v>
      </c>
      <c r="C13" s="215" t="s">
        <v>2220</v>
      </c>
      <c r="D13" s="128"/>
      <c r="E13" s="128" t="s">
        <v>102</v>
      </c>
      <c r="F13" s="208">
        <f>ROUND(1.2*2.1,2)</f>
        <v>2.52</v>
      </c>
      <c r="G13" s="208">
        <f>'MINI SSR 2024-25'!$C$150</f>
        <v>1983</v>
      </c>
      <c r="H13" s="125">
        <f>ROUND(F13*G13,2)*1/3</f>
        <v>1665.72</v>
      </c>
      <c r="L13" s="19"/>
    </row>
    <row r="14" spans="1:12" hidden="1">
      <c r="A14" s="128"/>
      <c r="B14" s="128"/>
      <c r="C14" s="473" t="s">
        <v>2194</v>
      </c>
      <c r="D14" s="128"/>
      <c r="E14" s="208"/>
      <c r="F14" s="208"/>
      <c r="G14" s="208"/>
      <c r="H14" s="204">
        <v>0</v>
      </c>
      <c r="L14" s="19"/>
    </row>
    <row r="15" spans="1:12" ht="13.5" hidden="1" thickBot="1">
      <c r="A15" s="128"/>
      <c r="B15" s="128"/>
      <c r="C15" s="660"/>
      <c r="D15" s="128"/>
      <c r="E15" s="128"/>
      <c r="F15" s="128"/>
      <c r="G15" s="128"/>
      <c r="H15" s="209">
        <f>SUM(H10:H14)</f>
        <v>4429.3999999999996</v>
      </c>
      <c r="L15" s="205"/>
    </row>
    <row r="16" spans="1:12" ht="102" hidden="1">
      <c r="A16" s="81">
        <v>1</v>
      </c>
      <c r="B16" s="207"/>
      <c r="C16" s="215" t="s">
        <v>2217</v>
      </c>
      <c r="D16" s="128"/>
      <c r="E16" s="128"/>
      <c r="F16" s="128"/>
      <c r="G16" s="128"/>
      <c r="H16" s="204"/>
    </row>
    <row r="17" spans="1:12" s="21" customFormat="1" hidden="1">
      <c r="A17" s="81"/>
      <c r="B17" s="207"/>
      <c r="C17" s="660" t="s">
        <v>2141</v>
      </c>
      <c r="D17" s="656">
        <v>2</v>
      </c>
      <c r="E17" s="657">
        <f>2.1-0.15</f>
        <v>1.9500000000000002</v>
      </c>
      <c r="F17" s="658">
        <f>ROUND(((1.2-0.15+0.02))/2,2)</f>
        <v>0.54</v>
      </c>
      <c r="G17" s="658">
        <v>0.03</v>
      </c>
      <c r="H17" s="659">
        <f>ROUND(D17*E17*F17*G17,4)</f>
        <v>6.3200000000000006E-2</v>
      </c>
      <c r="J17" s="10"/>
    </row>
    <row r="18" spans="1:12" s="21" customFormat="1" hidden="1">
      <c r="A18" s="81"/>
      <c r="B18" s="207"/>
      <c r="C18" s="660"/>
      <c r="D18" s="128"/>
      <c r="E18" s="128"/>
      <c r="F18" s="128"/>
      <c r="G18" s="128"/>
      <c r="H18" s="661">
        <f>SUM(H17)</f>
        <v>6.3200000000000006E-2</v>
      </c>
      <c r="J18" s="10"/>
    </row>
    <row r="19" spans="1:12" s="21" customFormat="1" hidden="1">
      <c r="A19" s="81"/>
      <c r="B19" s="207" t="s">
        <v>1773</v>
      </c>
      <c r="C19" s="215" t="s">
        <v>2143</v>
      </c>
      <c r="D19" s="128"/>
      <c r="E19" s="128" t="s">
        <v>35</v>
      </c>
      <c r="F19" s="206">
        <f>H18</f>
        <v>6.3200000000000006E-2</v>
      </c>
      <c r="G19" s="208">
        <f>'MINI SSR 2024-25'!$C$145</f>
        <v>78753</v>
      </c>
      <c r="H19" s="125">
        <f t="shared" ref="H19:H24" si="1">ROUND(F19*G19,2)</f>
        <v>4977.1899999999996</v>
      </c>
      <c r="J19" s="10"/>
    </row>
    <row r="20" spans="1:12" s="21" customFormat="1" hidden="1">
      <c r="A20" s="81"/>
      <c r="B20" s="128" t="s">
        <v>1188</v>
      </c>
      <c r="C20" s="215" t="s">
        <v>1187</v>
      </c>
      <c r="D20" s="128"/>
      <c r="E20" s="128" t="s">
        <v>11</v>
      </c>
      <c r="F20" s="134">
        <v>2</v>
      </c>
      <c r="G20" s="208">
        <f>'MINI SSR 2024-25'!$G$143</f>
        <v>90</v>
      </c>
      <c r="H20" s="125">
        <f t="shared" si="1"/>
        <v>180</v>
      </c>
      <c r="J20" s="10"/>
    </row>
    <row r="21" spans="1:12" hidden="1">
      <c r="A21" s="81"/>
      <c r="B21" s="128" t="s">
        <v>1190</v>
      </c>
      <c r="C21" s="215" t="s">
        <v>1189</v>
      </c>
      <c r="D21" s="128"/>
      <c r="E21" s="128" t="s">
        <v>11</v>
      </c>
      <c r="F21" s="134">
        <v>3</v>
      </c>
      <c r="G21" s="208">
        <f>'MINI SSR 2024-25'!$G$146</f>
        <v>135</v>
      </c>
      <c r="H21" s="125">
        <f t="shared" si="1"/>
        <v>405</v>
      </c>
      <c r="I21" s="10"/>
    </row>
    <row r="22" spans="1:12" hidden="1">
      <c r="A22" s="81"/>
      <c r="B22" s="128" t="s">
        <v>1174</v>
      </c>
      <c r="C22" s="215" t="s">
        <v>1173</v>
      </c>
      <c r="D22" s="128"/>
      <c r="E22" s="128" t="s">
        <v>11</v>
      </c>
      <c r="F22" s="134">
        <v>2</v>
      </c>
      <c r="G22" s="208">
        <f>'MINI SSR 2024-25'!$G$147</f>
        <v>127</v>
      </c>
      <c r="H22" s="125">
        <f t="shared" si="1"/>
        <v>254</v>
      </c>
      <c r="I22" s="10"/>
    </row>
    <row r="23" spans="1:12" hidden="1">
      <c r="A23" s="81"/>
      <c r="B23" s="128" t="s">
        <v>1192</v>
      </c>
      <c r="C23" s="215" t="s">
        <v>1191</v>
      </c>
      <c r="D23" s="128"/>
      <c r="E23" s="128" t="s">
        <v>11</v>
      </c>
      <c r="F23" s="134">
        <v>2</v>
      </c>
      <c r="G23" s="208">
        <f>'MINI SSR 2024-25'!$G$149</f>
        <v>350</v>
      </c>
      <c r="H23" s="125">
        <f t="shared" si="1"/>
        <v>700</v>
      </c>
      <c r="I23" s="10"/>
    </row>
    <row r="24" spans="1:12" hidden="1">
      <c r="A24" s="81"/>
      <c r="B24" s="128" t="s">
        <v>1194</v>
      </c>
      <c r="C24" s="215" t="s">
        <v>1193</v>
      </c>
      <c r="D24" s="128"/>
      <c r="E24" s="128" t="s">
        <v>11</v>
      </c>
      <c r="F24" s="134">
        <v>1</v>
      </c>
      <c r="G24" s="208">
        <f>'MINI SSR 2024-25'!$G$151</f>
        <v>51</v>
      </c>
      <c r="H24" s="125">
        <f t="shared" si="1"/>
        <v>51</v>
      </c>
      <c r="I24" s="10"/>
    </row>
    <row r="25" spans="1:12" hidden="1">
      <c r="A25" s="128"/>
      <c r="B25" s="128"/>
      <c r="C25" s="660" t="s">
        <v>68</v>
      </c>
      <c r="D25" s="128"/>
      <c r="E25" s="128"/>
      <c r="F25" s="208"/>
      <c r="G25" s="210"/>
      <c r="H25" s="125"/>
    </row>
    <row r="26" spans="1:12" hidden="1">
      <c r="A26" s="128"/>
      <c r="B26" s="128" t="s">
        <v>1775</v>
      </c>
      <c r="C26" s="215" t="s">
        <v>2218</v>
      </c>
      <c r="D26" s="128"/>
      <c r="E26" s="128" t="s">
        <v>102</v>
      </c>
      <c r="F26" s="208">
        <f>ROUND(1.2*2.1,2)</f>
        <v>2.52</v>
      </c>
      <c r="G26" s="208">
        <f>'MINI SSR 2024-25'!$C$150</f>
        <v>1983</v>
      </c>
      <c r="H26" s="125">
        <f>ROUND(F26*G26,2)*2/3</f>
        <v>3331.44</v>
      </c>
      <c r="L26" s="19"/>
    </row>
    <row r="27" spans="1:12" hidden="1">
      <c r="A27" s="128"/>
      <c r="B27" s="128"/>
      <c r="C27" s="473" t="s">
        <v>2194</v>
      </c>
      <c r="D27" s="128"/>
      <c r="E27" s="208"/>
      <c r="F27" s="208"/>
      <c r="G27" s="208"/>
      <c r="H27" s="204">
        <v>0</v>
      </c>
      <c r="L27" s="19"/>
    </row>
    <row r="28" spans="1:12" ht="13.5" hidden="1" thickBot="1">
      <c r="A28" s="128"/>
      <c r="B28" s="128"/>
      <c r="C28" s="660"/>
      <c r="D28" s="128"/>
      <c r="E28" s="128"/>
      <c r="F28" s="128"/>
      <c r="G28" s="128"/>
      <c r="H28" s="209">
        <f>SUM(H19:H27)</f>
        <v>9898.6299999999992</v>
      </c>
      <c r="L28" s="205"/>
    </row>
    <row r="29" spans="1:12" ht="76.5" hidden="1">
      <c r="A29" s="81">
        <v>2</v>
      </c>
      <c r="B29" s="207"/>
      <c r="C29" s="215" t="s">
        <v>2222</v>
      </c>
      <c r="D29" s="128"/>
      <c r="E29" s="128"/>
      <c r="F29" s="128"/>
      <c r="G29" s="128"/>
      <c r="H29" s="204"/>
    </row>
    <row r="30" spans="1:12" s="21" customFormat="1" hidden="1">
      <c r="A30" s="81"/>
      <c r="B30" s="207"/>
      <c r="C30" s="215" t="s">
        <v>2</v>
      </c>
      <c r="D30" s="656">
        <v>2</v>
      </c>
      <c r="E30" s="657">
        <v>1.95</v>
      </c>
      <c r="F30" s="658">
        <v>0.1</v>
      </c>
      <c r="G30" s="658">
        <v>7.4999999999999997E-2</v>
      </c>
      <c r="H30" s="659">
        <f>ROUND(D30*E30*F30*G30,4)</f>
        <v>2.93E-2</v>
      </c>
      <c r="J30" s="10"/>
    </row>
    <row r="31" spans="1:12" s="21" customFormat="1" hidden="1">
      <c r="A31" s="81"/>
      <c r="B31" s="207"/>
      <c r="C31" s="215" t="s">
        <v>730</v>
      </c>
      <c r="D31" s="656">
        <v>2</v>
      </c>
      <c r="E31" s="657">
        <v>0.75</v>
      </c>
      <c r="F31" s="658">
        <v>0.1</v>
      </c>
      <c r="G31" s="658">
        <v>7.4999999999999997E-2</v>
      </c>
      <c r="H31" s="659">
        <f>ROUND(D31*E31*F31*G31,4)</f>
        <v>1.1299999999999999E-2</v>
      </c>
      <c r="J31" s="10"/>
    </row>
    <row r="32" spans="1:12" s="21" customFormat="1" hidden="1">
      <c r="A32" s="81"/>
      <c r="B32" s="207"/>
      <c r="C32" s="660"/>
      <c r="D32" s="128"/>
      <c r="E32" s="128"/>
      <c r="F32" s="128"/>
      <c r="G32" s="128"/>
      <c r="H32" s="661">
        <f>SUM(H30:H31)</f>
        <v>4.0599999999999997E-2</v>
      </c>
      <c r="J32" s="10"/>
    </row>
    <row r="33" spans="1:12" s="21" customFormat="1" hidden="1">
      <c r="A33" s="81"/>
      <c r="B33" s="207" t="s">
        <v>1772</v>
      </c>
      <c r="C33" s="215" t="s">
        <v>2142</v>
      </c>
      <c r="D33" s="128"/>
      <c r="E33" s="128" t="s">
        <v>35</v>
      </c>
      <c r="F33" s="206">
        <f>H32</f>
        <v>4.0599999999999997E-2</v>
      </c>
      <c r="G33" s="208">
        <f>'MINI SSR 2024-25'!$C$144</f>
        <v>53228</v>
      </c>
      <c r="H33" s="125">
        <f t="shared" ref="H33:H34" si="2">ROUND(F33*G33,2)</f>
        <v>2161.06</v>
      </c>
      <c r="J33" s="10"/>
    </row>
    <row r="34" spans="1:12" hidden="1">
      <c r="A34" s="81"/>
      <c r="B34" s="128" t="s">
        <v>1180</v>
      </c>
      <c r="C34" s="215" t="s">
        <v>1179</v>
      </c>
      <c r="D34" s="128"/>
      <c r="E34" s="128" t="s">
        <v>11</v>
      </c>
      <c r="F34" s="134">
        <v>6</v>
      </c>
      <c r="G34" s="208">
        <f>'MINI SSR 2024-25'!$G$152</f>
        <v>41</v>
      </c>
      <c r="H34" s="125">
        <f t="shared" si="2"/>
        <v>246</v>
      </c>
      <c r="I34" s="10"/>
    </row>
    <row r="35" spans="1:12" hidden="1">
      <c r="A35" s="128"/>
      <c r="B35" s="128"/>
      <c r="C35" s="660" t="s">
        <v>68</v>
      </c>
      <c r="D35" s="128"/>
      <c r="E35" s="128"/>
      <c r="F35" s="208"/>
      <c r="G35" s="210"/>
      <c r="H35" s="125"/>
    </row>
    <row r="36" spans="1:12" hidden="1">
      <c r="A36" s="128"/>
      <c r="B36" s="128" t="s">
        <v>1775</v>
      </c>
      <c r="C36" s="215" t="s">
        <v>2220</v>
      </c>
      <c r="D36" s="128"/>
      <c r="E36" s="128" t="s">
        <v>102</v>
      </c>
      <c r="F36" s="208">
        <f>ROUND(0.75*2.1,2)</f>
        <v>1.58</v>
      </c>
      <c r="G36" s="208">
        <f>'MINI SSR 2024-25'!$C$150</f>
        <v>1983</v>
      </c>
      <c r="H36" s="125">
        <f>ROUND(F36*G36,2)*1/3</f>
        <v>1044.3799999999999</v>
      </c>
      <c r="L36" s="19"/>
    </row>
    <row r="37" spans="1:12" hidden="1">
      <c r="A37" s="128"/>
      <c r="B37" s="128"/>
      <c r="C37" s="473" t="s">
        <v>2194</v>
      </c>
      <c r="D37" s="128"/>
      <c r="E37" s="208"/>
      <c r="F37" s="208"/>
      <c r="G37" s="208"/>
      <c r="H37" s="204">
        <v>0</v>
      </c>
      <c r="L37" s="19"/>
    </row>
    <row r="38" spans="1:12" ht="13.5" hidden="1" thickBot="1">
      <c r="A38" s="128"/>
      <c r="B38" s="128"/>
      <c r="C38" s="660"/>
      <c r="D38" s="128"/>
      <c r="E38" s="128"/>
      <c r="F38" s="128"/>
      <c r="G38" s="128"/>
      <c r="H38" s="209">
        <f>SUM(H33:H37)</f>
        <v>3451.4399999999996</v>
      </c>
      <c r="L38" s="205"/>
    </row>
    <row r="39" spans="1:12" ht="102" hidden="1">
      <c r="A39" s="81">
        <v>3</v>
      </c>
      <c r="B39" s="207"/>
      <c r="C39" s="215" t="s">
        <v>2229</v>
      </c>
      <c r="D39" s="128"/>
      <c r="E39" s="128"/>
      <c r="F39" s="128"/>
      <c r="G39" s="128"/>
      <c r="H39" s="204"/>
    </row>
    <row r="40" spans="1:12" s="21" customFormat="1" hidden="1">
      <c r="A40" s="81"/>
      <c r="B40" s="207"/>
      <c r="C40" s="660" t="s">
        <v>2141</v>
      </c>
      <c r="D40" s="656">
        <v>1</v>
      </c>
      <c r="E40" s="657">
        <f>2.1-0.15</f>
        <v>1.9500000000000002</v>
      </c>
      <c r="F40" s="658">
        <f>ROUND(((1.2-0.15+0.02))/1,2)</f>
        <v>1.07</v>
      </c>
      <c r="G40" s="658">
        <v>0.03</v>
      </c>
      <c r="H40" s="659">
        <f>ROUND(D40*E40*F40*G40,4)</f>
        <v>6.2600000000000003E-2</v>
      </c>
      <c r="J40" s="10"/>
    </row>
    <row r="41" spans="1:12" s="21" customFormat="1" hidden="1">
      <c r="A41" s="81"/>
      <c r="B41" s="207"/>
      <c r="C41" s="660"/>
      <c r="D41" s="128"/>
      <c r="E41" s="128"/>
      <c r="F41" s="128"/>
      <c r="G41" s="128"/>
      <c r="H41" s="661">
        <f>SUM(H40)</f>
        <v>6.2600000000000003E-2</v>
      </c>
      <c r="J41" s="10"/>
    </row>
    <row r="42" spans="1:12" s="21" customFormat="1" hidden="1">
      <c r="A42" s="81"/>
      <c r="B42" s="207" t="s">
        <v>1773</v>
      </c>
      <c r="C42" s="215" t="s">
        <v>2143</v>
      </c>
      <c r="D42" s="128"/>
      <c r="E42" s="128" t="s">
        <v>35</v>
      </c>
      <c r="F42" s="206">
        <f>H41</f>
        <v>6.2600000000000003E-2</v>
      </c>
      <c r="G42" s="208">
        <f>'MINI SSR 2024-25'!$C$145</f>
        <v>78753</v>
      </c>
      <c r="H42" s="125">
        <f t="shared" ref="H42:H47" si="3">ROUND(F42*G42,2)</f>
        <v>4929.9399999999996</v>
      </c>
      <c r="J42" s="10"/>
    </row>
    <row r="43" spans="1:12" s="21" customFormat="1" hidden="1">
      <c r="A43" s="81"/>
      <c r="B43" s="128" t="s">
        <v>1188</v>
      </c>
      <c r="C43" s="215" t="s">
        <v>1187</v>
      </c>
      <c r="D43" s="128"/>
      <c r="E43" s="128" t="s">
        <v>11</v>
      </c>
      <c r="F43" s="134">
        <v>2</v>
      </c>
      <c r="G43" s="208">
        <f>'MINI SSR 2024-25'!$G$143</f>
        <v>90</v>
      </c>
      <c r="H43" s="125">
        <f t="shared" si="3"/>
        <v>180</v>
      </c>
      <c r="J43" s="10"/>
    </row>
    <row r="44" spans="1:12" hidden="1">
      <c r="A44" s="81"/>
      <c r="B44" s="128" t="s">
        <v>1190</v>
      </c>
      <c r="C44" s="215" t="s">
        <v>1189</v>
      </c>
      <c r="D44" s="128"/>
      <c r="E44" s="128" t="s">
        <v>11</v>
      </c>
      <c r="F44" s="134">
        <v>3</v>
      </c>
      <c r="G44" s="208">
        <f>'MINI SSR 2024-25'!$G$146</f>
        <v>135</v>
      </c>
      <c r="H44" s="125">
        <f t="shared" si="3"/>
        <v>405</v>
      </c>
      <c r="I44" s="10"/>
    </row>
    <row r="45" spans="1:12" hidden="1">
      <c r="A45" s="81"/>
      <c r="B45" s="128" t="s">
        <v>1174</v>
      </c>
      <c r="C45" s="215" t="s">
        <v>1173</v>
      </c>
      <c r="D45" s="128"/>
      <c r="E45" s="128" t="s">
        <v>11</v>
      </c>
      <c r="F45" s="134">
        <v>2</v>
      </c>
      <c r="G45" s="208">
        <f>'MINI SSR 2024-25'!$G$147</f>
        <v>127</v>
      </c>
      <c r="H45" s="125">
        <f t="shared" si="3"/>
        <v>254</v>
      </c>
      <c r="I45" s="10"/>
    </row>
    <row r="46" spans="1:12" hidden="1">
      <c r="A46" s="81"/>
      <c r="B46" s="128" t="s">
        <v>1192</v>
      </c>
      <c r="C46" s="215" t="s">
        <v>1191</v>
      </c>
      <c r="D46" s="128"/>
      <c r="E46" s="128" t="s">
        <v>11</v>
      </c>
      <c r="F46" s="134">
        <v>2</v>
      </c>
      <c r="G46" s="208">
        <f>'MINI SSR 2024-25'!$G$149</f>
        <v>350</v>
      </c>
      <c r="H46" s="125">
        <f t="shared" si="3"/>
        <v>700</v>
      </c>
      <c r="I46" s="10"/>
    </row>
    <row r="47" spans="1:12" hidden="1">
      <c r="A47" s="81"/>
      <c r="B47" s="128" t="s">
        <v>1194</v>
      </c>
      <c r="C47" s="215" t="s">
        <v>1193</v>
      </c>
      <c r="D47" s="128"/>
      <c r="E47" s="128" t="s">
        <v>11</v>
      </c>
      <c r="F47" s="134">
        <v>1</v>
      </c>
      <c r="G47" s="208">
        <f>'MINI SSR 2024-25'!$G$151</f>
        <v>51</v>
      </c>
      <c r="H47" s="125">
        <f t="shared" si="3"/>
        <v>51</v>
      </c>
      <c r="I47" s="10"/>
    </row>
    <row r="48" spans="1:12" hidden="1">
      <c r="A48" s="128"/>
      <c r="B48" s="128"/>
      <c r="C48" s="660" t="s">
        <v>68</v>
      </c>
      <c r="D48" s="128"/>
      <c r="E48" s="128"/>
      <c r="F48" s="208"/>
      <c r="G48" s="210"/>
      <c r="H48" s="125"/>
    </row>
    <row r="49" spans="1:12" hidden="1">
      <c r="A49" s="128"/>
      <c r="B49" s="128" t="s">
        <v>1775</v>
      </c>
      <c r="C49" s="215" t="s">
        <v>2218</v>
      </c>
      <c r="D49" s="128"/>
      <c r="E49" s="128" t="s">
        <v>102</v>
      </c>
      <c r="F49" s="208">
        <f>ROUND(0.75*2.1,2)</f>
        <v>1.58</v>
      </c>
      <c r="G49" s="208">
        <f>'MINI SSR 2024-25'!$C$150</f>
        <v>1983</v>
      </c>
      <c r="H49" s="125">
        <f>ROUND(F49*G49,2)*2/3</f>
        <v>2088.7599999999998</v>
      </c>
      <c r="L49" s="19"/>
    </row>
    <row r="50" spans="1:12" hidden="1">
      <c r="A50" s="128"/>
      <c r="B50" s="128"/>
      <c r="C50" s="473" t="s">
        <v>2194</v>
      </c>
      <c r="D50" s="128"/>
      <c r="E50" s="208"/>
      <c r="F50" s="208"/>
      <c r="G50" s="208"/>
      <c r="H50" s="204">
        <v>0</v>
      </c>
      <c r="L50" s="19"/>
    </row>
    <row r="51" spans="1:12" ht="13.5" hidden="1" thickBot="1">
      <c r="A51" s="128"/>
      <c r="B51" s="128"/>
      <c r="C51" s="660"/>
      <c r="D51" s="128"/>
      <c r="E51" s="128"/>
      <c r="F51" s="128"/>
      <c r="G51" s="128"/>
      <c r="H51" s="209">
        <f>SUM(H42:H50)</f>
        <v>8608.6999999999989</v>
      </c>
      <c r="L51" s="205"/>
    </row>
    <row r="52" spans="1:12" ht="76.5" hidden="1">
      <c r="A52" s="81">
        <v>3</v>
      </c>
      <c r="B52" s="207"/>
      <c r="C52" s="215" t="s">
        <v>2200</v>
      </c>
      <c r="D52" s="128"/>
      <c r="E52" s="128"/>
      <c r="F52" s="128"/>
      <c r="G52" s="128"/>
      <c r="H52" s="204"/>
    </row>
    <row r="53" spans="1:12" hidden="1">
      <c r="A53" s="81"/>
      <c r="B53" s="207"/>
      <c r="C53" s="215" t="s">
        <v>100</v>
      </c>
      <c r="D53" s="128"/>
      <c r="E53" s="128"/>
      <c r="F53" s="128"/>
      <c r="G53" s="128"/>
      <c r="H53" s="204"/>
    </row>
    <row r="54" spans="1:12" s="21" customFormat="1" hidden="1">
      <c r="A54" s="81"/>
      <c r="B54" s="207"/>
      <c r="C54" s="215" t="s">
        <v>1</v>
      </c>
      <c r="D54" s="128"/>
      <c r="E54" s="128"/>
      <c r="F54" s="128"/>
      <c r="G54" s="128"/>
      <c r="H54" s="204"/>
      <c r="J54" s="10"/>
    </row>
    <row r="55" spans="1:12" s="21" customFormat="1" hidden="1">
      <c r="A55" s="81"/>
      <c r="B55" s="207"/>
      <c r="C55" s="215" t="s">
        <v>730</v>
      </c>
      <c r="D55" s="656">
        <v>2</v>
      </c>
      <c r="E55" s="657">
        <v>1.5</v>
      </c>
      <c r="F55" s="658">
        <v>0.1</v>
      </c>
      <c r="G55" s="658">
        <v>7.4999999999999997E-2</v>
      </c>
      <c r="H55" s="659">
        <f>ROUND(D55*E55*F55*G55,4)</f>
        <v>2.2499999999999999E-2</v>
      </c>
      <c r="J55" s="10"/>
    </row>
    <row r="56" spans="1:12" s="21" customFormat="1" hidden="1">
      <c r="A56" s="81"/>
      <c r="B56" s="207"/>
      <c r="C56" s="215" t="s">
        <v>2</v>
      </c>
      <c r="D56" s="656">
        <v>4</v>
      </c>
      <c r="E56" s="657">
        <v>1.2</v>
      </c>
      <c r="F56" s="658">
        <v>0.1</v>
      </c>
      <c r="G56" s="658">
        <v>7.4999999999999997E-2</v>
      </c>
      <c r="H56" s="659">
        <f>ROUND(D56*E56*F56*G56,4)</f>
        <v>3.5999999999999997E-2</v>
      </c>
      <c r="J56" s="10"/>
    </row>
    <row r="57" spans="1:12" s="21" customFormat="1" hidden="1">
      <c r="A57" s="81"/>
      <c r="B57" s="207"/>
      <c r="C57" s="215"/>
      <c r="D57" s="128"/>
      <c r="E57" s="128"/>
      <c r="F57" s="128"/>
      <c r="G57" s="128"/>
      <c r="H57" s="661">
        <f>SUM(H55:H56)</f>
        <v>5.8499999999999996E-2</v>
      </c>
      <c r="J57" s="10"/>
    </row>
    <row r="58" spans="1:12" s="21" customFormat="1" hidden="1">
      <c r="A58" s="81"/>
      <c r="B58" s="207" t="s">
        <v>1772</v>
      </c>
      <c r="C58" s="215" t="s">
        <v>2142</v>
      </c>
      <c r="D58" s="128"/>
      <c r="E58" s="128" t="s">
        <v>35</v>
      </c>
      <c r="F58" s="206">
        <f>H57</f>
        <v>5.8499999999999996E-2</v>
      </c>
      <c r="G58" s="208">
        <f>'MINI SSR 2024-25'!$C$144</f>
        <v>53228</v>
      </c>
      <c r="H58" s="125">
        <f t="shared" ref="H58:H59" si="4">ROUND(F58*G58,2)</f>
        <v>3113.84</v>
      </c>
      <c r="J58" s="10"/>
    </row>
    <row r="59" spans="1:12" hidden="1">
      <c r="A59" s="81"/>
      <c r="B59" s="128" t="s">
        <v>1180</v>
      </c>
      <c r="C59" s="215" t="s">
        <v>1179</v>
      </c>
      <c r="D59" s="128"/>
      <c r="E59" s="128" t="s">
        <v>11</v>
      </c>
      <c r="F59" s="134">
        <v>4</v>
      </c>
      <c r="G59" s="208">
        <f>'MINI SSR 2024-25'!$G$152</f>
        <v>41</v>
      </c>
      <c r="H59" s="125">
        <f t="shared" si="4"/>
        <v>164</v>
      </c>
      <c r="I59" s="10"/>
    </row>
    <row r="60" spans="1:12" hidden="1">
      <c r="A60" s="128"/>
      <c r="B60" s="128"/>
      <c r="C60" s="660" t="s">
        <v>68</v>
      </c>
      <c r="D60" s="128"/>
      <c r="E60" s="128"/>
      <c r="F60" s="208"/>
      <c r="G60" s="210"/>
      <c r="H60" s="125"/>
    </row>
    <row r="61" spans="1:12" hidden="1">
      <c r="A61" s="128"/>
      <c r="B61" s="128" t="s">
        <v>1775</v>
      </c>
      <c r="C61" s="215" t="s">
        <v>2195</v>
      </c>
      <c r="D61" s="128"/>
      <c r="E61" s="128" t="s">
        <v>102</v>
      </c>
      <c r="F61" s="208">
        <f>ROUND(1.5*1.35,2)</f>
        <v>2.0299999999999998</v>
      </c>
      <c r="G61" s="208">
        <f>'MINI SSR 2024-25'!$C$150</f>
        <v>1983</v>
      </c>
      <c r="H61" s="125">
        <f>ROUND(F61*G61,2)*1/3</f>
        <v>1341.83</v>
      </c>
      <c r="L61" s="19"/>
    </row>
    <row r="62" spans="1:12" hidden="1">
      <c r="A62" s="128"/>
      <c r="B62" s="128"/>
      <c r="C62" s="473" t="s">
        <v>2194</v>
      </c>
      <c r="D62" s="128"/>
      <c r="E62" s="208"/>
      <c r="F62" s="208"/>
      <c r="G62" s="208"/>
      <c r="H62" s="204">
        <v>0</v>
      </c>
      <c r="L62" s="19"/>
    </row>
    <row r="63" spans="1:12" ht="13.5" hidden="1" thickBot="1">
      <c r="A63" s="128"/>
      <c r="B63" s="128"/>
      <c r="C63" s="660"/>
      <c r="D63" s="128"/>
      <c r="E63" s="128"/>
      <c r="F63" s="128"/>
      <c r="G63" s="128"/>
      <c r="H63" s="209">
        <f>SUM(H58:H62)</f>
        <v>4619.67</v>
      </c>
      <c r="L63" s="205"/>
    </row>
    <row r="64" spans="1:12" ht="89.25" hidden="1">
      <c r="A64" s="81">
        <v>4</v>
      </c>
      <c r="B64" s="207"/>
      <c r="C64" s="215" t="s">
        <v>2196</v>
      </c>
      <c r="D64" s="128"/>
      <c r="E64" s="128"/>
      <c r="F64" s="128"/>
      <c r="G64" s="128"/>
      <c r="H64" s="204"/>
    </row>
    <row r="65" spans="1:12" s="21" customFormat="1" hidden="1">
      <c r="A65" s="81"/>
      <c r="B65" s="207"/>
      <c r="C65" s="215" t="s">
        <v>2191</v>
      </c>
      <c r="D65" s="656">
        <v>3</v>
      </c>
      <c r="E65" s="657">
        <v>1.22</v>
      </c>
      <c r="F65" s="658">
        <v>0.37</v>
      </c>
      <c r="G65" s="658">
        <v>2.5000000000000001E-2</v>
      </c>
      <c r="H65" s="659">
        <f>ROUND(D65*E65*F65*G65,4)</f>
        <v>3.39E-2</v>
      </c>
      <c r="J65" s="10"/>
    </row>
    <row r="66" spans="1:12" s="21" customFormat="1" hidden="1">
      <c r="A66" s="81"/>
      <c r="B66" s="207"/>
      <c r="C66" s="660"/>
      <c r="D66" s="656"/>
      <c r="E66" s="657"/>
      <c r="F66" s="658"/>
      <c r="G66" s="658"/>
      <c r="H66" s="659"/>
      <c r="J66" s="10"/>
    </row>
    <row r="67" spans="1:12" s="21" customFormat="1" hidden="1">
      <c r="A67" s="81"/>
      <c r="B67" s="207"/>
      <c r="C67" s="660"/>
      <c r="D67" s="128"/>
      <c r="E67" s="128"/>
      <c r="F67" s="128"/>
      <c r="G67" s="128"/>
      <c r="H67" s="661">
        <f>SUM(H65:H66)</f>
        <v>3.39E-2</v>
      </c>
      <c r="J67" s="10"/>
    </row>
    <row r="68" spans="1:12" s="21" customFormat="1" hidden="1">
      <c r="A68" s="81"/>
      <c r="B68" s="207" t="s">
        <v>1773</v>
      </c>
      <c r="C68" s="215" t="s">
        <v>2143</v>
      </c>
      <c r="D68" s="128"/>
      <c r="E68" s="128" t="s">
        <v>35</v>
      </c>
      <c r="F68" s="206">
        <f>H67</f>
        <v>3.39E-2</v>
      </c>
      <c r="G68" s="208">
        <f>'MINI SSR 2024-25'!$C$145</f>
        <v>78753</v>
      </c>
      <c r="H68" s="125">
        <f t="shared" ref="H68:H71" si="5">ROUND(F68*G68,2)</f>
        <v>2669.73</v>
      </c>
      <c r="J68" s="10"/>
    </row>
    <row r="69" spans="1:12" s="21" customFormat="1" hidden="1">
      <c r="A69" s="81"/>
      <c r="B69" s="128" t="s">
        <v>2089</v>
      </c>
      <c r="C69" s="215" t="s">
        <v>2088</v>
      </c>
      <c r="D69" s="128"/>
      <c r="E69" s="128" t="s">
        <v>11</v>
      </c>
      <c r="F69" s="134">
        <v>2</v>
      </c>
      <c r="G69" s="208">
        <v>67</v>
      </c>
      <c r="H69" s="125">
        <f t="shared" si="5"/>
        <v>134</v>
      </c>
      <c r="J69" s="10"/>
    </row>
    <row r="70" spans="1:12" hidden="1">
      <c r="A70" s="81"/>
      <c r="B70" s="128" t="s">
        <v>2091</v>
      </c>
      <c r="C70" s="215" t="s">
        <v>2187</v>
      </c>
      <c r="D70" s="128"/>
      <c r="E70" s="128" t="s">
        <v>11</v>
      </c>
      <c r="F70" s="134">
        <v>9</v>
      </c>
      <c r="G70" s="208">
        <v>89</v>
      </c>
      <c r="H70" s="125">
        <f t="shared" si="5"/>
        <v>801</v>
      </c>
      <c r="I70" s="10"/>
    </row>
    <row r="71" spans="1:12" hidden="1">
      <c r="A71" s="81"/>
      <c r="B71" s="128" t="s">
        <v>2189</v>
      </c>
      <c r="C71" s="215" t="s">
        <v>2188</v>
      </c>
      <c r="D71" s="128"/>
      <c r="E71" s="128" t="s">
        <v>11</v>
      </c>
      <c r="F71" s="134">
        <v>3</v>
      </c>
      <c r="G71" s="208">
        <v>63</v>
      </c>
      <c r="H71" s="125">
        <f t="shared" si="5"/>
        <v>189</v>
      </c>
      <c r="I71" s="10"/>
    </row>
    <row r="72" spans="1:12" hidden="1">
      <c r="A72" s="81"/>
      <c r="B72" s="128"/>
      <c r="C72" s="215" t="s">
        <v>2190</v>
      </c>
      <c r="D72" s="128"/>
      <c r="E72" s="128" t="s">
        <v>139</v>
      </c>
      <c r="F72" s="134">
        <v>40</v>
      </c>
      <c r="G72" s="208">
        <f>'lead 24-25'!$L$11/1000</f>
        <v>60</v>
      </c>
      <c r="H72" s="125">
        <f>ROUND(F72*G72,2)</f>
        <v>2400</v>
      </c>
      <c r="I72" s="10"/>
    </row>
    <row r="73" spans="1:12" hidden="1">
      <c r="A73" s="128"/>
      <c r="B73" s="128"/>
      <c r="C73" s="660" t="s">
        <v>68</v>
      </c>
      <c r="D73" s="128"/>
      <c r="E73" s="128"/>
      <c r="F73" s="208"/>
      <c r="G73" s="210"/>
      <c r="H73" s="125"/>
    </row>
    <row r="74" spans="1:12" hidden="1">
      <c r="A74" s="128"/>
      <c r="B74" s="128" t="s">
        <v>1775</v>
      </c>
      <c r="C74" s="215" t="s">
        <v>2197</v>
      </c>
      <c r="D74" s="128"/>
      <c r="E74" s="128" t="s">
        <v>102</v>
      </c>
      <c r="F74" s="208">
        <f>ROUND(1.5*1.35,2)</f>
        <v>2.0299999999999998</v>
      </c>
      <c r="G74" s="208">
        <f>'MINI SSR 2024-25'!$C$150</f>
        <v>1983</v>
      </c>
      <c r="H74" s="125">
        <f>ROUND(F74*G74,2)*2/3</f>
        <v>2683.66</v>
      </c>
      <c r="L74" s="19"/>
    </row>
    <row r="75" spans="1:12" hidden="1">
      <c r="A75" s="128"/>
      <c r="B75" s="128"/>
      <c r="C75" s="473" t="s">
        <v>2194</v>
      </c>
      <c r="D75" s="128"/>
      <c r="E75" s="208"/>
      <c r="F75" s="208"/>
      <c r="G75" s="208"/>
      <c r="H75" s="204">
        <v>0</v>
      </c>
      <c r="L75" s="19"/>
    </row>
    <row r="76" spans="1:12" ht="13.5" hidden="1" thickBot="1">
      <c r="A76" s="128"/>
      <c r="B76" s="128"/>
      <c r="C76" s="660"/>
      <c r="D76" s="128"/>
      <c r="E76" s="128"/>
      <c r="F76" s="128"/>
      <c r="G76" s="128"/>
      <c r="H76" s="209">
        <f>SUM(H68:H75)</f>
        <v>8877.39</v>
      </c>
      <c r="L76" s="205"/>
    </row>
    <row r="77" spans="1:12" ht="76.5" hidden="1">
      <c r="A77" s="81">
        <v>5</v>
      </c>
      <c r="B77" s="207"/>
      <c r="C77" s="215" t="s">
        <v>2223</v>
      </c>
      <c r="D77" s="128"/>
      <c r="E77" s="128"/>
      <c r="F77" s="128"/>
      <c r="G77" s="128"/>
      <c r="H77" s="204"/>
    </row>
    <row r="78" spans="1:12" s="21" customFormat="1" hidden="1">
      <c r="A78" s="81"/>
      <c r="B78" s="207"/>
      <c r="C78" s="215" t="s">
        <v>730</v>
      </c>
      <c r="D78" s="656">
        <v>2</v>
      </c>
      <c r="E78" s="657">
        <v>0.9</v>
      </c>
      <c r="F78" s="658">
        <v>0.1</v>
      </c>
      <c r="G78" s="658">
        <v>7.4999999999999997E-2</v>
      </c>
      <c r="H78" s="659">
        <f>ROUND(D78*E78*F78*G78,4)</f>
        <v>1.35E-2</v>
      </c>
      <c r="J78" s="10"/>
    </row>
    <row r="79" spans="1:12" s="21" customFormat="1" hidden="1">
      <c r="A79" s="81"/>
      <c r="B79" s="207"/>
      <c r="C79" s="215" t="s">
        <v>2</v>
      </c>
      <c r="D79" s="656">
        <v>4</v>
      </c>
      <c r="E79" s="657">
        <v>1.2</v>
      </c>
      <c r="F79" s="658">
        <v>0.1</v>
      </c>
      <c r="G79" s="658">
        <v>7.4999999999999997E-2</v>
      </c>
      <c r="H79" s="659">
        <f>ROUND(D79*E79*F79*G79,4)</f>
        <v>3.5999999999999997E-2</v>
      </c>
      <c r="J79" s="10"/>
    </row>
    <row r="80" spans="1:12" s="21" customFormat="1" hidden="1">
      <c r="A80" s="81"/>
      <c r="B80" s="207"/>
      <c r="C80" s="215"/>
      <c r="D80" s="128"/>
      <c r="E80" s="128"/>
      <c r="F80" s="128"/>
      <c r="G80" s="128"/>
      <c r="H80" s="661">
        <f>SUM(H78:H79)</f>
        <v>4.9499999999999995E-2</v>
      </c>
      <c r="J80" s="10"/>
    </row>
    <row r="81" spans="1:12" s="21" customFormat="1" hidden="1">
      <c r="A81" s="81"/>
      <c r="B81" s="207" t="s">
        <v>1772</v>
      </c>
      <c r="C81" s="215" t="s">
        <v>2142</v>
      </c>
      <c r="D81" s="128"/>
      <c r="E81" s="128" t="s">
        <v>35</v>
      </c>
      <c r="F81" s="206">
        <f>H80</f>
        <v>4.9499999999999995E-2</v>
      </c>
      <c r="G81" s="208">
        <f>'MINI SSR 2024-25'!$C$144</f>
        <v>53228</v>
      </c>
      <c r="H81" s="125">
        <f t="shared" ref="H81:H82" si="6">ROUND(F81*G81,2)</f>
        <v>2634.79</v>
      </c>
      <c r="J81" s="10"/>
    </row>
    <row r="82" spans="1:12" hidden="1">
      <c r="A82" s="81"/>
      <c r="B82" s="128" t="s">
        <v>1180</v>
      </c>
      <c r="C82" s="215" t="s">
        <v>1179</v>
      </c>
      <c r="D82" s="128"/>
      <c r="E82" s="128" t="s">
        <v>11</v>
      </c>
      <c r="F82" s="134">
        <v>4</v>
      </c>
      <c r="G82" s="208">
        <f>'MINI SSR 2024-25'!$G$152</f>
        <v>41</v>
      </c>
      <c r="H82" s="125">
        <f t="shared" si="6"/>
        <v>164</v>
      </c>
      <c r="I82" s="10"/>
    </row>
    <row r="83" spans="1:12" hidden="1">
      <c r="A83" s="128"/>
      <c r="B83" s="128"/>
      <c r="C83" s="660" t="s">
        <v>68</v>
      </c>
      <c r="D83" s="128"/>
      <c r="E83" s="128"/>
      <c r="F83" s="208"/>
      <c r="G83" s="210"/>
      <c r="H83" s="125"/>
    </row>
    <row r="84" spans="1:12" hidden="1">
      <c r="A84" s="128"/>
      <c r="B84" s="128" t="s">
        <v>1775</v>
      </c>
      <c r="C84" s="215" t="s">
        <v>1181</v>
      </c>
      <c r="D84" s="128"/>
      <c r="E84" s="128" t="s">
        <v>102</v>
      </c>
      <c r="F84" s="208">
        <f>ROUND(0.9*1.35,2)</f>
        <v>1.22</v>
      </c>
      <c r="G84" s="208">
        <f>'MINI SSR 2024-25'!$C$150</f>
        <v>1983</v>
      </c>
      <c r="H84" s="125">
        <f>ROUND(F84*G84,2)*1/3</f>
        <v>806.42000000000007</v>
      </c>
      <c r="L84" s="19"/>
    </row>
    <row r="85" spans="1:12" hidden="1">
      <c r="A85" s="128"/>
      <c r="B85" s="128"/>
      <c r="C85" s="473" t="s">
        <v>2194</v>
      </c>
      <c r="D85" s="128"/>
      <c r="E85" s="208"/>
      <c r="F85" s="208"/>
      <c r="G85" s="208"/>
      <c r="H85" s="204">
        <v>0</v>
      </c>
      <c r="L85" s="19"/>
    </row>
    <row r="86" spans="1:12" ht="13.5" hidden="1" thickBot="1">
      <c r="A86" s="128"/>
      <c r="B86" s="128"/>
      <c r="C86" s="660"/>
      <c r="D86" s="128"/>
      <c r="E86" s="128"/>
      <c r="F86" s="128"/>
      <c r="G86" s="128"/>
      <c r="H86" s="209">
        <f>SUM(H81:H85)</f>
        <v>3605.21</v>
      </c>
      <c r="L86" s="205"/>
    </row>
    <row r="87" spans="1:12" ht="89.25" hidden="1">
      <c r="A87" s="81">
        <v>5</v>
      </c>
      <c r="B87" s="207"/>
      <c r="C87" s="215" t="s">
        <v>2224</v>
      </c>
      <c r="D87" s="128"/>
      <c r="E87" s="128"/>
      <c r="F87" s="128"/>
      <c r="G87" s="128"/>
      <c r="H87" s="204"/>
    </row>
    <row r="88" spans="1:12" s="21" customFormat="1" hidden="1">
      <c r="A88" s="81"/>
      <c r="B88" s="207"/>
      <c r="C88" s="215" t="s">
        <v>2191</v>
      </c>
      <c r="D88" s="656">
        <v>2</v>
      </c>
      <c r="E88" s="657">
        <v>1.22</v>
      </c>
      <c r="F88" s="658">
        <v>0.37</v>
      </c>
      <c r="G88" s="658">
        <v>2.5000000000000001E-2</v>
      </c>
      <c r="H88" s="659">
        <f>ROUND(D88*E88*F88*G88,4)</f>
        <v>2.2599999999999999E-2</v>
      </c>
      <c r="J88" s="10"/>
    </row>
    <row r="89" spans="1:12" s="21" customFormat="1" hidden="1">
      <c r="A89" s="81"/>
      <c r="B89" s="207"/>
      <c r="C89" s="660"/>
      <c r="D89" s="656"/>
      <c r="E89" s="657"/>
      <c r="F89" s="658"/>
      <c r="G89" s="658"/>
      <c r="H89" s="659"/>
      <c r="J89" s="10"/>
    </row>
    <row r="90" spans="1:12" s="21" customFormat="1" hidden="1">
      <c r="A90" s="81"/>
      <c r="B90" s="207"/>
      <c r="C90" s="660"/>
      <c r="D90" s="128"/>
      <c r="E90" s="128"/>
      <c r="F90" s="128"/>
      <c r="G90" s="128"/>
      <c r="H90" s="661">
        <f>SUM(H88:H89)</f>
        <v>2.2599999999999999E-2</v>
      </c>
      <c r="J90" s="10"/>
    </row>
    <row r="91" spans="1:12" s="21" customFormat="1" hidden="1">
      <c r="A91" s="81"/>
      <c r="B91" s="207" t="s">
        <v>1773</v>
      </c>
      <c r="C91" s="215" t="s">
        <v>2143</v>
      </c>
      <c r="D91" s="128"/>
      <c r="E91" s="128" t="s">
        <v>35</v>
      </c>
      <c r="F91" s="206">
        <f>H90</f>
        <v>2.2599999999999999E-2</v>
      </c>
      <c r="G91" s="208">
        <f>'MINI SSR 2024-25'!$C$145</f>
        <v>78753</v>
      </c>
      <c r="H91" s="125">
        <f t="shared" ref="H91:H94" si="7">ROUND(F91*G91,2)</f>
        <v>1779.82</v>
      </c>
      <c r="J91" s="10"/>
    </row>
    <row r="92" spans="1:12" s="21" customFormat="1" hidden="1">
      <c r="A92" s="81"/>
      <c r="B92" s="128" t="s">
        <v>2089</v>
      </c>
      <c r="C92" s="215" t="s">
        <v>2088</v>
      </c>
      <c r="D92" s="128"/>
      <c r="E92" s="128" t="s">
        <v>11</v>
      </c>
      <c r="F92" s="134">
        <v>2</v>
      </c>
      <c r="G92" s="208">
        <v>67</v>
      </c>
      <c r="H92" s="125">
        <f t="shared" si="7"/>
        <v>134</v>
      </c>
      <c r="J92" s="10"/>
    </row>
    <row r="93" spans="1:12" hidden="1">
      <c r="A93" s="81"/>
      <c r="B93" s="128" t="s">
        <v>2091</v>
      </c>
      <c r="C93" s="215" t="s">
        <v>2187</v>
      </c>
      <c r="D93" s="128"/>
      <c r="E93" s="128" t="s">
        <v>11</v>
      </c>
      <c r="F93" s="134">
        <v>6</v>
      </c>
      <c r="G93" s="208">
        <v>89</v>
      </c>
      <c r="H93" s="125">
        <f t="shared" si="7"/>
        <v>534</v>
      </c>
      <c r="I93" s="10"/>
    </row>
    <row r="94" spans="1:12" hidden="1">
      <c r="A94" s="81"/>
      <c r="B94" s="128" t="s">
        <v>2189</v>
      </c>
      <c r="C94" s="215" t="s">
        <v>2188</v>
      </c>
      <c r="D94" s="128"/>
      <c r="E94" s="128" t="s">
        <v>11</v>
      </c>
      <c r="F94" s="134">
        <v>2</v>
      </c>
      <c r="G94" s="208">
        <v>63</v>
      </c>
      <c r="H94" s="125">
        <f t="shared" si="7"/>
        <v>126</v>
      </c>
      <c r="I94" s="10"/>
    </row>
    <row r="95" spans="1:12" hidden="1">
      <c r="A95" s="81"/>
      <c r="B95" s="128"/>
      <c r="C95" s="215" t="s">
        <v>2190</v>
      </c>
      <c r="D95" s="128"/>
      <c r="E95" s="128" t="s">
        <v>139</v>
      </c>
      <c r="F95" s="134">
        <v>23</v>
      </c>
      <c r="G95" s="208">
        <f>'lead 24-25'!$L$11/1000</f>
        <v>60</v>
      </c>
      <c r="H95" s="125">
        <f>ROUND(F95*G95,2)</f>
        <v>1380</v>
      </c>
      <c r="I95" s="10"/>
    </row>
    <row r="96" spans="1:12" hidden="1">
      <c r="A96" s="128"/>
      <c r="B96" s="128"/>
      <c r="C96" s="660" t="s">
        <v>68</v>
      </c>
      <c r="D96" s="128"/>
      <c r="E96" s="128"/>
      <c r="F96" s="208"/>
      <c r="G96" s="210"/>
      <c r="H96" s="125"/>
    </row>
    <row r="97" spans="1:12" hidden="1">
      <c r="A97" s="128"/>
      <c r="B97" s="128" t="s">
        <v>1775</v>
      </c>
      <c r="C97" s="215" t="s">
        <v>1181</v>
      </c>
      <c r="D97" s="128"/>
      <c r="E97" s="128" t="s">
        <v>102</v>
      </c>
      <c r="F97" s="208">
        <f>ROUND(0.9*1.35,2)</f>
        <v>1.22</v>
      </c>
      <c r="G97" s="208">
        <f>'MINI SSR 2024-25'!$C$150</f>
        <v>1983</v>
      </c>
      <c r="H97" s="125">
        <f>ROUND(F97*G97,2)</f>
        <v>2419.2600000000002</v>
      </c>
      <c r="L97" s="19"/>
    </row>
    <row r="98" spans="1:12" hidden="1">
      <c r="A98" s="128"/>
      <c r="B98" s="128"/>
      <c r="C98" s="473" t="s">
        <v>2194</v>
      </c>
      <c r="D98" s="128"/>
      <c r="E98" s="208"/>
      <c r="F98" s="208"/>
      <c r="G98" s="208"/>
      <c r="H98" s="204">
        <v>0</v>
      </c>
      <c r="L98" s="19"/>
    </row>
    <row r="99" spans="1:12" ht="13.5" hidden="1" thickBot="1">
      <c r="A99" s="128"/>
      <c r="B99" s="128"/>
      <c r="C99" s="660"/>
      <c r="D99" s="128"/>
      <c r="E99" s="128"/>
      <c r="F99" s="128"/>
      <c r="G99" s="128"/>
      <c r="H99" s="209">
        <f>SUM(H91:H98)</f>
        <v>6373.08</v>
      </c>
      <c r="L99" s="205"/>
    </row>
    <row r="100" spans="1:12" ht="63.75" hidden="1">
      <c r="A100" s="81">
        <v>1</v>
      </c>
      <c r="B100" s="207"/>
      <c r="C100" s="215" t="s">
        <v>2315</v>
      </c>
      <c r="D100" s="128"/>
      <c r="E100" s="128"/>
      <c r="F100" s="128"/>
      <c r="G100" s="128"/>
      <c r="H100" s="204"/>
    </row>
    <row r="101" spans="1:12" s="21" customFormat="1" hidden="1">
      <c r="A101" s="81"/>
      <c r="B101" s="207"/>
      <c r="C101" s="215" t="s">
        <v>2304</v>
      </c>
      <c r="D101" s="656">
        <v>3</v>
      </c>
      <c r="E101" s="657">
        <v>2</v>
      </c>
      <c r="F101" s="658">
        <v>0.1</v>
      </c>
      <c r="G101" s="658">
        <v>2.5000000000000001E-2</v>
      </c>
      <c r="H101" s="659">
        <f>ROUND(D101*E101*F101*G101,4)</f>
        <v>1.4999999999999999E-2</v>
      </c>
      <c r="J101" s="10"/>
    </row>
    <row r="102" spans="1:12" s="21" customFormat="1" hidden="1">
      <c r="A102" s="81"/>
      <c r="B102" s="207"/>
      <c r="C102" s="660"/>
      <c r="D102" s="656"/>
      <c r="E102" s="657"/>
      <c r="F102" s="658"/>
      <c r="G102" s="658"/>
      <c r="H102" s="659"/>
      <c r="J102" s="10"/>
    </row>
    <row r="103" spans="1:12" s="21" customFormat="1" hidden="1">
      <c r="A103" s="81"/>
      <c r="B103" s="207"/>
      <c r="C103" s="660"/>
      <c r="D103" s="128"/>
      <c r="E103" s="128"/>
      <c r="F103" s="128"/>
      <c r="G103" s="128"/>
      <c r="H103" s="661">
        <f>SUM(H101:H102)</f>
        <v>1.4999999999999999E-2</v>
      </c>
      <c r="J103" s="10"/>
    </row>
    <row r="104" spans="1:12" s="21" customFormat="1" hidden="1">
      <c r="A104" s="81"/>
      <c r="B104" s="207" t="s">
        <v>1168</v>
      </c>
      <c r="C104" s="215" t="s">
        <v>1167</v>
      </c>
      <c r="D104" s="128"/>
      <c r="E104" s="128" t="s">
        <v>35</v>
      </c>
      <c r="F104" s="206">
        <f>H103</f>
        <v>1.4999999999999999E-2</v>
      </c>
      <c r="G104" s="208">
        <f>'MINI SSR 2024-25'!$C$143</f>
        <v>173500</v>
      </c>
      <c r="H104" s="125">
        <f t="shared" ref="H104:H107" si="8">ROUND(F104*G104,2)</f>
        <v>2602.5</v>
      </c>
      <c r="J104" s="10"/>
    </row>
    <row r="105" spans="1:12" s="21" customFormat="1" hidden="1">
      <c r="A105" s="81"/>
      <c r="B105" s="128" t="s">
        <v>2089</v>
      </c>
      <c r="C105" s="215" t="s">
        <v>2088</v>
      </c>
      <c r="D105" s="128"/>
      <c r="E105" s="128" t="s">
        <v>11</v>
      </c>
      <c r="F105" s="134">
        <v>3</v>
      </c>
      <c r="G105" s="208">
        <v>67</v>
      </c>
      <c r="H105" s="125">
        <f t="shared" si="8"/>
        <v>201</v>
      </c>
      <c r="J105" s="10"/>
    </row>
    <row r="106" spans="1:12" hidden="1">
      <c r="A106" s="81"/>
      <c r="B106" s="128" t="s">
        <v>2091</v>
      </c>
      <c r="C106" s="215" t="s">
        <v>2187</v>
      </c>
      <c r="D106" s="128"/>
      <c r="E106" s="128" t="s">
        <v>11</v>
      </c>
      <c r="F106" s="134">
        <v>6</v>
      </c>
      <c r="G106" s="208">
        <v>89</v>
      </c>
      <c r="H106" s="125">
        <f t="shared" si="8"/>
        <v>534</v>
      </c>
      <c r="I106" s="10"/>
    </row>
    <row r="107" spans="1:12" hidden="1">
      <c r="A107" s="81"/>
      <c r="B107" s="128" t="s">
        <v>2189</v>
      </c>
      <c r="C107" s="215" t="s">
        <v>2188</v>
      </c>
      <c r="D107" s="128"/>
      <c r="E107" s="128" t="s">
        <v>11</v>
      </c>
      <c r="F107" s="134">
        <v>3</v>
      </c>
      <c r="G107" s="208">
        <v>63</v>
      </c>
      <c r="H107" s="125">
        <f t="shared" si="8"/>
        <v>189</v>
      </c>
      <c r="I107" s="10"/>
    </row>
    <row r="108" spans="1:12" s="21" customFormat="1" hidden="1">
      <c r="A108" s="81"/>
      <c r="B108" s="207" t="s">
        <v>1199</v>
      </c>
      <c r="C108" s="215" t="s">
        <v>1198</v>
      </c>
      <c r="D108" s="128"/>
      <c r="E108" s="128" t="s">
        <v>102</v>
      </c>
      <c r="F108" s="133">
        <f>((0.6-0.05)*(0.6-0.05))*3</f>
        <v>0.90749999999999975</v>
      </c>
      <c r="G108" s="208">
        <f>'MINI SSR 2024-25'!$G$153</f>
        <v>484</v>
      </c>
      <c r="H108" s="125">
        <f>ROUND(F108*G108,2)</f>
        <v>439.23</v>
      </c>
      <c r="J108" s="10"/>
    </row>
    <row r="109" spans="1:12" hidden="1">
      <c r="A109" s="128"/>
      <c r="B109" s="128"/>
      <c r="C109" s="660" t="s">
        <v>68</v>
      </c>
      <c r="D109" s="128"/>
      <c r="E109" s="128"/>
      <c r="F109" s="208"/>
      <c r="G109" s="210"/>
      <c r="H109" s="125"/>
    </row>
    <row r="110" spans="1:12" hidden="1">
      <c r="A110" s="128"/>
      <c r="B110" s="128" t="s">
        <v>1775</v>
      </c>
      <c r="C110" s="215" t="s">
        <v>1181</v>
      </c>
      <c r="D110" s="128"/>
      <c r="E110" s="128" t="s">
        <v>102</v>
      </c>
      <c r="F110" s="208">
        <f>ROUND(0.6*0.6,2)*3</f>
        <v>1.08</v>
      </c>
      <c r="G110" s="208">
        <f>'MINI SSR 2024-25'!$C$150</f>
        <v>1983</v>
      </c>
      <c r="H110" s="125">
        <f>ROUND(F110*G110,2)</f>
        <v>2141.64</v>
      </c>
      <c r="L110" s="19"/>
    </row>
    <row r="111" spans="1:12" ht="13.5" hidden="1" thickBot="1">
      <c r="A111" s="128"/>
      <c r="B111" s="128"/>
      <c r="C111" s="660"/>
      <c r="D111" s="128"/>
      <c r="E111" s="128"/>
      <c r="F111" s="128"/>
      <c r="G111" s="128"/>
      <c r="H111" s="209">
        <f>SUM(H104:H110)</f>
        <v>6107.37</v>
      </c>
      <c r="L111" s="205"/>
    </row>
    <row r="112" spans="1:12" ht="63.75" hidden="1">
      <c r="A112" s="81">
        <v>2</v>
      </c>
      <c r="B112" s="207"/>
      <c r="C112" s="215" t="s">
        <v>2316</v>
      </c>
      <c r="D112" s="128"/>
      <c r="E112" s="128"/>
      <c r="F112" s="128"/>
      <c r="G112" s="128"/>
      <c r="H112" s="204"/>
    </row>
    <row r="113" spans="1:12" s="21" customFormat="1" hidden="1">
      <c r="A113" s="81"/>
      <c r="B113" s="207"/>
      <c r="C113" s="215" t="s">
        <v>2304</v>
      </c>
      <c r="D113" s="656">
        <v>6</v>
      </c>
      <c r="E113" s="657">
        <v>1.4</v>
      </c>
      <c r="F113" s="658">
        <v>0.1</v>
      </c>
      <c r="G113" s="658">
        <v>2.5000000000000001E-2</v>
      </c>
      <c r="H113" s="659">
        <f>ROUND(D113*E113*F113*G113,4)</f>
        <v>2.1000000000000001E-2</v>
      </c>
      <c r="J113" s="10"/>
    </row>
    <row r="114" spans="1:12" s="21" customFormat="1" hidden="1">
      <c r="A114" s="81"/>
      <c r="B114" s="207"/>
      <c r="C114" s="660"/>
      <c r="D114" s="656"/>
      <c r="E114" s="657"/>
      <c r="F114" s="658"/>
      <c r="G114" s="658"/>
      <c r="H114" s="659"/>
      <c r="J114" s="10"/>
    </row>
    <row r="115" spans="1:12" s="21" customFormat="1" hidden="1">
      <c r="A115" s="81"/>
      <c r="B115" s="207"/>
      <c r="C115" s="660"/>
      <c r="D115" s="128"/>
      <c r="E115" s="128"/>
      <c r="F115" s="128"/>
      <c r="G115" s="128"/>
      <c r="H115" s="661">
        <f>SUM(H113:H114)</f>
        <v>2.1000000000000001E-2</v>
      </c>
      <c r="J115" s="10"/>
    </row>
    <row r="116" spans="1:12" s="21" customFormat="1" hidden="1">
      <c r="A116" s="81"/>
      <c r="B116" s="207" t="s">
        <v>1168</v>
      </c>
      <c r="C116" s="215" t="s">
        <v>1167</v>
      </c>
      <c r="D116" s="128"/>
      <c r="E116" s="128" t="s">
        <v>35</v>
      </c>
      <c r="F116" s="206">
        <f>H115</f>
        <v>2.1000000000000001E-2</v>
      </c>
      <c r="G116" s="208">
        <f>'MINI SSR 2024-25'!$C$143</f>
        <v>173500</v>
      </c>
      <c r="H116" s="125">
        <f t="shared" ref="H116:H119" si="9">ROUND(F116*G116,2)</f>
        <v>3643.5</v>
      </c>
      <c r="J116" s="10"/>
    </row>
    <row r="117" spans="1:12" s="21" customFormat="1" hidden="1">
      <c r="A117" s="81"/>
      <c r="B117" s="128" t="s">
        <v>2089</v>
      </c>
      <c r="C117" s="215" t="s">
        <v>2088</v>
      </c>
      <c r="D117" s="128"/>
      <c r="E117" s="128" t="s">
        <v>11</v>
      </c>
      <c r="F117" s="134">
        <v>6</v>
      </c>
      <c r="G117" s="208">
        <v>67</v>
      </c>
      <c r="H117" s="125">
        <f t="shared" si="9"/>
        <v>402</v>
      </c>
      <c r="J117" s="10"/>
    </row>
    <row r="118" spans="1:12" hidden="1">
      <c r="A118" s="81"/>
      <c r="B118" s="128" t="s">
        <v>2091</v>
      </c>
      <c r="C118" s="215" t="s">
        <v>2187</v>
      </c>
      <c r="D118" s="128"/>
      <c r="E118" s="128" t="s">
        <v>11</v>
      </c>
      <c r="F118" s="134">
        <v>12</v>
      </c>
      <c r="G118" s="208">
        <v>89</v>
      </c>
      <c r="H118" s="125">
        <f t="shared" si="9"/>
        <v>1068</v>
      </c>
      <c r="I118" s="10"/>
    </row>
    <row r="119" spans="1:12" hidden="1">
      <c r="A119" s="81"/>
      <c r="B119" s="128" t="s">
        <v>2189</v>
      </c>
      <c r="C119" s="215" t="s">
        <v>2188</v>
      </c>
      <c r="D119" s="128"/>
      <c r="E119" s="128" t="s">
        <v>11</v>
      </c>
      <c r="F119" s="134">
        <v>6</v>
      </c>
      <c r="G119" s="208">
        <v>63</v>
      </c>
      <c r="H119" s="125">
        <f t="shared" si="9"/>
        <v>378</v>
      </c>
      <c r="I119" s="10"/>
    </row>
    <row r="120" spans="1:12" s="21" customFormat="1" hidden="1">
      <c r="A120" s="81"/>
      <c r="B120" s="207" t="s">
        <v>1199</v>
      </c>
      <c r="C120" s="215" t="s">
        <v>1198</v>
      </c>
      <c r="D120" s="128"/>
      <c r="E120" s="128" t="s">
        <v>102</v>
      </c>
      <c r="F120" s="133">
        <f>((0.3-0.05)*(0.6-0.05))*6</f>
        <v>0.82499999999999996</v>
      </c>
      <c r="G120" s="208">
        <f>'MINI SSR 2024-25'!$G$153</f>
        <v>484</v>
      </c>
      <c r="H120" s="125">
        <f>ROUND(F120*G120,2)</f>
        <v>399.3</v>
      </c>
      <c r="J120" s="10"/>
    </row>
    <row r="121" spans="1:12" hidden="1">
      <c r="A121" s="128"/>
      <c r="B121" s="128"/>
      <c r="C121" s="660" t="s">
        <v>68</v>
      </c>
      <c r="D121" s="128"/>
      <c r="E121" s="128"/>
      <c r="F121" s="208"/>
      <c r="G121" s="210"/>
      <c r="H121" s="125"/>
    </row>
    <row r="122" spans="1:12" hidden="1">
      <c r="A122" s="128"/>
      <c r="B122" s="128" t="s">
        <v>1775</v>
      </c>
      <c r="C122" s="215" t="s">
        <v>1181</v>
      </c>
      <c r="D122" s="128"/>
      <c r="E122" s="128" t="s">
        <v>102</v>
      </c>
      <c r="F122" s="208">
        <f>ROUND(0.3*0.6,2)*6</f>
        <v>1.08</v>
      </c>
      <c r="G122" s="208">
        <f>'MINI SSR 2024-25'!$C$150</f>
        <v>1983</v>
      </c>
      <c r="H122" s="125">
        <f>ROUND(F122*G122,2)</f>
        <v>2141.64</v>
      </c>
      <c r="L122" s="19"/>
    </row>
    <row r="123" spans="1:12" ht="13.5" hidden="1" thickBot="1">
      <c r="A123" s="128"/>
      <c r="B123" s="128"/>
      <c r="C123" s="660"/>
      <c r="D123" s="128"/>
      <c r="E123" s="128"/>
      <c r="F123" s="128"/>
      <c r="G123" s="128"/>
      <c r="H123" s="209">
        <f>SUM(H116:H122)</f>
        <v>8032.4400000000005</v>
      </c>
      <c r="L123" s="205"/>
    </row>
    <row r="124" spans="1:12" ht="127.5" hidden="1">
      <c r="A124" s="81">
        <v>6</v>
      </c>
      <c r="B124" s="207"/>
      <c r="C124" s="215" t="s">
        <v>1101</v>
      </c>
      <c r="D124" s="128"/>
      <c r="E124" s="128"/>
      <c r="F124" s="128"/>
      <c r="G124" s="128"/>
      <c r="H124" s="204"/>
    </row>
    <row r="125" spans="1:12" hidden="1">
      <c r="A125" s="81"/>
      <c r="B125" s="207"/>
      <c r="C125" s="660" t="s">
        <v>100</v>
      </c>
      <c r="D125" s="128"/>
      <c r="E125" s="128"/>
      <c r="F125" s="128"/>
      <c r="G125" s="128"/>
      <c r="H125" s="204"/>
    </row>
    <row r="126" spans="1:12" s="21" customFormat="1" hidden="1">
      <c r="A126" s="81"/>
      <c r="B126" s="207"/>
      <c r="C126" s="660" t="s">
        <v>1</v>
      </c>
      <c r="D126" s="128"/>
      <c r="E126" s="128"/>
      <c r="F126" s="128"/>
      <c r="G126" s="128"/>
      <c r="H126" s="204"/>
      <c r="J126" s="10"/>
    </row>
    <row r="127" spans="1:12" s="21" customFormat="1" hidden="1">
      <c r="A127" s="81"/>
      <c r="B127" s="207"/>
      <c r="C127" s="215" t="s">
        <v>2</v>
      </c>
      <c r="D127" s="656">
        <v>2</v>
      </c>
      <c r="E127" s="657">
        <v>1.9</v>
      </c>
      <c r="F127" s="658">
        <v>0.1</v>
      </c>
      <c r="G127" s="658">
        <v>7.4999999999999997E-2</v>
      </c>
      <c r="H127" s="659">
        <f>ROUND(D127*E127*F127*G127,4)</f>
        <v>2.8500000000000001E-2</v>
      </c>
      <c r="J127" s="10"/>
    </row>
    <row r="128" spans="1:12" s="21" customFormat="1" hidden="1">
      <c r="A128" s="81"/>
      <c r="B128" s="207"/>
      <c r="C128" s="215" t="s">
        <v>730</v>
      </c>
      <c r="D128" s="656">
        <v>1</v>
      </c>
      <c r="E128" s="657">
        <v>1.2</v>
      </c>
      <c r="F128" s="658">
        <v>0.1</v>
      </c>
      <c r="G128" s="658">
        <v>7.4999999999999997E-2</v>
      </c>
      <c r="H128" s="659">
        <f>ROUND(D128*E128*F128*G128,4)</f>
        <v>8.9999999999999993E-3</v>
      </c>
      <c r="J128" s="10"/>
    </row>
    <row r="129" spans="1:12" s="21" customFormat="1" hidden="1">
      <c r="A129" s="81"/>
      <c r="B129" s="207"/>
      <c r="C129" s="660"/>
      <c r="D129" s="128"/>
      <c r="E129" s="128"/>
      <c r="F129" s="128"/>
      <c r="G129" s="128"/>
      <c r="H129" s="661">
        <f>SUM(H127:H128)</f>
        <v>3.7499999999999999E-2</v>
      </c>
      <c r="J129" s="10"/>
    </row>
    <row r="130" spans="1:12" s="21" customFormat="1" hidden="1">
      <c r="A130" s="81"/>
      <c r="B130" s="128" t="s">
        <v>1166</v>
      </c>
      <c r="C130" s="215" t="s">
        <v>1165</v>
      </c>
      <c r="D130" s="128"/>
      <c r="E130" s="128" t="s">
        <v>35</v>
      </c>
      <c r="F130" s="206">
        <f>H129</f>
        <v>3.7499999999999999E-2</v>
      </c>
      <c r="G130" s="208">
        <f>'MINI SSR 2024-25'!C142</f>
        <v>86000</v>
      </c>
      <c r="H130" s="125">
        <f t="shared" ref="H130:H138" si="10">ROUND(F130*G130,2)</f>
        <v>3225</v>
      </c>
      <c r="J130" s="10"/>
    </row>
    <row r="131" spans="1:12" s="21" customFormat="1" hidden="1">
      <c r="A131" s="81"/>
      <c r="B131" s="128" t="s">
        <v>1184</v>
      </c>
      <c r="C131" s="215" t="s">
        <v>1183</v>
      </c>
      <c r="D131" s="128"/>
      <c r="E131" s="128" t="s">
        <v>102</v>
      </c>
      <c r="F131" s="206">
        <f>ROUND(1.05*1.995,2)</f>
        <v>2.09</v>
      </c>
      <c r="G131" s="208">
        <f>'MINI SSR 2024-25'!C146</f>
        <v>3512</v>
      </c>
      <c r="H131" s="125">
        <f t="shared" si="10"/>
        <v>7340.08</v>
      </c>
      <c r="J131" s="10"/>
    </row>
    <row r="132" spans="1:12" s="21" customFormat="1" hidden="1">
      <c r="A132" s="81"/>
      <c r="B132" s="128" t="s">
        <v>1186</v>
      </c>
      <c r="C132" s="215" t="s">
        <v>1185</v>
      </c>
      <c r="D132" s="128"/>
      <c r="E132" s="128" t="s">
        <v>102</v>
      </c>
      <c r="F132" s="206">
        <f>ROUND(1.05*1.995,2)</f>
        <v>2.09</v>
      </c>
      <c r="G132" s="208">
        <f>'MINI SSR 2024-25'!C151</f>
        <v>1208</v>
      </c>
      <c r="H132" s="125">
        <f t="shared" si="10"/>
        <v>2524.7199999999998</v>
      </c>
      <c r="J132" s="10"/>
    </row>
    <row r="133" spans="1:12" hidden="1">
      <c r="A133" s="81"/>
      <c r="B133" s="128" t="s">
        <v>1188</v>
      </c>
      <c r="C133" s="215" t="s">
        <v>1187</v>
      </c>
      <c r="D133" s="128"/>
      <c r="E133" s="128" t="s">
        <v>11</v>
      </c>
      <c r="F133" s="134">
        <v>2</v>
      </c>
      <c r="G133" s="208">
        <f>'MINI SSR 2024-25'!$G$143</f>
        <v>90</v>
      </c>
      <c r="H133" s="125">
        <f t="shared" si="10"/>
        <v>180</v>
      </c>
      <c r="I133" s="10"/>
    </row>
    <row r="134" spans="1:12" hidden="1">
      <c r="A134" s="81"/>
      <c r="B134" s="128" t="s">
        <v>1190</v>
      </c>
      <c r="C134" s="215" t="s">
        <v>1189</v>
      </c>
      <c r="D134" s="128"/>
      <c r="E134" s="128" t="s">
        <v>11</v>
      </c>
      <c r="F134" s="134">
        <v>3</v>
      </c>
      <c r="G134" s="208">
        <f>'MINI SSR 2024-25'!$G$146</f>
        <v>135</v>
      </c>
      <c r="H134" s="125">
        <f t="shared" si="10"/>
        <v>405</v>
      </c>
      <c r="I134" s="10"/>
    </row>
    <row r="135" spans="1:12" hidden="1">
      <c r="A135" s="81"/>
      <c r="B135" s="128" t="s">
        <v>1174</v>
      </c>
      <c r="C135" s="215" t="s">
        <v>1173</v>
      </c>
      <c r="D135" s="128"/>
      <c r="E135" s="128" t="s">
        <v>11</v>
      </c>
      <c r="F135" s="134">
        <v>2</v>
      </c>
      <c r="G135" s="208">
        <f>'MINI SSR 2024-25'!$G$147</f>
        <v>127</v>
      </c>
      <c r="H135" s="125">
        <f t="shared" si="10"/>
        <v>254</v>
      </c>
      <c r="I135" s="10"/>
    </row>
    <row r="136" spans="1:12" hidden="1">
      <c r="A136" s="81"/>
      <c r="B136" s="128" t="s">
        <v>1192</v>
      </c>
      <c r="C136" s="215" t="s">
        <v>1191</v>
      </c>
      <c r="D136" s="128"/>
      <c r="E136" s="128" t="s">
        <v>11</v>
      </c>
      <c r="F136" s="134">
        <v>2</v>
      </c>
      <c r="G136" s="208">
        <f>'MINI SSR 2024-25'!$G$149</f>
        <v>350</v>
      </c>
      <c r="H136" s="125">
        <f t="shared" si="10"/>
        <v>700</v>
      </c>
      <c r="I136" s="10"/>
    </row>
    <row r="137" spans="1:12" hidden="1">
      <c r="A137" s="81"/>
      <c r="B137" s="128" t="s">
        <v>1194</v>
      </c>
      <c r="C137" s="215" t="s">
        <v>1193</v>
      </c>
      <c r="D137" s="128"/>
      <c r="E137" s="128" t="s">
        <v>11</v>
      </c>
      <c r="F137" s="134">
        <v>1</v>
      </c>
      <c r="G137" s="208">
        <f>'MINI SSR 2024-25'!$G$151</f>
        <v>51</v>
      </c>
      <c r="H137" s="125">
        <f t="shared" si="10"/>
        <v>51</v>
      </c>
      <c r="I137" s="10"/>
    </row>
    <row r="138" spans="1:12" hidden="1">
      <c r="A138" s="81"/>
      <c r="B138" s="128" t="s">
        <v>1180</v>
      </c>
      <c r="C138" s="215" t="s">
        <v>1179</v>
      </c>
      <c r="D138" s="128"/>
      <c r="E138" s="128" t="s">
        <v>11</v>
      </c>
      <c r="F138" s="134">
        <v>6</v>
      </c>
      <c r="G138" s="208">
        <f>'MINI SSR 2024-25'!$G$152</f>
        <v>41</v>
      </c>
      <c r="H138" s="125">
        <f t="shared" si="10"/>
        <v>246</v>
      </c>
      <c r="I138" s="10"/>
    </row>
    <row r="139" spans="1:12" hidden="1">
      <c r="A139" s="128"/>
      <c r="B139" s="128"/>
      <c r="C139" s="660" t="s">
        <v>68</v>
      </c>
      <c r="D139" s="128"/>
      <c r="E139" s="128"/>
      <c r="F139" s="208"/>
      <c r="G139" s="210"/>
      <c r="H139" s="125"/>
    </row>
    <row r="140" spans="1:12" ht="25.5" hidden="1">
      <c r="A140" s="128"/>
      <c r="B140" s="128" t="s">
        <v>1182</v>
      </c>
      <c r="C140" s="215" t="s">
        <v>1195</v>
      </c>
      <c r="D140" s="128"/>
      <c r="E140" s="128" t="s">
        <v>102</v>
      </c>
      <c r="F140" s="208">
        <f>ROUND(1.2*2.1,2)</f>
        <v>2.52</v>
      </c>
      <c r="G140" s="208">
        <f>'MINI SSR 2024-25'!$C$149</f>
        <v>2014</v>
      </c>
      <c r="H140" s="125">
        <f>ROUND(F140*G140*1/3,2)</f>
        <v>1691.76</v>
      </c>
      <c r="L140" s="19"/>
    </row>
    <row r="141" spans="1:12" ht="13.5" hidden="1" thickBot="1">
      <c r="A141" s="128"/>
      <c r="B141" s="128"/>
      <c r="C141" s="660"/>
      <c r="D141" s="128"/>
      <c r="E141" s="128"/>
      <c r="F141" s="128"/>
      <c r="G141" s="128"/>
      <c r="H141" s="209">
        <f>SUM(H130:H140)</f>
        <v>16617.559999999998</v>
      </c>
      <c r="L141" s="205"/>
    </row>
    <row r="142" spans="1:12" ht="127.5" hidden="1">
      <c r="A142" s="81">
        <v>7</v>
      </c>
      <c r="B142" s="207"/>
      <c r="C142" s="215" t="s">
        <v>1338</v>
      </c>
      <c r="D142" s="128"/>
      <c r="E142" s="128"/>
      <c r="F142" s="128"/>
      <c r="G142" s="128"/>
      <c r="H142" s="204"/>
    </row>
    <row r="143" spans="1:12" hidden="1">
      <c r="A143" s="81"/>
      <c r="B143" s="207"/>
      <c r="C143" s="660" t="s">
        <v>100</v>
      </c>
      <c r="D143" s="128"/>
      <c r="E143" s="128"/>
      <c r="F143" s="128"/>
      <c r="G143" s="128"/>
      <c r="H143" s="204"/>
    </row>
    <row r="144" spans="1:12" s="21" customFormat="1" hidden="1">
      <c r="A144" s="81"/>
      <c r="B144" s="207"/>
      <c r="C144" s="660" t="s">
        <v>584</v>
      </c>
      <c r="D144" s="128"/>
      <c r="E144" s="128"/>
      <c r="F144" s="128"/>
      <c r="G144" s="128"/>
      <c r="H144" s="204"/>
      <c r="J144" s="10"/>
    </row>
    <row r="145" spans="1:10" s="21" customFormat="1" hidden="1">
      <c r="A145" s="81"/>
      <c r="B145" s="207"/>
      <c r="C145" s="215" t="s">
        <v>2</v>
      </c>
      <c r="D145" s="656">
        <v>2</v>
      </c>
      <c r="E145" s="657">
        <v>1.9</v>
      </c>
      <c r="F145" s="658">
        <v>0.1</v>
      </c>
      <c r="G145" s="658">
        <v>7.4999999999999997E-2</v>
      </c>
      <c r="H145" s="659">
        <f>ROUND(D145*E145*F145*G145,4)</f>
        <v>2.8500000000000001E-2</v>
      </c>
      <c r="J145" s="10"/>
    </row>
    <row r="146" spans="1:10" s="21" customFormat="1" hidden="1">
      <c r="A146" s="81"/>
      <c r="B146" s="207"/>
      <c r="C146" s="215" t="s">
        <v>730</v>
      </c>
      <c r="D146" s="656">
        <v>1</v>
      </c>
      <c r="E146" s="657">
        <v>0.9</v>
      </c>
      <c r="F146" s="658">
        <v>0.1</v>
      </c>
      <c r="G146" s="658">
        <v>7.4999999999999997E-2</v>
      </c>
      <c r="H146" s="659">
        <f>ROUND(D146*E146*F146*G146,4)</f>
        <v>6.7999999999999996E-3</v>
      </c>
      <c r="J146" s="10"/>
    </row>
    <row r="147" spans="1:10" s="21" customFormat="1" hidden="1">
      <c r="A147" s="81"/>
      <c r="B147" s="207"/>
      <c r="C147" s="660"/>
      <c r="D147" s="656"/>
      <c r="E147" s="656"/>
      <c r="F147" s="656"/>
      <c r="G147" s="656"/>
      <c r="H147" s="662">
        <f>SUM(H145:H146)</f>
        <v>3.5299999999999998E-2</v>
      </c>
      <c r="J147" s="10"/>
    </row>
    <row r="148" spans="1:10" s="21" customFormat="1" hidden="1">
      <c r="A148" s="81"/>
      <c r="B148" s="207"/>
      <c r="C148" s="660" t="s">
        <v>311</v>
      </c>
      <c r="D148" s="656">
        <v>1</v>
      </c>
      <c r="E148" s="657">
        <v>2.0099999999999998</v>
      </c>
      <c r="F148" s="658">
        <v>0.8</v>
      </c>
      <c r="G148" s="658">
        <v>0.03</v>
      </c>
      <c r="H148" s="659">
        <f>ROUND(D148*E148*F148*G148,4)</f>
        <v>4.82E-2</v>
      </c>
      <c r="J148" s="10"/>
    </row>
    <row r="149" spans="1:10" s="21" customFormat="1" hidden="1">
      <c r="A149" s="81"/>
      <c r="B149" s="207"/>
      <c r="C149" s="215"/>
      <c r="D149" s="656"/>
      <c r="E149" s="656"/>
      <c r="F149" s="656"/>
      <c r="G149" s="656"/>
      <c r="H149" s="662">
        <f>SUM(H148:H148)</f>
        <v>4.82E-2</v>
      </c>
      <c r="J149" s="10"/>
    </row>
    <row r="150" spans="1:10" s="21" customFormat="1" hidden="1">
      <c r="A150" s="81"/>
      <c r="B150" s="207" t="s">
        <v>1166</v>
      </c>
      <c r="C150" s="215" t="s">
        <v>1165</v>
      </c>
      <c r="E150" s="128" t="s">
        <v>35</v>
      </c>
      <c r="F150" s="206">
        <f>H147</f>
        <v>3.5299999999999998E-2</v>
      </c>
      <c r="G150" s="208">
        <f>'MINI SSR 2024-25'!C142</f>
        <v>86000</v>
      </c>
      <c r="H150" s="125">
        <f t="shared" ref="H150:H157" si="11">ROUND(F150*G150,2)</f>
        <v>3035.8</v>
      </c>
      <c r="J150" s="10"/>
    </row>
    <row r="151" spans="1:10" s="21" customFormat="1" hidden="1">
      <c r="A151" s="81"/>
      <c r="B151" s="207" t="s">
        <v>1168</v>
      </c>
      <c r="C151" s="215" t="s">
        <v>1167</v>
      </c>
      <c r="E151" s="128" t="s">
        <v>35</v>
      </c>
      <c r="F151" s="206">
        <f>H149</f>
        <v>4.82E-2</v>
      </c>
      <c r="G151" s="208">
        <f>'MINI SSR 2024-25'!C143</f>
        <v>173500</v>
      </c>
      <c r="H151" s="125">
        <f t="shared" si="11"/>
        <v>8362.7000000000007</v>
      </c>
      <c r="J151" s="10"/>
    </row>
    <row r="152" spans="1:10" s="21" customFormat="1" hidden="1">
      <c r="A152" s="81"/>
      <c r="B152" s="207" t="s">
        <v>1170</v>
      </c>
      <c r="C152" s="215" t="s">
        <v>1169</v>
      </c>
      <c r="D152" s="128"/>
      <c r="E152" s="128" t="s">
        <v>11</v>
      </c>
      <c r="F152" s="134">
        <v>2</v>
      </c>
      <c r="G152" s="208">
        <f>'MINI SSR 2024-25'!G142</f>
        <v>288</v>
      </c>
      <c r="H152" s="125">
        <f t="shared" si="11"/>
        <v>576</v>
      </c>
      <c r="J152" s="10"/>
    </row>
    <row r="153" spans="1:10" s="21" customFormat="1" hidden="1">
      <c r="A153" s="81"/>
      <c r="B153" s="207" t="s">
        <v>1172</v>
      </c>
      <c r="C153" s="215" t="s">
        <v>1171</v>
      </c>
      <c r="D153" s="128"/>
      <c r="E153" s="128" t="s">
        <v>11</v>
      </c>
      <c r="F153" s="134">
        <v>3</v>
      </c>
      <c r="G153" s="208">
        <f>'MINI SSR 2024-25'!G145</f>
        <v>285</v>
      </c>
      <c r="H153" s="125">
        <f t="shared" si="11"/>
        <v>855</v>
      </c>
      <c r="J153" s="10"/>
    </row>
    <row r="154" spans="1:10" s="21" customFormat="1" hidden="1">
      <c r="A154" s="81"/>
      <c r="B154" s="207" t="s">
        <v>1174</v>
      </c>
      <c r="C154" s="215" t="s">
        <v>1173</v>
      </c>
      <c r="D154" s="128"/>
      <c r="E154" s="128" t="s">
        <v>11</v>
      </c>
      <c r="F154" s="134"/>
      <c r="G154" s="208">
        <f>'MINI SSR 2024-25'!G147</f>
        <v>127</v>
      </c>
      <c r="H154" s="125">
        <f t="shared" si="11"/>
        <v>0</v>
      </c>
      <c r="J154" s="10"/>
    </row>
    <row r="155" spans="1:10" s="21" customFormat="1" hidden="1">
      <c r="A155" s="81"/>
      <c r="B155" s="207" t="s">
        <v>1176</v>
      </c>
      <c r="C155" s="215" t="s">
        <v>1175</v>
      </c>
      <c r="D155" s="128"/>
      <c r="E155" s="128" t="s">
        <v>11</v>
      </c>
      <c r="F155" s="134">
        <v>2</v>
      </c>
      <c r="G155" s="208">
        <f>'MINI SSR 2024-25'!G148</f>
        <v>1312</v>
      </c>
      <c r="H155" s="125">
        <f t="shared" si="11"/>
        <v>2624</v>
      </c>
      <c r="J155" s="10"/>
    </row>
    <row r="156" spans="1:10" hidden="1">
      <c r="A156" s="81"/>
      <c r="B156" s="207" t="s">
        <v>1178</v>
      </c>
      <c r="C156" s="215" t="s">
        <v>1177</v>
      </c>
      <c r="D156" s="128"/>
      <c r="E156" s="128" t="s">
        <v>11</v>
      </c>
      <c r="F156" s="134">
        <v>1</v>
      </c>
      <c r="G156" s="208">
        <f>'MINI SSR 2024-25'!G150</f>
        <v>203</v>
      </c>
      <c r="H156" s="125">
        <f t="shared" si="11"/>
        <v>203</v>
      </c>
      <c r="I156" s="10"/>
    </row>
    <row r="157" spans="1:10" hidden="1">
      <c r="A157" s="81"/>
      <c r="B157" s="207" t="s">
        <v>1180</v>
      </c>
      <c r="C157" s="215" t="s">
        <v>1179</v>
      </c>
      <c r="D157" s="128"/>
      <c r="E157" s="128" t="s">
        <v>11</v>
      </c>
      <c r="F157" s="134">
        <v>6</v>
      </c>
      <c r="G157" s="208">
        <f>'MINI SSR 2024-25'!G152</f>
        <v>41</v>
      </c>
      <c r="H157" s="125">
        <f t="shared" si="11"/>
        <v>246</v>
      </c>
      <c r="I157" s="10"/>
    </row>
    <row r="158" spans="1:10" hidden="1">
      <c r="A158" s="81"/>
      <c r="B158" s="207"/>
      <c r="C158" s="660" t="s">
        <v>68</v>
      </c>
      <c r="D158" s="10"/>
      <c r="E158" s="128"/>
      <c r="F158" s="208"/>
      <c r="G158" s="210"/>
      <c r="H158" s="125"/>
      <c r="I158" s="10"/>
    </row>
    <row r="159" spans="1:10" hidden="1">
      <c r="A159" s="81"/>
      <c r="B159" s="128" t="s">
        <v>1182</v>
      </c>
      <c r="C159" s="215" t="s">
        <v>1181</v>
      </c>
      <c r="D159" s="10"/>
      <c r="E159" s="128" t="s">
        <v>102</v>
      </c>
      <c r="F159" s="208">
        <f>ROUND(0.9*2.1,2)</f>
        <v>1.89</v>
      </c>
      <c r="G159" s="208">
        <f>'MINI SSR 2024-25'!C149</f>
        <v>2014</v>
      </c>
      <c r="H159" s="125">
        <f>ROUND(F159*G159*1/3,2)</f>
        <v>1268.82</v>
      </c>
      <c r="I159" s="10"/>
    </row>
    <row r="160" spans="1:10" hidden="1">
      <c r="A160" s="81"/>
      <c r="B160" s="207"/>
      <c r="C160" s="660"/>
      <c r="D160" s="128"/>
      <c r="E160" s="128"/>
      <c r="F160" s="128"/>
      <c r="G160" s="128"/>
      <c r="H160" s="209">
        <f>SUM(H150:H159)</f>
        <v>17171.32</v>
      </c>
      <c r="I160" s="10"/>
    </row>
    <row r="161" spans="1:10" ht="114.75" hidden="1">
      <c r="A161" s="81">
        <v>8</v>
      </c>
      <c r="B161" s="207"/>
      <c r="C161" s="215" t="s">
        <v>2140</v>
      </c>
      <c r="D161" s="128"/>
      <c r="E161" s="128"/>
      <c r="F161" s="128"/>
      <c r="G161" s="128"/>
      <c r="H161" s="204"/>
    </row>
    <row r="162" spans="1:10" hidden="1">
      <c r="A162" s="81"/>
      <c r="B162" s="207"/>
      <c r="C162" s="660" t="s">
        <v>100</v>
      </c>
      <c r="D162" s="128"/>
      <c r="E162" s="128"/>
      <c r="F162" s="128"/>
      <c r="G162" s="128"/>
      <c r="H162" s="204"/>
    </row>
    <row r="163" spans="1:10" s="21" customFormat="1" hidden="1">
      <c r="A163" s="81"/>
      <c r="B163" s="207"/>
      <c r="C163" s="660" t="s">
        <v>1</v>
      </c>
      <c r="D163" s="128"/>
      <c r="E163" s="128"/>
      <c r="F163" s="128"/>
      <c r="G163" s="128"/>
      <c r="H163" s="204"/>
      <c r="J163" s="10"/>
    </row>
    <row r="164" spans="1:10" s="21" customFormat="1" hidden="1">
      <c r="A164" s="81"/>
      <c r="B164" s="207"/>
      <c r="C164" s="215" t="s">
        <v>2</v>
      </c>
      <c r="D164" s="656">
        <v>2</v>
      </c>
      <c r="E164" s="657">
        <v>1.9</v>
      </c>
      <c r="F164" s="658">
        <v>0.1</v>
      </c>
      <c r="G164" s="658">
        <v>7.4999999999999997E-2</v>
      </c>
      <c r="H164" s="659">
        <f>ROUND(D164*E164*F164*G164,4)</f>
        <v>2.8500000000000001E-2</v>
      </c>
      <c r="J164" s="10"/>
    </row>
    <row r="165" spans="1:10" s="21" customFormat="1" hidden="1">
      <c r="A165" s="81"/>
      <c r="B165" s="207"/>
      <c r="C165" s="215" t="s">
        <v>730</v>
      </c>
      <c r="D165" s="656">
        <v>1</v>
      </c>
      <c r="E165" s="657">
        <v>0.9</v>
      </c>
      <c r="F165" s="658">
        <v>0.1</v>
      </c>
      <c r="G165" s="658">
        <v>7.4999999999999997E-2</v>
      </c>
      <c r="H165" s="659">
        <f>ROUND(D165*E165*F165*G165,4)</f>
        <v>6.7999999999999996E-3</v>
      </c>
      <c r="J165" s="10"/>
    </row>
    <row r="166" spans="1:10" s="21" customFormat="1" hidden="1">
      <c r="A166" s="81"/>
      <c r="B166" s="207"/>
      <c r="C166" s="660"/>
      <c r="D166" s="656"/>
      <c r="E166" s="656"/>
      <c r="F166" s="656"/>
      <c r="G166" s="656"/>
      <c r="H166" s="662">
        <f>SUM(H164:H165)</f>
        <v>3.5299999999999998E-2</v>
      </c>
      <c r="J166" s="10"/>
    </row>
    <row r="167" spans="1:10" s="21" customFormat="1" hidden="1">
      <c r="A167" s="81"/>
      <c r="B167" s="207"/>
      <c r="C167" s="660" t="s">
        <v>2141</v>
      </c>
      <c r="D167" s="656">
        <v>2</v>
      </c>
      <c r="E167" s="657">
        <v>2.0099999999999998</v>
      </c>
      <c r="F167" s="658">
        <v>0.4</v>
      </c>
      <c r="G167" s="658">
        <v>0.03</v>
      </c>
      <c r="H167" s="659">
        <f>ROUND(D167*E167*F167*G167,4)</f>
        <v>4.82E-2</v>
      </c>
      <c r="J167" s="10"/>
    </row>
    <row r="168" spans="1:10" s="21" customFormat="1" hidden="1">
      <c r="A168" s="81"/>
      <c r="B168" s="207"/>
      <c r="C168" s="215"/>
      <c r="D168" s="656"/>
      <c r="E168" s="656"/>
      <c r="F168" s="656"/>
      <c r="G168" s="656"/>
      <c r="H168" s="662">
        <f>SUM(H167:H167)</f>
        <v>4.82E-2</v>
      </c>
      <c r="J168" s="10"/>
    </row>
    <row r="169" spans="1:10" s="21" customFormat="1" hidden="1">
      <c r="A169" s="81"/>
      <c r="B169" s="207" t="s">
        <v>1772</v>
      </c>
      <c r="C169" s="215" t="s">
        <v>2142</v>
      </c>
      <c r="D169" s="128"/>
      <c r="E169" s="128" t="s">
        <v>35</v>
      </c>
      <c r="F169" s="206">
        <f>H166</f>
        <v>3.5299999999999998E-2</v>
      </c>
      <c r="G169" s="208">
        <f>'MINI SSR 2024-25'!C144</f>
        <v>53228</v>
      </c>
      <c r="H169" s="125">
        <f t="shared" ref="H169:H176" si="12">ROUND(F169*G169,2)</f>
        <v>1878.95</v>
      </c>
      <c r="J169" s="10"/>
    </row>
    <row r="170" spans="1:10" s="21" customFormat="1" hidden="1">
      <c r="A170" s="81"/>
      <c r="B170" s="207" t="s">
        <v>1773</v>
      </c>
      <c r="C170" s="215" t="s">
        <v>2143</v>
      </c>
      <c r="D170" s="128"/>
      <c r="E170" s="128" t="s">
        <v>35</v>
      </c>
      <c r="F170" s="206">
        <f>H168</f>
        <v>4.82E-2</v>
      </c>
      <c r="G170" s="208">
        <f>'MINI SSR 2024-25'!C145</f>
        <v>78753</v>
      </c>
      <c r="H170" s="125">
        <f t="shared" si="12"/>
        <v>3795.89</v>
      </c>
      <c r="J170" s="10"/>
    </row>
    <row r="171" spans="1:10" s="21" customFormat="1" hidden="1">
      <c r="A171" s="81"/>
      <c r="B171" s="207" t="s">
        <v>1188</v>
      </c>
      <c r="C171" s="215" t="s">
        <v>2144</v>
      </c>
      <c r="D171" s="128"/>
      <c r="E171" s="128" t="s">
        <v>11</v>
      </c>
      <c r="F171" s="134">
        <v>2</v>
      </c>
      <c r="G171" s="208">
        <f>'MINI SSR 2024-25'!G143</f>
        <v>90</v>
      </c>
      <c r="H171" s="125">
        <f t="shared" si="12"/>
        <v>180</v>
      </c>
      <c r="J171" s="10"/>
    </row>
    <row r="172" spans="1:10" s="21" customFormat="1" hidden="1">
      <c r="A172" s="81"/>
      <c r="B172" s="207" t="s">
        <v>1190</v>
      </c>
      <c r="C172" s="215" t="s">
        <v>2147</v>
      </c>
      <c r="D172" s="128"/>
      <c r="E172" s="128" t="s">
        <v>11</v>
      </c>
      <c r="F172" s="134">
        <v>6</v>
      </c>
      <c r="G172" s="208">
        <f>'MINI SSR 2024-25'!G146</f>
        <v>135</v>
      </c>
      <c r="H172" s="125">
        <f t="shared" si="12"/>
        <v>810</v>
      </c>
      <c r="J172" s="10"/>
    </row>
    <row r="173" spans="1:10" s="21" customFormat="1" hidden="1">
      <c r="A173" s="81"/>
      <c r="B173" s="207" t="s">
        <v>1174</v>
      </c>
      <c r="C173" s="215" t="s">
        <v>1173</v>
      </c>
      <c r="D173" s="128"/>
      <c r="E173" s="128" t="s">
        <v>11</v>
      </c>
      <c r="F173" s="134"/>
      <c r="G173" s="208">
        <v>103</v>
      </c>
      <c r="H173" s="125">
        <f t="shared" si="12"/>
        <v>0</v>
      </c>
      <c r="J173" s="10"/>
    </row>
    <row r="174" spans="1:10" s="21" customFormat="1" hidden="1">
      <c r="A174" s="81"/>
      <c r="B174" s="207" t="s">
        <v>1192</v>
      </c>
      <c r="C174" s="215" t="s">
        <v>2145</v>
      </c>
      <c r="D174" s="128"/>
      <c r="E174" s="128" t="s">
        <v>11</v>
      </c>
      <c r="F174" s="134">
        <v>2</v>
      </c>
      <c r="G174" s="208">
        <f>'MINI SSR 2024-25'!G149</f>
        <v>350</v>
      </c>
      <c r="H174" s="125">
        <f t="shared" si="12"/>
        <v>700</v>
      </c>
      <c r="J174" s="10"/>
    </row>
    <row r="175" spans="1:10" hidden="1">
      <c r="A175" s="81"/>
      <c r="B175" s="207" t="s">
        <v>1780</v>
      </c>
      <c r="C175" s="215" t="s">
        <v>2146</v>
      </c>
      <c r="D175" s="128"/>
      <c r="E175" s="128" t="s">
        <v>11</v>
      </c>
      <c r="F175" s="134">
        <v>1</v>
      </c>
      <c r="G175" s="208">
        <f>'MINI SSR 2024-25'!G155</f>
        <v>66</v>
      </c>
      <c r="H175" s="125">
        <f t="shared" si="12"/>
        <v>66</v>
      </c>
      <c r="I175" s="10"/>
    </row>
    <row r="176" spans="1:10" hidden="1">
      <c r="A176" s="81"/>
      <c r="B176" s="207" t="s">
        <v>1180</v>
      </c>
      <c r="C176" s="215" t="s">
        <v>1179</v>
      </c>
      <c r="D176" s="128"/>
      <c r="E176" s="128" t="s">
        <v>11</v>
      </c>
      <c r="F176" s="134">
        <v>6</v>
      </c>
      <c r="G176" s="208">
        <f>'MINI SSR 2024-25'!G152</f>
        <v>41</v>
      </c>
      <c r="H176" s="125">
        <f t="shared" si="12"/>
        <v>246</v>
      </c>
      <c r="I176" s="10"/>
    </row>
    <row r="177" spans="1:10" hidden="1">
      <c r="A177" s="81"/>
      <c r="B177" s="207"/>
      <c r="C177" s="660" t="s">
        <v>68</v>
      </c>
      <c r="D177" s="128"/>
      <c r="E177" s="128"/>
      <c r="F177" s="208"/>
      <c r="G177" s="210"/>
      <c r="H177" s="125"/>
      <c r="I177" s="10"/>
    </row>
    <row r="178" spans="1:10" hidden="1">
      <c r="A178" s="81"/>
      <c r="B178" s="128" t="s">
        <v>1775</v>
      </c>
      <c r="C178" s="215" t="s">
        <v>1181</v>
      </c>
      <c r="D178" s="128"/>
      <c r="E178" s="128" t="s">
        <v>102</v>
      </c>
      <c r="F178" s="208">
        <f>ROUND(0.9*2.1,2)</f>
        <v>1.89</v>
      </c>
      <c r="G178" s="208">
        <f>'MINI SSR 2024-25'!C150</f>
        <v>1983</v>
      </c>
      <c r="H178" s="125">
        <f>ROUND(F178*G178,2)</f>
        <v>3747.87</v>
      </c>
      <c r="I178" s="10"/>
    </row>
    <row r="179" spans="1:10" hidden="1">
      <c r="A179" s="81"/>
      <c r="B179" s="207"/>
      <c r="C179" s="660"/>
      <c r="D179" s="128"/>
      <c r="E179" s="128"/>
      <c r="F179" s="128"/>
      <c r="G179" s="128"/>
      <c r="H179" s="209">
        <f>SUM(H169:H178)</f>
        <v>11424.71</v>
      </c>
      <c r="I179" s="10"/>
    </row>
    <row r="180" spans="1:10" ht="127.5" hidden="1">
      <c r="A180" s="81">
        <v>9</v>
      </c>
      <c r="B180" s="207"/>
      <c r="C180" s="215" t="s">
        <v>1339</v>
      </c>
      <c r="D180" s="128"/>
      <c r="E180" s="128"/>
      <c r="F180" s="128"/>
      <c r="G180" s="128"/>
      <c r="H180" s="204"/>
    </row>
    <row r="181" spans="1:10" hidden="1">
      <c r="A181" s="81"/>
      <c r="B181" s="207"/>
      <c r="C181" s="660" t="s">
        <v>100</v>
      </c>
      <c r="D181" s="128"/>
      <c r="E181" s="128"/>
      <c r="F181" s="128"/>
      <c r="G181" s="128"/>
      <c r="H181" s="204"/>
    </row>
    <row r="182" spans="1:10" s="21" customFormat="1" hidden="1">
      <c r="A182" s="81"/>
      <c r="B182" s="207"/>
      <c r="C182" s="660" t="s">
        <v>584</v>
      </c>
      <c r="D182" s="128"/>
      <c r="E182" s="128"/>
      <c r="F182" s="128"/>
      <c r="G182" s="128"/>
      <c r="H182" s="204"/>
      <c r="J182" s="10"/>
    </row>
    <row r="183" spans="1:10" s="21" customFormat="1" hidden="1">
      <c r="A183" s="81"/>
      <c r="B183" s="207"/>
      <c r="C183" s="215" t="s">
        <v>2</v>
      </c>
      <c r="D183" s="656">
        <v>2</v>
      </c>
      <c r="E183" s="657">
        <v>1.9</v>
      </c>
      <c r="F183" s="658">
        <v>0.1</v>
      </c>
      <c r="G183" s="658">
        <v>7.4999999999999997E-2</v>
      </c>
      <c r="H183" s="659">
        <f>ROUND(D183*E183*F183*G183,4)</f>
        <v>2.8500000000000001E-2</v>
      </c>
      <c r="J183" s="10"/>
    </row>
    <row r="184" spans="1:10" s="21" customFormat="1" hidden="1">
      <c r="A184" s="81"/>
      <c r="B184" s="207"/>
      <c r="C184" s="215" t="s">
        <v>730</v>
      </c>
      <c r="D184" s="656">
        <v>1</v>
      </c>
      <c r="E184" s="657">
        <v>0.8</v>
      </c>
      <c r="F184" s="658">
        <v>0.1</v>
      </c>
      <c r="G184" s="658">
        <v>7.4999999999999997E-2</v>
      </c>
      <c r="H184" s="659">
        <f>ROUND(D184*E184*F184*G184,4)</f>
        <v>6.0000000000000001E-3</v>
      </c>
      <c r="J184" s="10"/>
    </row>
    <row r="185" spans="1:10" s="21" customFormat="1" hidden="1">
      <c r="A185" s="81"/>
      <c r="B185" s="207"/>
      <c r="C185" s="660"/>
      <c r="D185" s="656"/>
      <c r="E185" s="656"/>
      <c r="F185" s="656"/>
      <c r="G185" s="656"/>
      <c r="H185" s="662">
        <f>SUM(H183:H184)</f>
        <v>3.4500000000000003E-2</v>
      </c>
      <c r="J185" s="10"/>
    </row>
    <row r="186" spans="1:10" s="21" customFormat="1" hidden="1">
      <c r="A186" s="81"/>
      <c r="B186" s="207"/>
      <c r="C186" s="660" t="s">
        <v>311</v>
      </c>
      <c r="D186" s="656">
        <v>1</v>
      </c>
      <c r="E186" s="657">
        <v>2.0099999999999998</v>
      </c>
      <c r="F186" s="658">
        <v>0.72</v>
      </c>
      <c r="G186" s="658">
        <v>0.03</v>
      </c>
      <c r="H186" s="659">
        <f>ROUND(D186*E186*F186*G186,4)</f>
        <v>4.3400000000000001E-2</v>
      </c>
      <c r="J186" s="10"/>
    </row>
    <row r="187" spans="1:10" s="21" customFormat="1" hidden="1">
      <c r="A187" s="81"/>
      <c r="B187" s="207"/>
      <c r="C187" s="215"/>
      <c r="D187" s="656"/>
      <c r="E187" s="656"/>
      <c r="F187" s="656"/>
      <c r="G187" s="656"/>
      <c r="H187" s="662">
        <f>SUM(H186:H186)</f>
        <v>4.3400000000000001E-2</v>
      </c>
      <c r="J187" s="10"/>
    </row>
    <row r="188" spans="1:10" s="21" customFormat="1" hidden="1">
      <c r="A188" s="81"/>
      <c r="B188" s="207" t="s">
        <v>1166</v>
      </c>
      <c r="C188" s="215" t="s">
        <v>1165</v>
      </c>
      <c r="E188" s="128" t="s">
        <v>35</v>
      </c>
      <c r="F188" s="206">
        <f>H185</f>
        <v>3.4500000000000003E-2</v>
      </c>
      <c r="G188" s="208">
        <f>'MINI SSR 2024-25'!C142</f>
        <v>86000</v>
      </c>
      <c r="H188" s="125">
        <f t="shared" ref="H188:H195" si="13">ROUND(F188*G188,2)</f>
        <v>2967</v>
      </c>
      <c r="J188" s="10"/>
    </row>
    <row r="189" spans="1:10" s="21" customFormat="1" hidden="1">
      <c r="A189" s="81"/>
      <c r="B189" s="207" t="s">
        <v>1168</v>
      </c>
      <c r="C189" s="215" t="s">
        <v>1167</v>
      </c>
      <c r="E189" s="128" t="s">
        <v>35</v>
      </c>
      <c r="F189" s="206">
        <f>H187</f>
        <v>4.3400000000000001E-2</v>
      </c>
      <c r="G189" s="208">
        <f>'MINI SSR 2024-25'!C143</f>
        <v>173500</v>
      </c>
      <c r="H189" s="125">
        <f t="shared" si="13"/>
        <v>7529.9</v>
      </c>
      <c r="J189" s="10"/>
    </row>
    <row r="190" spans="1:10" s="21" customFormat="1" hidden="1">
      <c r="A190" s="81"/>
      <c r="B190" s="207" t="s">
        <v>1170</v>
      </c>
      <c r="C190" s="215" t="s">
        <v>1169</v>
      </c>
      <c r="D190" s="128"/>
      <c r="E190" s="128" t="s">
        <v>11</v>
      </c>
      <c r="F190" s="134">
        <v>2</v>
      </c>
      <c r="G190" s="208">
        <f>'MINI SSR 2024-25'!G142</f>
        <v>288</v>
      </c>
      <c r="H190" s="125">
        <f t="shared" si="13"/>
        <v>576</v>
      </c>
      <c r="J190" s="10"/>
    </row>
    <row r="191" spans="1:10" s="21" customFormat="1" hidden="1">
      <c r="A191" s="81"/>
      <c r="B191" s="207" t="s">
        <v>1172</v>
      </c>
      <c r="C191" s="215" t="s">
        <v>1171</v>
      </c>
      <c r="D191" s="128"/>
      <c r="E191" s="128" t="s">
        <v>11</v>
      </c>
      <c r="F191" s="134">
        <v>3</v>
      </c>
      <c r="G191" s="208">
        <f>'MINI SSR 2024-25'!G145</f>
        <v>285</v>
      </c>
      <c r="H191" s="125">
        <f t="shared" si="13"/>
        <v>855</v>
      </c>
      <c r="J191" s="10"/>
    </row>
    <row r="192" spans="1:10" s="21" customFormat="1" hidden="1">
      <c r="A192" s="81"/>
      <c r="B192" s="207" t="s">
        <v>1174</v>
      </c>
      <c r="C192" s="215" t="s">
        <v>1173</v>
      </c>
      <c r="D192" s="128"/>
      <c r="E192" s="128" t="s">
        <v>11</v>
      </c>
      <c r="F192" s="134"/>
      <c r="G192" s="208">
        <f>'MINI SSR 2024-25'!G147</f>
        <v>127</v>
      </c>
      <c r="H192" s="125">
        <f t="shared" si="13"/>
        <v>0</v>
      </c>
      <c r="J192" s="10"/>
    </row>
    <row r="193" spans="1:10" s="21" customFormat="1" hidden="1">
      <c r="A193" s="81"/>
      <c r="B193" s="207" t="s">
        <v>1176</v>
      </c>
      <c r="C193" s="215" t="s">
        <v>1175</v>
      </c>
      <c r="D193" s="128"/>
      <c r="E193" s="128" t="s">
        <v>11</v>
      </c>
      <c r="F193" s="134">
        <v>2</v>
      </c>
      <c r="G193" s="208">
        <f>'MINI SSR 2024-25'!G148</f>
        <v>1312</v>
      </c>
      <c r="H193" s="125">
        <f t="shared" si="13"/>
        <v>2624</v>
      </c>
      <c r="J193" s="10"/>
    </row>
    <row r="194" spans="1:10" hidden="1">
      <c r="A194" s="81"/>
      <c r="B194" s="207" t="s">
        <v>1178</v>
      </c>
      <c r="C194" s="215" t="s">
        <v>1177</v>
      </c>
      <c r="D194" s="128"/>
      <c r="E194" s="128" t="s">
        <v>11</v>
      </c>
      <c r="F194" s="134">
        <v>1</v>
      </c>
      <c r="G194" s="208">
        <f>'MINI SSR 2024-25'!G150</f>
        <v>203</v>
      </c>
      <c r="H194" s="125">
        <f t="shared" si="13"/>
        <v>203</v>
      </c>
      <c r="I194" s="10"/>
    </row>
    <row r="195" spans="1:10" hidden="1">
      <c r="A195" s="81"/>
      <c r="B195" s="207" t="s">
        <v>1180</v>
      </c>
      <c r="C195" s="215" t="s">
        <v>1179</v>
      </c>
      <c r="D195" s="128"/>
      <c r="E195" s="128" t="s">
        <v>11</v>
      </c>
      <c r="F195" s="134">
        <v>6</v>
      </c>
      <c r="G195" s="208">
        <f>'MINI SSR 2024-25'!G152</f>
        <v>41</v>
      </c>
      <c r="H195" s="125">
        <f t="shared" si="13"/>
        <v>246</v>
      </c>
      <c r="I195" s="10"/>
    </row>
    <row r="196" spans="1:10" hidden="1">
      <c r="A196" s="81"/>
      <c r="B196" s="207"/>
      <c r="C196" s="660" t="s">
        <v>68</v>
      </c>
      <c r="D196" s="10"/>
      <c r="E196" s="128"/>
      <c r="F196" s="208"/>
      <c r="G196" s="210"/>
      <c r="H196" s="125"/>
      <c r="I196" s="10"/>
    </row>
    <row r="197" spans="1:10" hidden="1">
      <c r="A197" s="81"/>
      <c r="B197" s="128" t="s">
        <v>1182</v>
      </c>
      <c r="C197" s="215" t="s">
        <v>1181</v>
      </c>
      <c r="D197" s="10"/>
      <c r="E197" s="128" t="s">
        <v>102</v>
      </c>
      <c r="F197" s="208">
        <f>ROUND(0.9*2.1,2)</f>
        <v>1.89</v>
      </c>
      <c r="G197" s="208">
        <f>'MINI SSR 2024-25'!C149</f>
        <v>2014</v>
      </c>
      <c r="H197" s="125">
        <f>ROUND(F197*G197*1/3,2)</f>
        <v>1268.82</v>
      </c>
      <c r="I197" s="10"/>
    </row>
    <row r="198" spans="1:10" hidden="1">
      <c r="A198" s="81"/>
      <c r="B198" s="207"/>
      <c r="C198" s="660"/>
      <c r="D198" s="128"/>
      <c r="E198" s="128"/>
      <c r="F198" s="128"/>
      <c r="G198" s="128"/>
      <c r="H198" s="209">
        <f>SUM(H188:H197)</f>
        <v>16269.72</v>
      </c>
      <c r="I198" s="10"/>
    </row>
    <row r="199" spans="1:10" ht="127.5" hidden="1">
      <c r="A199" s="81">
        <v>1</v>
      </c>
      <c r="B199" s="207"/>
      <c r="C199" s="215" t="s">
        <v>2254</v>
      </c>
      <c r="D199" s="128"/>
      <c r="E199" s="128"/>
      <c r="F199" s="128"/>
      <c r="G199" s="128"/>
      <c r="H199" s="204"/>
    </row>
    <row r="200" spans="1:10" hidden="1">
      <c r="A200" s="81"/>
      <c r="B200" s="207"/>
      <c r="C200" s="660" t="s">
        <v>100</v>
      </c>
      <c r="D200" s="128"/>
      <c r="E200" s="128"/>
      <c r="F200" s="128"/>
      <c r="G200" s="128"/>
      <c r="H200" s="204"/>
    </row>
    <row r="201" spans="1:10" s="21" customFormat="1" hidden="1">
      <c r="A201" s="81"/>
      <c r="B201" s="207"/>
      <c r="C201" s="660" t="s">
        <v>584</v>
      </c>
      <c r="D201" s="128"/>
      <c r="E201" s="128"/>
      <c r="F201" s="128"/>
      <c r="G201" s="128"/>
      <c r="H201" s="204"/>
      <c r="J201" s="10"/>
    </row>
    <row r="202" spans="1:10" s="21" customFormat="1" hidden="1">
      <c r="A202" s="81"/>
      <c r="B202" s="207"/>
      <c r="C202" s="215" t="s">
        <v>2</v>
      </c>
      <c r="D202" s="656">
        <v>2</v>
      </c>
      <c r="E202" s="657">
        <v>1.9</v>
      </c>
      <c r="F202" s="658">
        <v>0.1</v>
      </c>
      <c r="G202" s="658">
        <v>7.4999999999999997E-2</v>
      </c>
      <c r="H202" s="659">
        <f>ROUND(D202*E202*F202*G202,4)</f>
        <v>2.8500000000000001E-2</v>
      </c>
      <c r="J202" s="10"/>
    </row>
    <row r="203" spans="1:10" s="21" customFormat="1" hidden="1">
      <c r="A203" s="81"/>
      <c r="B203" s="207"/>
      <c r="C203" s="215" t="s">
        <v>730</v>
      </c>
      <c r="D203" s="656">
        <v>1</v>
      </c>
      <c r="E203" s="657">
        <v>1.2</v>
      </c>
      <c r="F203" s="658">
        <v>0.1</v>
      </c>
      <c r="G203" s="658">
        <v>7.4999999999999997E-2</v>
      </c>
      <c r="H203" s="659">
        <f>ROUND(D203*E203*F203*G203,4)</f>
        <v>8.9999999999999993E-3</v>
      </c>
      <c r="J203" s="10"/>
    </row>
    <row r="204" spans="1:10" s="21" customFormat="1" hidden="1">
      <c r="A204" s="81"/>
      <c r="B204" s="207"/>
      <c r="C204" s="660"/>
      <c r="D204" s="656"/>
      <c r="E204" s="656"/>
      <c r="F204" s="656"/>
      <c r="G204" s="656"/>
      <c r="H204" s="662">
        <f>SUM(H202:H203)</f>
        <v>3.7499999999999999E-2</v>
      </c>
      <c r="J204" s="10"/>
    </row>
    <row r="205" spans="1:10" s="21" customFormat="1" hidden="1">
      <c r="A205" s="81"/>
      <c r="B205" s="207"/>
      <c r="C205" s="660" t="s">
        <v>311</v>
      </c>
      <c r="D205" s="656">
        <v>1</v>
      </c>
      <c r="E205" s="657">
        <v>2.0099999999999998</v>
      </c>
      <c r="F205" s="658">
        <v>0.94</v>
      </c>
      <c r="G205" s="658">
        <v>0.03</v>
      </c>
      <c r="H205" s="659">
        <f>ROUND(D205*E205*F205*G205,4)</f>
        <v>5.67E-2</v>
      </c>
      <c r="J205" s="10"/>
    </row>
    <row r="206" spans="1:10" s="21" customFormat="1" hidden="1">
      <c r="A206" s="81"/>
      <c r="B206" s="207"/>
      <c r="C206" s="215"/>
      <c r="D206" s="656"/>
      <c r="E206" s="656"/>
      <c r="F206" s="656"/>
      <c r="G206" s="656"/>
      <c r="H206" s="662">
        <f>SUM(H205:H205)</f>
        <v>5.67E-2</v>
      </c>
      <c r="J206" s="10"/>
    </row>
    <row r="207" spans="1:10" s="21" customFormat="1" hidden="1">
      <c r="A207" s="81"/>
      <c r="B207" s="207" t="s">
        <v>1166</v>
      </c>
      <c r="C207" s="215" t="s">
        <v>1165</v>
      </c>
      <c r="D207" s="128"/>
      <c r="E207" s="128" t="s">
        <v>35</v>
      </c>
      <c r="F207" s="206">
        <f>H204</f>
        <v>3.7499999999999999E-2</v>
      </c>
      <c r="G207" s="208">
        <f>'MINI SSR 2024-25'!C142</f>
        <v>86000</v>
      </c>
      <c r="H207" s="125">
        <f t="shared" ref="H207:H214" si="14">ROUND(F207*G207,2)</f>
        <v>3225</v>
      </c>
      <c r="J207" s="10"/>
    </row>
    <row r="208" spans="1:10" s="21" customFormat="1" hidden="1">
      <c r="A208" s="81"/>
      <c r="B208" s="207" t="s">
        <v>1168</v>
      </c>
      <c r="C208" s="215" t="s">
        <v>1167</v>
      </c>
      <c r="D208" s="128"/>
      <c r="E208" s="128" t="s">
        <v>35</v>
      </c>
      <c r="F208" s="206">
        <f>H206</f>
        <v>5.67E-2</v>
      </c>
      <c r="G208" s="208">
        <f>'MINI SSR 2024-25'!C143</f>
        <v>173500</v>
      </c>
      <c r="H208" s="125">
        <f t="shared" si="14"/>
        <v>9837.4500000000007</v>
      </c>
      <c r="J208" s="10"/>
    </row>
    <row r="209" spans="1:10" s="21" customFormat="1" hidden="1">
      <c r="A209" s="81"/>
      <c r="B209" s="207" t="s">
        <v>1170</v>
      </c>
      <c r="C209" s="215" t="s">
        <v>1169</v>
      </c>
      <c r="D209" s="128"/>
      <c r="E209" s="128" t="s">
        <v>11</v>
      </c>
      <c r="F209" s="134">
        <v>2</v>
      </c>
      <c r="G209" s="208">
        <f>'MINI SSR 2024-25'!G142</f>
        <v>288</v>
      </c>
      <c r="H209" s="125">
        <f t="shared" si="14"/>
        <v>576</v>
      </c>
      <c r="J209" s="10"/>
    </row>
    <row r="210" spans="1:10" s="21" customFormat="1" hidden="1">
      <c r="A210" s="81"/>
      <c r="B210" s="207" t="s">
        <v>1172</v>
      </c>
      <c r="C210" s="215" t="s">
        <v>1171</v>
      </c>
      <c r="D210" s="128"/>
      <c r="E210" s="128" t="s">
        <v>11</v>
      </c>
      <c r="F210" s="134">
        <v>3</v>
      </c>
      <c r="G210" s="208">
        <f>'MINI SSR 2024-25'!G145</f>
        <v>285</v>
      </c>
      <c r="H210" s="125">
        <f t="shared" si="14"/>
        <v>855</v>
      </c>
      <c r="J210" s="10"/>
    </row>
    <row r="211" spans="1:10" s="21" customFormat="1" hidden="1">
      <c r="A211" s="81"/>
      <c r="B211" s="207" t="s">
        <v>1174</v>
      </c>
      <c r="C211" s="215" t="s">
        <v>1173</v>
      </c>
      <c r="D211" s="128"/>
      <c r="E211" s="128" t="s">
        <v>11</v>
      </c>
      <c r="F211" s="134"/>
      <c r="G211" s="208">
        <f>'MINI SSR 2024-25'!G147</f>
        <v>127</v>
      </c>
      <c r="H211" s="125">
        <f t="shared" si="14"/>
        <v>0</v>
      </c>
      <c r="J211" s="10"/>
    </row>
    <row r="212" spans="1:10" s="21" customFormat="1" hidden="1">
      <c r="A212" s="81"/>
      <c r="B212" s="207" t="s">
        <v>1176</v>
      </c>
      <c r="C212" s="215" t="s">
        <v>1175</v>
      </c>
      <c r="D212" s="128"/>
      <c r="E212" s="128" t="s">
        <v>11</v>
      </c>
      <c r="F212" s="134">
        <v>2</v>
      </c>
      <c r="G212" s="208">
        <f>'MINI SSR 2024-25'!G148</f>
        <v>1312</v>
      </c>
      <c r="H212" s="125">
        <f t="shared" si="14"/>
        <v>2624</v>
      </c>
      <c r="J212" s="10"/>
    </row>
    <row r="213" spans="1:10" hidden="1">
      <c r="A213" s="81"/>
      <c r="B213" s="207" t="s">
        <v>1178</v>
      </c>
      <c r="C213" s="215" t="s">
        <v>1177</v>
      </c>
      <c r="D213" s="128"/>
      <c r="E213" s="128" t="s">
        <v>11</v>
      </c>
      <c r="F213" s="134">
        <v>1</v>
      </c>
      <c r="G213" s="208">
        <f>'MINI SSR 2024-25'!G150</f>
        <v>203</v>
      </c>
      <c r="H213" s="125">
        <f t="shared" si="14"/>
        <v>203</v>
      </c>
      <c r="I213" s="10"/>
    </row>
    <row r="214" spans="1:10" hidden="1">
      <c r="A214" s="81"/>
      <c r="B214" s="207" t="s">
        <v>1180</v>
      </c>
      <c r="C214" s="215" t="s">
        <v>1179</v>
      </c>
      <c r="D214" s="128"/>
      <c r="E214" s="128" t="s">
        <v>11</v>
      </c>
      <c r="F214" s="134">
        <v>6</v>
      </c>
      <c r="G214" s="208">
        <f>'MINI SSR 2024-25'!G152</f>
        <v>41</v>
      </c>
      <c r="H214" s="125">
        <f t="shared" si="14"/>
        <v>246</v>
      </c>
      <c r="I214" s="10"/>
    </row>
    <row r="215" spans="1:10" hidden="1">
      <c r="A215" s="81"/>
      <c r="B215" s="207"/>
      <c r="C215" s="660" t="s">
        <v>68</v>
      </c>
      <c r="D215" s="10"/>
      <c r="E215" s="128"/>
      <c r="F215" s="208"/>
      <c r="G215" s="210"/>
      <c r="H215" s="125"/>
      <c r="I215" s="10"/>
    </row>
    <row r="216" spans="1:10" hidden="1">
      <c r="A216" s="81"/>
      <c r="B216" s="128" t="s">
        <v>1182</v>
      </c>
      <c r="C216" s="215" t="s">
        <v>1181</v>
      </c>
      <c r="D216" s="10"/>
      <c r="E216" s="128" t="s">
        <v>102</v>
      </c>
      <c r="F216" s="208">
        <f>ROUND(1.2*2.1,2)</f>
        <v>2.52</v>
      </c>
      <c r="G216" s="208">
        <f>'MINI SSR 2024-25'!C149</f>
        <v>2014</v>
      </c>
      <c r="H216" s="125">
        <f>ROUND(F216*G216*1/3,2)</f>
        <v>1691.76</v>
      </c>
      <c r="I216" s="10"/>
    </row>
    <row r="217" spans="1:10" hidden="1">
      <c r="A217" s="81"/>
      <c r="B217" s="207"/>
      <c r="C217" s="660"/>
      <c r="D217" s="128"/>
      <c r="E217" s="128"/>
      <c r="F217" s="128"/>
      <c r="G217" s="128"/>
      <c r="H217" s="209">
        <f>SUM(H207:H216)</f>
        <v>19258.21</v>
      </c>
      <c r="I217" s="10"/>
    </row>
    <row r="218" spans="1:10" ht="127.5" hidden="1">
      <c r="A218" s="81">
        <v>6</v>
      </c>
      <c r="B218" s="207"/>
      <c r="C218" s="215" t="s">
        <v>1102</v>
      </c>
      <c r="D218" s="128"/>
      <c r="E218" s="128"/>
      <c r="F218" s="128"/>
      <c r="G218" s="128"/>
      <c r="H218" s="204"/>
    </row>
    <row r="219" spans="1:10" hidden="1">
      <c r="A219" s="81"/>
      <c r="B219" s="207"/>
      <c r="C219" s="660" t="s">
        <v>100</v>
      </c>
      <c r="D219" s="128"/>
      <c r="E219" s="128"/>
      <c r="F219" s="128"/>
      <c r="G219" s="128"/>
      <c r="H219" s="204"/>
    </row>
    <row r="220" spans="1:10" s="21" customFormat="1" hidden="1">
      <c r="A220" s="81"/>
      <c r="B220" s="207"/>
      <c r="C220" s="660" t="s">
        <v>60</v>
      </c>
      <c r="D220" s="128"/>
      <c r="E220" s="128"/>
      <c r="F220" s="128"/>
      <c r="G220" s="128"/>
      <c r="H220" s="204"/>
      <c r="J220" s="10"/>
    </row>
    <row r="221" spans="1:10" s="21" customFormat="1" hidden="1">
      <c r="A221" s="81"/>
      <c r="B221" s="207"/>
      <c r="C221" s="660" t="s">
        <v>1</v>
      </c>
      <c r="D221" s="128"/>
      <c r="E221" s="128"/>
      <c r="F221" s="128"/>
      <c r="G221" s="128"/>
      <c r="H221" s="204"/>
      <c r="J221" s="10"/>
    </row>
    <row r="222" spans="1:10" s="21" customFormat="1" hidden="1">
      <c r="A222" s="81"/>
      <c r="B222" s="207"/>
      <c r="C222" s="215" t="s">
        <v>2</v>
      </c>
      <c r="D222" s="656">
        <v>2</v>
      </c>
      <c r="E222" s="657">
        <v>1.95</v>
      </c>
      <c r="F222" s="658">
        <v>0.1</v>
      </c>
      <c r="G222" s="658">
        <v>7.4999999999999997E-2</v>
      </c>
      <c r="H222" s="659">
        <f>ROUND(D222*E222*F222*G222,4)</f>
        <v>2.93E-2</v>
      </c>
      <c r="J222" s="10"/>
    </row>
    <row r="223" spans="1:10" s="21" customFormat="1" hidden="1">
      <c r="A223" s="81"/>
      <c r="B223" s="207"/>
      <c r="C223" s="215" t="s">
        <v>730</v>
      </c>
      <c r="D223" s="656">
        <v>2</v>
      </c>
      <c r="E223" s="657">
        <v>1.05</v>
      </c>
      <c r="F223" s="658">
        <v>0.1</v>
      </c>
      <c r="G223" s="658">
        <v>7.4999999999999997E-2</v>
      </c>
      <c r="H223" s="659">
        <f>ROUND(D223*E223*F223*G223,4)</f>
        <v>1.5800000000000002E-2</v>
      </c>
      <c r="J223" s="10"/>
    </row>
    <row r="224" spans="1:10" s="21" customFormat="1" hidden="1">
      <c r="A224" s="81"/>
      <c r="B224" s="207"/>
      <c r="C224" s="660"/>
      <c r="D224" s="128"/>
      <c r="E224" s="128"/>
      <c r="F224" s="128"/>
      <c r="G224" s="128"/>
      <c r="H224" s="661">
        <f>SUM(H222:H223)</f>
        <v>4.5100000000000001E-2</v>
      </c>
      <c r="J224" s="10"/>
    </row>
    <row r="225" spans="1:12" s="21" customFormat="1" hidden="1">
      <c r="A225" s="81"/>
      <c r="B225" s="207"/>
      <c r="C225" s="215" t="s">
        <v>680</v>
      </c>
      <c r="D225" s="128"/>
      <c r="E225" s="128" t="s">
        <v>35</v>
      </c>
      <c r="F225" s="206">
        <f>H224</f>
        <v>4.5100000000000001E-2</v>
      </c>
      <c r="G225" s="208">
        <f>'MINI SSR 2024-25'!C144</f>
        <v>53228</v>
      </c>
      <c r="H225" s="125">
        <f t="shared" ref="H225:H233" si="15">ROUND(F225*G225,2)</f>
        <v>2400.58</v>
      </c>
      <c r="J225" s="10"/>
    </row>
    <row r="226" spans="1:12" s="21" customFormat="1" hidden="1">
      <c r="A226" s="81"/>
      <c r="B226" s="128" t="s">
        <v>1184</v>
      </c>
      <c r="C226" s="215" t="s">
        <v>1183</v>
      </c>
      <c r="D226" s="128"/>
      <c r="E226" s="128" t="s">
        <v>102</v>
      </c>
      <c r="F226" s="206">
        <f>ROUND(0.775*1.995,2)</f>
        <v>1.55</v>
      </c>
      <c r="G226" s="208">
        <f>'MINI SSR 2024-25'!C146</f>
        <v>3512</v>
      </c>
      <c r="H226" s="125">
        <f t="shared" si="15"/>
        <v>5443.6</v>
      </c>
      <c r="J226" s="10"/>
    </row>
    <row r="227" spans="1:12" s="21" customFormat="1" hidden="1">
      <c r="A227" s="81"/>
      <c r="B227" s="128" t="s">
        <v>1186</v>
      </c>
      <c r="C227" s="215" t="s">
        <v>1185</v>
      </c>
      <c r="D227" s="128"/>
      <c r="E227" s="128" t="s">
        <v>102</v>
      </c>
      <c r="F227" s="206">
        <f>F226</f>
        <v>1.55</v>
      </c>
      <c r="G227" s="208">
        <f>'MINI SSR 2024-25'!C151</f>
        <v>1208</v>
      </c>
      <c r="H227" s="125">
        <f t="shared" si="15"/>
        <v>1872.4</v>
      </c>
      <c r="J227" s="10"/>
    </row>
    <row r="228" spans="1:12" hidden="1">
      <c r="A228" s="81"/>
      <c r="B228" s="128" t="s">
        <v>1188</v>
      </c>
      <c r="C228" s="215" t="s">
        <v>1187</v>
      </c>
      <c r="D228" s="128"/>
      <c r="E228" s="128" t="s">
        <v>11</v>
      </c>
      <c r="F228" s="134">
        <v>2</v>
      </c>
      <c r="G228" s="208">
        <f>'MINI SSR 2024-25'!G143</f>
        <v>90</v>
      </c>
      <c r="H228" s="125">
        <f t="shared" si="15"/>
        <v>180</v>
      </c>
      <c r="I228" s="10"/>
    </row>
    <row r="229" spans="1:12" hidden="1">
      <c r="A229" s="81"/>
      <c r="B229" s="128" t="s">
        <v>1190</v>
      </c>
      <c r="C229" s="215" t="s">
        <v>1189</v>
      </c>
      <c r="D229" s="128"/>
      <c r="E229" s="128" t="s">
        <v>11</v>
      </c>
      <c r="F229" s="134">
        <v>3</v>
      </c>
      <c r="G229" s="208">
        <f>'MINI SSR 2024-25'!G146</f>
        <v>135</v>
      </c>
      <c r="H229" s="125">
        <f t="shared" si="15"/>
        <v>405</v>
      </c>
      <c r="I229" s="10"/>
    </row>
    <row r="230" spans="1:12" hidden="1">
      <c r="A230" s="81"/>
      <c r="B230" s="128" t="s">
        <v>1174</v>
      </c>
      <c r="C230" s="215" t="s">
        <v>1173</v>
      </c>
      <c r="D230" s="128"/>
      <c r="E230" s="128" t="s">
        <v>11</v>
      </c>
      <c r="F230" s="134">
        <v>2</v>
      </c>
      <c r="G230" s="208">
        <f>'MINI SSR 2024-25'!G147</f>
        <v>127</v>
      </c>
      <c r="H230" s="125">
        <f t="shared" si="15"/>
        <v>254</v>
      </c>
      <c r="I230" s="10"/>
    </row>
    <row r="231" spans="1:12" hidden="1">
      <c r="A231" s="81"/>
      <c r="B231" s="128" t="s">
        <v>1192</v>
      </c>
      <c r="C231" s="215" t="s">
        <v>1191</v>
      </c>
      <c r="D231" s="128"/>
      <c r="E231" s="128" t="s">
        <v>11</v>
      </c>
      <c r="F231" s="134">
        <v>2</v>
      </c>
      <c r="G231" s="208">
        <f>'MINI SSR 2024-25'!G149</f>
        <v>350</v>
      </c>
      <c r="H231" s="125">
        <f t="shared" si="15"/>
        <v>700</v>
      </c>
      <c r="I231" s="10"/>
    </row>
    <row r="232" spans="1:12" hidden="1">
      <c r="A232" s="81"/>
      <c r="B232" s="128" t="s">
        <v>1194</v>
      </c>
      <c r="C232" s="215" t="s">
        <v>1193</v>
      </c>
      <c r="D232" s="128"/>
      <c r="E232" s="128" t="s">
        <v>11</v>
      </c>
      <c r="F232" s="134">
        <v>1</v>
      </c>
      <c r="G232" s="208">
        <f>'MINI SSR 2024-25'!G151</f>
        <v>51</v>
      </c>
      <c r="H232" s="125">
        <f t="shared" si="15"/>
        <v>51</v>
      </c>
      <c r="I232" s="10"/>
    </row>
    <row r="233" spans="1:12" hidden="1">
      <c r="A233" s="81"/>
      <c r="B233" s="128" t="s">
        <v>1180</v>
      </c>
      <c r="C233" s="215" t="s">
        <v>1179</v>
      </c>
      <c r="D233" s="128"/>
      <c r="E233" s="128" t="s">
        <v>11</v>
      </c>
      <c r="F233" s="134">
        <v>6</v>
      </c>
      <c r="G233" s="208">
        <f>'MINI SSR 2024-25'!G152</f>
        <v>41</v>
      </c>
      <c r="H233" s="125">
        <f t="shared" si="15"/>
        <v>246</v>
      </c>
      <c r="I233" s="10"/>
    </row>
    <row r="234" spans="1:12" hidden="1">
      <c r="A234" s="128"/>
      <c r="B234" s="128"/>
      <c r="C234" s="660" t="s">
        <v>68</v>
      </c>
      <c r="D234" s="128"/>
      <c r="E234" s="128"/>
      <c r="F234" s="208"/>
      <c r="G234" s="210"/>
      <c r="H234" s="125"/>
    </row>
    <row r="235" spans="1:12" ht="25.5" hidden="1">
      <c r="A235" s="128"/>
      <c r="B235" s="128" t="s">
        <v>1182</v>
      </c>
      <c r="C235" s="215" t="s">
        <v>1195</v>
      </c>
      <c r="D235" s="128"/>
      <c r="E235" s="128" t="s">
        <v>102</v>
      </c>
      <c r="F235" s="208">
        <f>ROUND(1.05*2.1,2)</f>
        <v>2.21</v>
      </c>
      <c r="G235" s="208">
        <f>'MINI SSR 2024-25'!C150</f>
        <v>1983</v>
      </c>
      <c r="H235" s="125">
        <f>ROUND(F235*G235*1/3,2)</f>
        <v>1460.81</v>
      </c>
      <c r="L235" s="19"/>
    </row>
    <row r="236" spans="1:12" ht="13.5" hidden="1" thickBot="1">
      <c r="A236" s="128"/>
      <c r="B236" s="128"/>
      <c r="C236" s="660"/>
      <c r="D236" s="128"/>
      <c r="E236" s="128"/>
      <c r="F236" s="128"/>
      <c r="G236" s="128"/>
      <c r="H236" s="209">
        <f>SUM(H225:H235)</f>
        <v>13013.39</v>
      </c>
      <c r="L236" s="205">
        <f>SUM(L235)</f>
        <v>0</v>
      </c>
    </row>
    <row r="237" spans="1:12" ht="51" hidden="1">
      <c r="A237" s="81">
        <v>1</v>
      </c>
      <c r="B237" s="207"/>
      <c r="C237" s="215" t="s">
        <v>966</v>
      </c>
      <c r="D237" s="128"/>
      <c r="E237" s="128"/>
      <c r="F237" s="128"/>
      <c r="G237" s="128"/>
      <c r="H237" s="204"/>
    </row>
    <row r="238" spans="1:12" s="21" customFormat="1" hidden="1">
      <c r="A238" s="81"/>
      <c r="B238" s="207"/>
      <c r="C238" s="215" t="s">
        <v>682</v>
      </c>
      <c r="D238" s="128"/>
      <c r="E238" s="128" t="s">
        <v>35</v>
      </c>
      <c r="F238" s="133">
        <v>8.0000000000000002E-3</v>
      </c>
      <c r="G238" s="208">
        <f>'MINI SSR 2024-25'!C144</f>
        <v>53228</v>
      </c>
      <c r="H238" s="125">
        <f>ROUND(F238*G238,2)</f>
        <v>425.82</v>
      </c>
      <c r="J238" s="10"/>
    </row>
    <row r="239" spans="1:12" s="21" customFormat="1" hidden="1">
      <c r="A239" s="81"/>
      <c r="B239" s="207"/>
      <c r="C239" s="215" t="s">
        <v>965</v>
      </c>
      <c r="D239" s="128"/>
      <c r="E239" s="128" t="s">
        <v>4</v>
      </c>
      <c r="F239" s="133">
        <v>0.5</v>
      </c>
      <c r="G239" s="208">
        <f>'lead 24-25'!L9/1000</f>
        <v>70.8</v>
      </c>
      <c r="H239" s="125">
        <f>ROUND(F239*G239,2)</f>
        <v>35.4</v>
      </c>
      <c r="J239" s="10"/>
    </row>
    <row r="240" spans="1:12" s="21" customFormat="1" hidden="1">
      <c r="A240" s="81"/>
      <c r="B240" s="207" t="s">
        <v>1199</v>
      </c>
      <c r="C240" s="215" t="s">
        <v>1198</v>
      </c>
      <c r="D240" s="128"/>
      <c r="E240" s="128" t="s">
        <v>102</v>
      </c>
      <c r="F240" s="133">
        <v>0.27</v>
      </c>
      <c r="G240" s="208">
        <f>'MINI SSR 2024-25'!$G$153</f>
        <v>484</v>
      </c>
      <c r="H240" s="125">
        <f>ROUND(F240*G240,2)</f>
        <v>130.68</v>
      </c>
      <c r="J240" s="10"/>
    </row>
    <row r="241" spans="1:12" hidden="1">
      <c r="A241" s="128"/>
      <c r="B241" s="128"/>
      <c r="C241" s="215"/>
      <c r="D241" s="128"/>
      <c r="E241" s="208"/>
      <c r="F241" s="208"/>
      <c r="G241" s="208"/>
      <c r="H241" s="125"/>
      <c r="L241" s="19"/>
    </row>
    <row r="242" spans="1:12" ht="13.5" hidden="1" thickBot="1">
      <c r="A242" s="128"/>
      <c r="B242" s="128"/>
      <c r="C242" s="660" t="s">
        <v>1197</v>
      </c>
      <c r="D242" s="128"/>
      <c r="E242" s="128"/>
      <c r="F242" s="128"/>
      <c r="G242" s="128"/>
      <c r="H242" s="209">
        <f>SUM(H238:H241)</f>
        <v>591.9</v>
      </c>
      <c r="L242" s="205">
        <f>SUM(L241)</f>
        <v>0</v>
      </c>
    </row>
    <row r="243" spans="1:12" hidden="1">
      <c r="A243" s="81">
        <v>6</v>
      </c>
      <c r="B243" s="207"/>
      <c r="C243" s="215" t="s">
        <v>876</v>
      </c>
      <c r="D243" s="128"/>
      <c r="E243" s="128"/>
      <c r="F243" s="128"/>
      <c r="G243" s="128"/>
      <c r="H243" s="204"/>
      <c r="I243" s="10"/>
    </row>
    <row r="244" spans="1:12" hidden="1">
      <c r="A244" s="128"/>
      <c r="B244" s="128" t="s">
        <v>1200</v>
      </c>
      <c r="C244" s="215" t="s">
        <v>370</v>
      </c>
      <c r="D244" s="128" t="s">
        <v>102</v>
      </c>
      <c r="E244" s="208">
        <v>1</v>
      </c>
      <c r="F244" s="208">
        <f>'MINI SSR 2024-25'!G154</f>
        <v>403</v>
      </c>
      <c r="G244" s="208"/>
      <c r="H244" s="125">
        <f>ROUND(E244*F244,2)</f>
        <v>403</v>
      </c>
      <c r="I244" s="10"/>
    </row>
    <row r="245" spans="1:12" hidden="1">
      <c r="A245" s="128"/>
      <c r="B245" s="128"/>
      <c r="C245" s="215" t="s">
        <v>873</v>
      </c>
      <c r="D245" s="81" t="s">
        <v>108</v>
      </c>
      <c r="E245" s="12">
        <v>0.06</v>
      </c>
      <c r="F245" s="12">
        <f>'MINI SSR 2024-25'!H3</f>
        <v>710</v>
      </c>
      <c r="G245" s="12"/>
      <c r="H245" s="11">
        <f>ROUND(E245*F245,2)</f>
        <v>42.6</v>
      </c>
      <c r="I245" s="10"/>
    </row>
    <row r="246" spans="1:12" hidden="1">
      <c r="A246" s="128"/>
      <c r="B246" s="128"/>
      <c r="C246" s="215" t="s">
        <v>874</v>
      </c>
      <c r="D246" s="81" t="s">
        <v>108</v>
      </c>
      <c r="E246" s="12">
        <v>0.06</v>
      </c>
      <c r="F246" s="12">
        <f>'MINI SSR 2024-25'!H4</f>
        <v>640</v>
      </c>
      <c r="G246" s="12"/>
      <c r="H246" s="11">
        <f>ROUND(E246*F246,2)</f>
        <v>38.4</v>
      </c>
      <c r="I246" s="10"/>
    </row>
    <row r="247" spans="1:12" hidden="1">
      <c r="A247" s="128"/>
      <c r="B247" s="128"/>
      <c r="C247" s="663" t="s">
        <v>875</v>
      </c>
      <c r="D247" s="81" t="s">
        <v>108</v>
      </c>
      <c r="E247" s="113">
        <v>0.27500000000000002</v>
      </c>
      <c r="F247" s="12">
        <f>'MINI SSR 2024-25'!H5</f>
        <v>595</v>
      </c>
      <c r="G247" s="12"/>
      <c r="H247" s="11">
        <f>ROUND(E247*F247,2)</f>
        <v>163.63</v>
      </c>
      <c r="I247" s="10"/>
    </row>
    <row r="248" spans="1:12" hidden="1">
      <c r="A248" s="128"/>
      <c r="B248" s="128"/>
      <c r="C248" s="473" t="s">
        <v>2194</v>
      </c>
      <c r="D248" s="128"/>
      <c r="E248" s="208"/>
      <c r="F248" s="208"/>
      <c r="G248" s="208"/>
      <c r="H248" s="204">
        <f>ROUND(SUM(H244:H247)*13.615%,2)</f>
        <v>88.17</v>
      </c>
      <c r="I248" s="10"/>
    </row>
    <row r="249" spans="1:12" hidden="1">
      <c r="A249" s="128"/>
      <c r="B249" s="128"/>
      <c r="C249" s="660" t="s">
        <v>1196</v>
      </c>
      <c r="D249" s="128"/>
      <c r="E249" s="128"/>
      <c r="F249" s="128"/>
      <c r="G249" s="128"/>
      <c r="H249" s="209">
        <f>SUM(H244:H248)</f>
        <v>735.8</v>
      </c>
      <c r="I249" s="10"/>
    </row>
    <row r="250" spans="1:12" ht="255">
      <c r="A250" s="81">
        <v>1</v>
      </c>
      <c r="B250" s="207"/>
      <c r="C250" s="215" t="s">
        <v>2174</v>
      </c>
      <c r="D250" s="128"/>
      <c r="E250" s="128"/>
      <c r="F250" s="128"/>
      <c r="G250" s="128"/>
      <c r="H250" s="204"/>
      <c r="I250" s="10"/>
    </row>
    <row r="251" spans="1:12">
      <c r="A251" s="128"/>
      <c r="B251" s="128"/>
      <c r="C251" s="215" t="s">
        <v>856</v>
      </c>
      <c r="D251" s="128"/>
      <c r="E251" s="133"/>
      <c r="F251" s="208"/>
      <c r="G251" s="208"/>
      <c r="H251" s="125"/>
      <c r="I251" s="10"/>
    </row>
    <row r="252" spans="1:12">
      <c r="A252" s="128"/>
      <c r="B252" s="128" t="s">
        <v>1201</v>
      </c>
      <c r="C252" s="215" t="s">
        <v>2170</v>
      </c>
      <c r="D252" s="128"/>
      <c r="E252" s="128" t="s">
        <v>271</v>
      </c>
      <c r="F252" s="133">
        <v>6.7</v>
      </c>
      <c r="G252" s="208">
        <f>'MINI SSR 2024-25'!C147</f>
        <v>953</v>
      </c>
      <c r="H252" s="125">
        <f t="shared" ref="H252:H253" si="16">ROUND(F252*G252,2)</f>
        <v>6385.1</v>
      </c>
      <c r="I252" s="10"/>
    </row>
    <row r="253" spans="1:12">
      <c r="A253" s="128"/>
      <c r="B253" s="128" t="s">
        <v>2171</v>
      </c>
      <c r="C253" s="215" t="s">
        <v>2172</v>
      </c>
      <c r="D253" s="128"/>
      <c r="E253" s="128" t="s">
        <v>102</v>
      </c>
      <c r="F253" s="133">
        <v>0.86899999999999999</v>
      </c>
      <c r="G253" s="208">
        <f>'MINI SSR 2024-25'!C151</f>
        <v>1208</v>
      </c>
      <c r="H253" s="125">
        <f t="shared" si="16"/>
        <v>1049.75</v>
      </c>
      <c r="I253" s="10"/>
    </row>
    <row r="254" spans="1:12">
      <c r="A254" s="128"/>
      <c r="B254" s="128" t="s">
        <v>1184</v>
      </c>
      <c r="C254" s="215" t="s">
        <v>370</v>
      </c>
      <c r="D254" s="128"/>
      <c r="E254" s="128" t="s">
        <v>102</v>
      </c>
      <c r="F254" s="133">
        <f>ROUND(1.1*2.03,2)</f>
        <v>2.23</v>
      </c>
      <c r="G254" s="208">
        <f>'MINI SSR 2024-25'!C146</f>
        <v>3512</v>
      </c>
      <c r="H254" s="125">
        <f t="shared" ref="H254:H259" si="17">ROUND(F254*G254,2)</f>
        <v>7831.76</v>
      </c>
      <c r="I254" s="10"/>
    </row>
    <row r="255" spans="1:12">
      <c r="A255" s="128"/>
      <c r="B255" s="128" t="s">
        <v>1186</v>
      </c>
      <c r="C255" s="215" t="s">
        <v>1202</v>
      </c>
      <c r="D255" s="128"/>
      <c r="E255" s="128" t="s">
        <v>102</v>
      </c>
      <c r="F255" s="133">
        <v>1.6870000000000001</v>
      </c>
      <c r="G255" s="208">
        <f>'MINI SSR 2024-25'!C151</f>
        <v>1208</v>
      </c>
      <c r="H255" s="125">
        <f t="shared" si="17"/>
        <v>2037.9</v>
      </c>
      <c r="L255" s="19"/>
    </row>
    <row r="256" spans="1:12">
      <c r="A256" s="81"/>
      <c r="B256" s="207" t="s">
        <v>1204</v>
      </c>
      <c r="C256" s="215" t="s">
        <v>1203</v>
      </c>
      <c r="D256" s="128"/>
      <c r="E256" s="128" t="s">
        <v>11</v>
      </c>
      <c r="F256" s="134">
        <v>2</v>
      </c>
      <c r="G256" s="208">
        <f>'MINI SSR 2024-25'!G144</f>
        <v>118</v>
      </c>
      <c r="H256" s="125">
        <f t="shared" si="17"/>
        <v>236</v>
      </c>
      <c r="I256" s="10"/>
    </row>
    <row r="257" spans="1:12">
      <c r="A257" s="81"/>
      <c r="B257" s="207" t="s">
        <v>1174</v>
      </c>
      <c r="C257" s="215" t="s">
        <v>1173</v>
      </c>
      <c r="D257" s="128"/>
      <c r="E257" s="128" t="s">
        <v>11</v>
      </c>
      <c r="F257" s="134">
        <v>4</v>
      </c>
      <c r="G257" s="208">
        <f>'MINI SSR 2024-25'!G147</f>
        <v>127</v>
      </c>
      <c r="H257" s="125">
        <f t="shared" si="17"/>
        <v>508</v>
      </c>
      <c r="I257" s="10"/>
    </row>
    <row r="258" spans="1:12">
      <c r="A258" s="81"/>
      <c r="B258" s="207" t="s">
        <v>1192</v>
      </c>
      <c r="C258" s="215" t="s">
        <v>1191</v>
      </c>
      <c r="D258" s="128"/>
      <c r="E258" s="128" t="s">
        <v>11</v>
      </c>
      <c r="F258" s="134">
        <v>2</v>
      </c>
      <c r="G258" s="208">
        <f>'MINI SSR 2024-25'!G149</f>
        <v>350</v>
      </c>
      <c r="H258" s="125">
        <f t="shared" si="17"/>
        <v>700</v>
      </c>
      <c r="I258" s="10"/>
    </row>
    <row r="259" spans="1:12">
      <c r="A259" s="81"/>
      <c r="B259" s="207"/>
      <c r="C259" s="215" t="s">
        <v>857</v>
      </c>
      <c r="D259" s="128"/>
      <c r="E259" s="128" t="s">
        <v>11</v>
      </c>
      <c r="F259" s="134">
        <v>1</v>
      </c>
      <c r="G259" s="208">
        <f>'MINI SSR 2024-25'!G155</f>
        <v>66</v>
      </c>
      <c r="H259" s="125">
        <f t="shared" si="17"/>
        <v>66</v>
      </c>
      <c r="I259" s="10"/>
    </row>
    <row r="260" spans="1:12">
      <c r="A260" s="81"/>
      <c r="B260" s="207"/>
      <c r="C260" s="215" t="s">
        <v>2194</v>
      </c>
      <c r="D260" s="128"/>
      <c r="E260" s="128"/>
      <c r="F260" s="134"/>
      <c r="G260" s="208"/>
      <c r="H260" s="729">
        <f>ROUND(SUM(H252:H259)*'DATA 2024-25'!$C$3,2)</f>
        <v>2561.6</v>
      </c>
      <c r="I260" s="10"/>
    </row>
    <row r="261" spans="1:12">
      <c r="A261" s="128"/>
      <c r="B261" s="128"/>
      <c r="C261" s="215" t="s">
        <v>855</v>
      </c>
      <c r="D261" s="128"/>
      <c r="E261" s="208"/>
      <c r="F261" s="208"/>
      <c r="G261" s="208"/>
      <c r="H261" s="209">
        <f>SUM(H252:H260)</f>
        <v>21376.11</v>
      </c>
      <c r="I261" s="10"/>
    </row>
    <row r="262" spans="1:12">
      <c r="A262" s="128"/>
      <c r="B262" s="128"/>
      <c r="C262" s="215" t="s">
        <v>2173</v>
      </c>
      <c r="D262" s="128"/>
      <c r="E262" s="128"/>
      <c r="F262" s="128"/>
      <c r="G262" s="128"/>
      <c r="H262" s="209">
        <f>ROUND(H261/2.556,2)</f>
        <v>8363.11</v>
      </c>
      <c r="I262" s="10"/>
    </row>
    <row r="263" spans="1:12" ht="127.5" hidden="1">
      <c r="A263" s="81">
        <v>2</v>
      </c>
      <c r="B263" s="207"/>
      <c r="C263" s="215" t="s">
        <v>2179</v>
      </c>
      <c r="D263" s="128"/>
      <c r="E263" s="128"/>
      <c r="F263" s="128"/>
      <c r="G263" s="128"/>
      <c r="H263" s="204"/>
      <c r="I263" s="10"/>
    </row>
    <row r="264" spans="1:12" hidden="1">
      <c r="A264" s="128"/>
      <c r="B264" s="128"/>
      <c r="C264" s="215" t="s">
        <v>856</v>
      </c>
      <c r="D264" s="128"/>
      <c r="E264" s="133"/>
      <c r="F264" s="208"/>
      <c r="G264" s="208"/>
      <c r="H264" s="125"/>
      <c r="I264" s="10"/>
    </row>
    <row r="265" spans="1:12" hidden="1">
      <c r="A265" s="128"/>
      <c r="B265" s="128" t="s">
        <v>1201</v>
      </c>
      <c r="C265" s="215" t="s">
        <v>2170</v>
      </c>
      <c r="D265" s="128"/>
      <c r="E265" s="128" t="s">
        <v>271</v>
      </c>
      <c r="F265" s="133">
        <v>6.7</v>
      </c>
      <c r="G265" s="208">
        <f t="shared" ref="G265:G272" si="18">G252</f>
        <v>953</v>
      </c>
      <c r="H265" s="125"/>
      <c r="I265" s="10"/>
    </row>
    <row r="266" spans="1:12" hidden="1">
      <c r="A266" s="128"/>
      <c r="B266" s="128" t="s">
        <v>2171</v>
      </c>
      <c r="C266" s="215" t="s">
        <v>2172</v>
      </c>
      <c r="D266" s="128"/>
      <c r="E266" s="128" t="s">
        <v>102</v>
      </c>
      <c r="F266" s="133">
        <v>0.86899999999999999</v>
      </c>
      <c r="G266" s="208">
        <f t="shared" si="18"/>
        <v>1208</v>
      </c>
      <c r="H266" s="125"/>
      <c r="I266" s="10"/>
    </row>
    <row r="267" spans="1:12" hidden="1">
      <c r="A267" s="128"/>
      <c r="B267" s="128" t="s">
        <v>1184</v>
      </c>
      <c r="C267" s="215" t="s">
        <v>370</v>
      </c>
      <c r="D267" s="128"/>
      <c r="E267" s="128" t="s">
        <v>102</v>
      </c>
      <c r="F267" s="133">
        <f>ROUND(1.1*2.03,2)</f>
        <v>2.23</v>
      </c>
      <c r="G267" s="208">
        <f t="shared" si="18"/>
        <v>3512</v>
      </c>
      <c r="H267" s="125">
        <f t="shared" ref="H267:H272" si="19">ROUND(F267*G267,2)</f>
        <v>7831.76</v>
      </c>
      <c r="I267" s="10"/>
    </row>
    <row r="268" spans="1:12" hidden="1">
      <c r="A268" s="128"/>
      <c r="B268" s="128" t="s">
        <v>1186</v>
      </c>
      <c r="C268" s="215" t="s">
        <v>1202</v>
      </c>
      <c r="D268" s="128"/>
      <c r="E268" s="128" t="s">
        <v>102</v>
      </c>
      <c r="F268" s="133">
        <v>1.6870000000000001</v>
      </c>
      <c r="G268" s="208">
        <f t="shared" si="18"/>
        <v>1208</v>
      </c>
      <c r="H268" s="125">
        <f t="shared" si="19"/>
        <v>2037.9</v>
      </c>
      <c r="L268" s="19"/>
    </row>
    <row r="269" spans="1:12" hidden="1">
      <c r="A269" s="81"/>
      <c r="B269" s="207" t="s">
        <v>1204</v>
      </c>
      <c r="C269" s="215" t="s">
        <v>1203</v>
      </c>
      <c r="D269" s="128"/>
      <c r="E269" s="128" t="s">
        <v>11</v>
      </c>
      <c r="F269" s="134">
        <v>2</v>
      </c>
      <c r="G269" s="208">
        <f t="shared" si="18"/>
        <v>118</v>
      </c>
      <c r="H269" s="125">
        <f t="shared" si="19"/>
        <v>236</v>
      </c>
      <c r="I269" s="10"/>
    </row>
    <row r="270" spans="1:12" hidden="1">
      <c r="A270" s="81"/>
      <c r="B270" s="207" t="s">
        <v>1174</v>
      </c>
      <c r="C270" s="215" t="s">
        <v>1173</v>
      </c>
      <c r="D270" s="128"/>
      <c r="E270" s="128" t="s">
        <v>11</v>
      </c>
      <c r="F270" s="134">
        <v>4</v>
      </c>
      <c r="G270" s="208">
        <f t="shared" si="18"/>
        <v>127</v>
      </c>
      <c r="H270" s="125">
        <f t="shared" si="19"/>
        <v>508</v>
      </c>
      <c r="I270" s="10"/>
    </row>
    <row r="271" spans="1:12" hidden="1">
      <c r="A271" s="81"/>
      <c r="B271" s="207" t="s">
        <v>1192</v>
      </c>
      <c r="C271" s="215" t="s">
        <v>1191</v>
      </c>
      <c r="D271" s="128"/>
      <c r="E271" s="128" t="s">
        <v>11</v>
      </c>
      <c r="F271" s="134">
        <v>2</v>
      </c>
      <c r="G271" s="208">
        <f t="shared" si="18"/>
        <v>350</v>
      </c>
      <c r="H271" s="125">
        <f t="shared" si="19"/>
        <v>700</v>
      </c>
      <c r="I271" s="10"/>
    </row>
    <row r="272" spans="1:12" hidden="1">
      <c r="A272" s="81"/>
      <c r="B272" s="207"/>
      <c r="C272" s="215" t="s">
        <v>857</v>
      </c>
      <c r="D272" s="128"/>
      <c r="E272" s="128" t="s">
        <v>11</v>
      </c>
      <c r="F272" s="134">
        <v>1</v>
      </c>
      <c r="G272" s="208">
        <f t="shared" si="18"/>
        <v>66</v>
      </c>
      <c r="H272" s="125">
        <f t="shared" si="19"/>
        <v>66</v>
      </c>
      <c r="I272" s="10"/>
    </row>
    <row r="273" spans="1:9" hidden="1">
      <c r="A273" s="128"/>
      <c r="B273" s="128"/>
      <c r="C273" s="215" t="s">
        <v>855</v>
      </c>
      <c r="D273" s="128"/>
      <c r="E273" s="208"/>
      <c r="F273" s="208"/>
      <c r="G273" s="208"/>
      <c r="H273" s="209">
        <f>SUM(H265:H272)</f>
        <v>11379.66</v>
      </c>
      <c r="I273" s="10"/>
    </row>
    <row r="274" spans="1:9" hidden="1">
      <c r="A274" s="128"/>
      <c r="B274" s="128"/>
      <c r="C274" s="215" t="s">
        <v>2173</v>
      </c>
      <c r="D274" s="128"/>
      <c r="E274" s="128"/>
      <c r="F274" s="128"/>
      <c r="G274" s="128"/>
      <c r="H274" s="209">
        <f>ROUND(H273/2.556,2)</f>
        <v>4452.1400000000003</v>
      </c>
      <c r="I274" s="10"/>
    </row>
    <row r="275" spans="1:9" ht="337.5">
      <c r="A275" s="81">
        <v>2</v>
      </c>
      <c r="B275" s="207"/>
      <c r="C275" s="664" t="s">
        <v>706</v>
      </c>
      <c r="D275" s="128"/>
      <c r="E275" s="128"/>
      <c r="F275" s="128"/>
      <c r="G275" s="128"/>
      <c r="H275" s="204"/>
      <c r="I275" s="10"/>
    </row>
    <row r="276" spans="1:9" hidden="1">
      <c r="A276" s="128"/>
      <c r="B276" s="128" t="s">
        <v>1206</v>
      </c>
      <c r="C276" s="215" t="s">
        <v>1205</v>
      </c>
      <c r="D276" s="128" t="s">
        <v>102</v>
      </c>
      <c r="E276" s="208">
        <v>1</v>
      </c>
      <c r="F276" s="208">
        <f>'MINI SSR 2024-25'!C153</f>
        <v>6698</v>
      </c>
      <c r="G276" s="208"/>
      <c r="H276" s="125">
        <f>ROUND(E276*F276,2)</f>
        <v>6698</v>
      </c>
      <c r="I276" s="10"/>
    </row>
    <row r="277" spans="1:9" hidden="1">
      <c r="A277" s="128"/>
      <c r="B277" s="128"/>
      <c r="C277" s="660"/>
      <c r="D277" s="128"/>
      <c r="E277" s="128"/>
      <c r="F277" s="128"/>
      <c r="G277" s="128"/>
      <c r="H277" s="209">
        <f>SUM(H276:H276)</f>
        <v>6698</v>
      </c>
      <c r="I277" s="10"/>
    </row>
    <row r="278" spans="1:9">
      <c r="A278" s="128"/>
      <c r="B278" s="128" t="s">
        <v>1206</v>
      </c>
      <c r="C278" s="215" t="s">
        <v>1207</v>
      </c>
      <c r="D278" s="128" t="s">
        <v>102</v>
      </c>
      <c r="E278" s="208">
        <v>1</v>
      </c>
      <c r="F278" s="208">
        <f>'MINI SSR 2024-25'!C152</f>
        <v>9000</v>
      </c>
      <c r="G278" s="208"/>
      <c r="H278" s="125">
        <f>ROUND(E278*F278,2)</f>
        <v>9000</v>
      </c>
      <c r="I278" s="10"/>
    </row>
    <row r="279" spans="1:9">
      <c r="A279" s="81"/>
      <c r="B279" s="207"/>
      <c r="C279" s="215" t="s">
        <v>2194</v>
      </c>
      <c r="D279" s="128"/>
      <c r="E279" s="128"/>
      <c r="F279" s="134"/>
      <c r="G279" s="208"/>
      <c r="H279" s="729">
        <f>ROUND(SUM(H271:H278)*'DATA 2024-25'!$C$3,2)</f>
        <v>5309.01</v>
      </c>
      <c r="I279" s="10"/>
    </row>
    <row r="280" spans="1:9">
      <c r="A280" s="128"/>
      <c r="B280" s="128"/>
      <c r="C280" s="660"/>
      <c r="D280" s="128"/>
      <c r="E280" s="128"/>
      <c r="F280" s="128"/>
      <c r="G280" s="128"/>
      <c r="H280" s="209">
        <f>SUM(H278:H279)</f>
        <v>14309.01</v>
      </c>
      <c r="I280" s="10"/>
    </row>
    <row r="281" spans="1:9" hidden="1">
      <c r="A281" s="128">
        <v>12</v>
      </c>
      <c r="B281" s="128" t="s">
        <v>1209</v>
      </c>
      <c r="C281" s="215" t="s">
        <v>1208</v>
      </c>
      <c r="D281" s="128" t="s">
        <v>102</v>
      </c>
      <c r="E281" s="208">
        <v>1</v>
      </c>
      <c r="F281" s="208">
        <f>'MINI SSR 2024-25'!C154</f>
        <v>6456</v>
      </c>
      <c r="G281" s="208"/>
      <c r="H281" s="125">
        <f>ROUND(E281*F281,2)</f>
        <v>6456</v>
      </c>
      <c r="I281" s="10"/>
    </row>
    <row r="282" spans="1:9" hidden="1">
      <c r="A282" s="128"/>
      <c r="B282" s="128"/>
      <c r="C282" s="660"/>
      <c r="D282" s="128"/>
      <c r="E282" s="128"/>
      <c r="F282" s="128"/>
      <c r="G282" s="128"/>
      <c r="H282" s="209">
        <f>SUM(H281:H281)</f>
        <v>6456</v>
      </c>
      <c r="I282" s="10"/>
    </row>
    <row r="283" spans="1:9" ht="15.95" customHeight="1"/>
    <row r="284" spans="1:9" ht="15.95" customHeight="1"/>
    <row r="285" spans="1:9" ht="15.95" customHeight="1">
      <c r="D285" s="20" t="str">
        <f>'lead 24-25'!$H$32</f>
        <v>Deputy Executive Engineer</v>
      </c>
      <c r="G285" s="20" t="str">
        <f>'lead 24-25'!K32</f>
        <v>Assistant  Engineer</v>
      </c>
    </row>
    <row r="286" spans="1:9">
      <c r="D286" s="20" t="str">
        <f>'lead 24-25'!$H$33</f>
        <v>PRI Sub Division</v>
      </c>
      <c r="G286" s="20" t="str">
        <f>'lead 24-25'!K33</f>
        <v>Mandal Praja parishad</v>
      </c>
    </row>
    <row r="287" spans="1:9">
      <c r="D287" s="20" t="str">
        <f>'lead 24-25'!$H$34</f>
        <v>Kanigiri</v>
      </c>
      <c r="G287" s="20" t="str">
        <f>'lead 24-25'!K34</f>
        <v>P.C.Palli</v>
      </c>
    </row>
  </sheetData>
  <autoFilter ref="A5:H282" xr:uid="{00000000-0009-0000-0000-000009000000}">
    <filterColumn colId="0">
      <colorFilter dxfId="0"/>
    </filterColumn>
  </autoFilter>
  <mergeCells count="2">
    <mergeCell ref="A1:H1"/>
    <mergeCell ref="A2:H2"/>
  </mergeCells>
  <pageMargins left="0.74" right="0.23" top="0.24" bottom="0.45" header="0.24" footer="0.17"/>
  <pageSetup paperSize="9" orientation="portrait"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28E3A-6C4D-46C3-BF56-F1E2C3E08691}">
  <sheetPr>
    <tabColor rgb="FF00B050"/>
  </sheetPr>
  <dimension ref="A1:L361"/>
  <sheetViews>
    <sheetView view="pageBreakPreview" topLeftCell="A17" zoomScale="130" zoomScaleSheetLayoutView="130" workbookViewId="0">
      <selection activeCell="E29" sqref="E29"/>
    </sheetView>
  </sheetViews>
  <sheetFormatPr defaultRowHeight="12.75"/>
  <cols>
    <col min="1" max="1" width="2.85546875" style="347" customWidth="1"/>
    <col min="2" max="2" width="7.42578125" style="412" customWidth="1"/>
    <col min="3" max="3" width="4.28515625" style="347" customWidth="1"/>
    <col min="4" max="4" width="7.42578125" style="413" customWidth="1"/>
    <col min="5" max="5" width="36" style="347" customWidth="1"/>
    <col min="6" max="6" width="8.7109375" style="348" customWidth="1"/>
    <col min="7" max="7" width="6" style="347" customWidth="1"/>
    <col min="8" max="8" width="10.28515625" style="347" customWidth="1"/>
    <col min="9" max="9" width="9.7109375" style="347" customWidth="1"/>
    <col min="10" max="10" width="7.140625" style="347" customWidth="1"/>
    <col min="11" max="11" width="9.140625" style="347"/>
    <col min="12" max="12" width="10.28515625" style="347" customWidth="1"/>
    <col min="13" max="16384" width="9.140625" style="347"/>
  </cols>
  <sheetData>
    <row r="1" spans="1:12" ht="23.25" customHeight="1">
      <c r="A1" s="956" t="s">
        <v>1958</v>
      </c>
      <c r="B1" s="957"/>
      <c r="C1" s="957"/>
      <c r="D1" s="957"/>
      <c r="E1" s="957"/>
      <c r="F1" s="957"/>
      <c r="G1" s="957"/>
      <c r="H1" s="957"/>
      <c r="I1" s="957"/>
      <c r="J1" s="957"/>
    </row>
    <row r="2" spans="1:12" ht="20.25" customHeight="1">
      <c r="B2" s="958"/>
      <c r="C2" s="958"/>
      <c r="D2" s="958"/>
      <c r="G2" s="959" t="s">
        <v>2320</v>
      </c>
      <c r="H2" s="959"/>
      <c r="I2" s="959"/>
      <c r="J2" s="959"/>
    </row>
    <row r="3" spans="1:12">
      <c r="B3" s="960"/>
      <c r="C3" s="960"/>
      <c r="D3" s="960"/>
      <c r="G3" s="961"/>
      <c r="H3" s="961"/>
      <c r="I3" s="961"/>
      <c r="J3" s="961"/>
    </row>
    <row r="4" spans="1:12" ht="28.5" customHeight="1">
      <c r="B4" s="962" t="s">
        <v>2319</v>
      </c>
      <c r="C4" s="962"/>
      <c r="D4" s="962"/>
      <c r="E4" s="962"/>
      <c r="F4" s="962"/>
      <c r="G4" s="962"/>
      <c r="H4" s="962"/>
      <c r="I4" s="962"/>
      <c r="J4" s="962"/>
    </row>
    <row r="5" spans="1:12" ht="24.75" customHeight="1">
      <c r="B5" s="963" t="s">
        <v>2318</v>
      </c>
      <c r="C5" s="963"/>
      <c r="D5" s="964"/>
      <c r="E5" s="964"/>
      <c r="F5" s="964"/>
      <c r="G5" s="964"/>
      <c r="H5" s="964"/>
      <c r="I5" s="964"/>
      <c r="J5" s="964"/>
    </row>
    <row r="6" spans="1:12" ht="13.5" customHeight="1">
      <c r="B6" s="952" t="s">
        <v>1960</v>
      </c>
      <c r="C6" s="952"/>
      <c r="D6" s="953"/>
      <c r="E6" s="953"/>
      <c r="F6" s="953"/>
      <c r="G6" s="953"/>
      <c r="H6" s="953"/>
      <c r="I6" s="953"/>
      <c r="J6" s="953"/>
    </row>
    <row r="7" spans="1:12" ht="15" customHeight="1">
      <c r="B7" s="952" t="s">
        <v>1961</v>
      </c>
      <c r="C7" s="952"/>
      <c r="D7" s="953"/>
      <c r="E7" s="953"/>
      <c r="F7" s="953"/>
      <c r="G7" s="953"/>
      <c r="H7" s="953"/>
      <c r="I7" s="953"/>
      <c r="J7" s="953"/>
    </row>
    <row r="8" spans="1:12" ht="12.75" customHeight="1">
      <c r="B8" s="952" t="s">
        <v>1962</v>
      </c>
      <c r="C8" s="952"/>
      <c r="D8" s="952"/>
      <c r="E8" s="952"/>
      <c r="F8" s="952"/>
      <c r="G8" s="952"/>
      <c r="H8" s="952"/>
      <c r="I8" s="952"/>
      <c r="J8" s="952"/>
    </row>
    <row r="9" spans="1:12" ht="19.5" customHeight="1">
      <c r="B9" s="952" t="s">
        <v>1963</v>
      </c>
      <c r="C9" s="952"/>
      <c r="D9" s="953"/>
      <c r="E9" s="953"/>
      <c r="F9" s="953"/>
      <c r="G9" s="953"/>
      <c r="H9" s="953"/>
      <c r="I9" s="953"/>
      <c r="J9" s="953"/>
    </row>
    <row r="10" spans="1:12" ht="13.5" customHeight="1">
      <c r="B10" s="952" t="s">
        <v>1964</v>
      </c>
      <c r="C10" s="952"/>
      <c r="D10" s="953"/>
      <c r="E10" s="954" t="s">
        <v>2321</v>
      </c>
      <c r="F10" s="955"/>
      <c r="G10" s="349"/>
      <c r="H10" s="954" t="s">
        <v>1966</v>
      </c>
      <c r="I10" s="955"/>
    </row>
    <row r="11" spans="1:12" ht="13.5" customHeight="1">
      <c r="B11" s="952" t="s">
        <v>1967</v>
      </c>
      <c r="C11" s="952"/>
      <c r="D11" s="952"/>
      <c r="E11" s="961" t="s">
        <v>1968</v>
      </c>
      <c r="F11" s="960"/>
      <c r="G11" s="350"/>
      <c r="H11" s="952" t="s">
        <v>1969</v>
      </c>
      <c r="I11" s="953"/>
    </row>
    <row r="12" spans="1:12" ht="7.5" customHeight="1">
      <c r="B12" s="351"/>
      <c r="C12" s="352"/>
      <c r="D12" s="353"/>
      <c r="E12" s="352"/>
      <c r="F12" s="354"/>
      <c r="G12" s="350"/>
      <c r="H12" s="350"/>
      <c r="I12" s="350"/>
      <c r="J12" s="352"/>
    </row>
    <row r="13" spans="1:12" s="355" customFormat="1" ht="24.75" customHeight="1">
      <c r="A13" s="965" t="s">
        <v>263</v>
      </c>
      <c r="B13" s="966" t="s">
        <v>1970</v>
      </c>
      <c r="C13" s="966"/>
      <c r="D13" s="966"/>
      <c r="E13" s="966" t="s">
        <v>1971</v>
      </c>
      <c r="F13" s="966" t="s">
        <v>1972</v>
      </c>
      <c r="G13" s="966" t="s">
        <v>9</v>
      </c>
      <c r="H13" s="966" t="s">
        <v>10</v>
      </c>
      <c r="I13" s="966"/>
      <c r="J13" s="969" t="s">
        <v>443</v>
      </c>
    </row>
    <row r="14" spans="1:12" s="355" customFormat="1" ht="45" customHeight="1">
      <c r="A14" s="965"/>
      <c r="B14" s="969" t="s">
        <v>1973</v>
      </c>
      <c r="C14" s="970"/>
      <c r="D14" s="356" t="s">
        <v>1974</v>
      </c>
      <c r="E14" s="966"/>
      <c r="F14" s="966"/>
      <c r="G14" s="966"/>
      <c r="H14" s="357" t="s">
        <v>1975</v>
      </c>
      <c r="I14" s="357" t="s">
        <v>1976</v>
      </c>
      <c r="J14" s="969"/>
    </row>
    <row r="15" spans="1:12" s="355" customFormat="1" ht="12">
      <c r="A15" s="358"/>
      <c r="B15" s="359"/>
      <c r="C15" s="344"/>
      <c r="D15" s="360"/>
      <c r="E15" s="343"/>
      <c r="F15" s="360"/>
      <c r="G15" s="361"/>
      <c r="H15" s="362"/>
      <c r="I15" s="362"/>
      <c r="J15" s="363"/>
      <c r="K15" s="364"/>
      <c r="L15" s="365"/>
    </row>
    <row r="16" spans="1:12" s="355" customFormat="1" ht="36">
      <c r="A16" s="366" t="s">
        <v>448</v>
      </c>
      <c r="B16" s="367">
        <f>ESTIMATE!I26</f>
        <v>0</v>
      </c>
      <c r="C16" s="505" t="s">
        <v>5</v>
      </c>
      <c r="D16" s="368"/>
      <c r="E16" s="506" t="s">
        <v>2306</v>
      </c>
      <c r="F16" s="368">
        <f>ESTIMATE!K26</f>
        <v>487.06</v>
      </c>
      <c r="G16" s="370" t="s">
        <v>266</v>
      </c>
      <c r="H16" s="371">
        <f>ROUND(B16*F16,2)</f>
        <v>0</v>
      </c>
      <c r="I16" s="371"/>
      <c r="J16" s="372"/>
      <c r="K16" s="364"/>
      <c r="L16" s="365"/>
    </row>
    <row r="17" spans="1:12" s="355" customFormat="1" ht="45">
      <c r="A17" s="373" t="s">
        <v>449</v>
      </c>
      <c r="B17" s="374">
        <f>ESTIMATE!I45</f>
        <v>5.4499999999999993</v>
      </c>
      <c r="C17" s="507" t="s">
        <v>5</v>
      </c>
      <c r="D17" s="375"/>
      <c r="E17" s="508" t="s">
        <v>291</v>
      </c>
      <c r="F17" s="375">
        <f>ESTIMATE!K45</f>
        <v>5252.57</v>
      </c>
      <c r="G17" s="377" t="s">
        <v>266</v>
      </c>
      <c r="H17" s="378">
        <f t="shared" ref="H17" si="0">ROUND(B17*F17,2)</f>
        <v>28626.51</v>
      </c>
      <c r="I17" s="378"/>
      <c r="J17" s="379"/>
      <c r="K17" s="364"/>
      <c r="L17" s="365"/>
    </row>
    <row r="18" spans="1:12" s="355" customFormat="1" ht="45">
      <c r="A18" s="373">
        <v>3</v>
      </c>
      <c r="B18" s="374">
        <f>ESTIMATE!I256</f>
        <v>79.63</v>
      </c>
      <c r="C18" s="507" t="s">
        <v>102</v>
      </c>
      <c r="D18" s="375"/>
      <c r="E18" s="508" t="s">
        <v>123</v>
      </c>
      <c r="F18" s="375">
        <f>ESTIMATE!K256</f>
        <v>378.77</v>
      </c>
      <c r="G18" s="377" t="s">
        <v>267</v>
      </c>
      <c r="H18" s="378">
        <f t="shared" ref="H18" si="1">ROUND(B18*F18,2)</f>
        <v>30161.46</v>
      </c>
      <c r="I18" s="378"/>
      <c r="J18" s="379"/>
      <c r="K18" s="364"/>
      <c r="L18" s="365"/>
    </row>
    <row r="19" spans="1:12" s="355" customFormat="1" ht="99">
      <c r="A19" s="373">
        <v>4</v>
      </c>
      <c r="B19" s="374">
        <f>ESTIMATE!I333</f>
        <v>50.230000000000004</v>
      </c>
      <c r="C19" s="507" t="s">
        <v>102</v>
      </c>
      <c r="D19" s="375"/>
      <c r="E19" s="508" t="s">
        <v>212</v>
      </c>
      <c r="F19" s="375">
        <f>ESTIMATE!K333</f>
        <v>1238.02</v>
      </c>
      <c r="G19" s="377" t="s">
        <v>267</v>
      </c>
      <c r="H19" s="378">
        <f t="shared" ref="H19" si="2">ROUND(B19*F19,2)</f>
        <v>62185.74</v>
      </c>
      <c r="I19" s="378"/>
      <c r="J19" s="379"/>
      <c r="K19" s="364"/>
      <c r="L19" s="365"/>
    </row>
    <row r="20" spans="1:12" s="355" customFormat="1" ht="81">
      <c r="A20" s="373">
        <v>5</v>
      </c>
      <c r="B20" s="374">
        <f>ESTIMATE!I386</f>
        <v>0</v>
      </c>
      <c r="C20" s="507" t="s">
        <v>102</v>
      </c>
      <c r="D20" s="375"/>
      <c r="E20" s="508" t="s">
        <v>211</v>
      </c>
      <c r="F20" s="375">
        <f>ESTIMATE!K386</f>
        <v>849.02</v>
      </c>
      <c r="G20" s="377" t="s">
        <v>267</v>
      </c>
      <c r="H20" s="378">
        <f t="shared" ref="H20" si="3">ROUND(B20*F20,2)</f>
        <v>0</v>
      </c>
      <c r="I20" s="378"/>
      <c r="J20" s="379"/>
      <c r="K20" s="364"/>
      <c r="L20" s="365"/>
    </row>
    <row r="21" spans="1:12" s="355" customFormat="1" ht="72">
      <c r="A21" s="373">
        <v>6</v>
      </c>
      <c r="B21" s="374">
        <f>ESTIMATE!I392</f>
        <v>0</v>
      </c>
      <c r="C21" s="507" t="s">
        <v>102</v>
      </c>
      <c r="D21" s="375"/>
      <c r="E21" s="508" t="s">
        <v>214</v>
      </c>
      <c r="F21" s="375">
        <f>ESTIMATE!K392</f>
        <v>499.42</v>
      </c>
      <c r="G21" s="377" t="s">
        <v>267</v>
      </c>
      <c r="H21" s="378">
        <f t="shared" ref="H21" si="4">ROUND(B21*F21,2)</f>
        <v>0</v>
      </c>
      <c r="I21" s="378"/>
      <c r="J21" s="379"/>
      <c r="K21" s="364"/>
      <c r="L21" s="365"/>
    </row>
    <row r="22" spans="1:12" s="355" customFormat="1" ht="108">
      <c r="A22" s="373">
        <v>7</v>
      </c>
      <c r="B22" s="374">
        <f>ESTIMATE!I448</f>
        <v>0</v>
      </c>
      <c r="C22" s="507" t="s">
        <v>102</v>
      </c>
      <c r="D22" s="375"/>
      <c r="E22" s="508" t="s">
        <v>841</v>
      </c>
      <c r="F22" s="375">
        <f>ESTIMATE!K448</f>
        <v>188.29</v>
      </c>
      <c r="G22" s="377" t="s">
        <v>267</v>
      </c>
      <c r="H22" s="378">
        <f t="shared" ref="H22" si="5">ROUND(B22*F22,2)</f>
        <v>0</v>
      </c>
      <c r="I22" s="378"/>
      <c r="J22" s="379"/>
      <c r="K22" s="364"/>
      <c r="L22" s="365"/>
    </row>
    <row r="23" spans="1:12" s="355" customFormat="1" ht="54">
      <c r="A23" s="373">
        <v>8</v>
      </c>
      <c r="B23" s="374">
        <f>ESTIMATE!I495</f>
        <v>0</v>
      </c>
      <c r="C23" s="507" t="s">
        <v>102</v>
      </c>
      <c r="D23" s="375"/>
      <c r="E23" s="508" t="s">
        <v>2309</v>
      </c>
      <c r="F23" s="375">
        <f>ESTIMATE!K495</f>
        <v>162.18</v>
      </c>
      <c r="G23" s="377" t="s">
        <v>267</v>
      </c>
      <c r="H23" s="378">
        <f t="shared" ref="H23" si="6">ROUND(B23*F23,2)</f>
        <v>0</v>
      </c>
      <c r="I23" s="378"/>
      <c r="J23" s="379"/>
      <c r="K23" s="364"/>
      <c r="L23" s="365"/>
    </row>
    <row r="24" spans="1:12" s="355" customFormat="1" ht="36">
      <c r="A24" s="373">
        <v>9</v>
      </c>
      <c r="B24" s="374">
        <f>ESTIMATE!I1373</f>
        <v>0</v>
      </c>
      <c r="C24" s="507" t="s">
        <v>114</v>
      </c>
      <c r="D24" s="375"/>
      <c r="E24" s="508" t="s">
        <v>2315</v>
      </c>
      <c r="F24" s="375">
        <f>ESTIMATE!K1373</f>
        <v>6107.37</v>
      </c>
      <c r="G24" s="377" t="s">
        <v>268</v>
      </c>
      <c r="H24" s="378">
        <f t="shared" ref="H24" si="7">ROUND(B24*F24,2)</f>
        <v>0</v>
      </c>
      <c r="I24" s="378"/>
      <c r="J24" s="379"/>
      <c r="K24" s="364"/>
      <c r="L24" s="365"/>
    </row>
    <row r="25" spans="1:12" s="355" customFormat="1" ht="36">
      <c r="A25" s="373">
        <v>10</v>
      </c>
      <c r="B25" s="374">
        <f>ESTIMATE!I1377</f>
        <v>0</v>
      </c>
      <c r="C25" s="507" t="s">
        <v>114</v>
      </c>
      <c r="D25" s="375"/>
      <c r="E25" s="508" t="s">
        <v>2317</v>
      </c>
      <c r="F25" s="375">
        <f>ESTIMATE!K1377</f>
        <v>8032.4400000000005</v>
      </c>
      <c r="G25" s="377" t="s">
        <v>268</v>
      </c>
      <c r="H25" s="378">
        <f t="shared" ref="H25" si="8">ROUND(B25*F25,2)</f>
        <v>0</v>
      </c>
      <c r="I25" s="378"/>
      <c r="J25" s="379"/>
      <c r="K25" s="364"/>
      <c r="L25" s="365"/>
    </row>
    <row r="26" spans="1:12" s="355" customFormat="1" ht="36">
      <c r="A26" s="373">
        <v>11</v>
      </c>
      <c r="B26" s="374">
        <f>ESTIMATE!I1457</f>
        <v>0</v>
      </c>
      <c r="C26" s="507" t="s">
        <v>114</v>
      </c>
      <c r="D26" s="375"/>
      <c r="E26" s="508" t="s">
        <v>345</v>
      </c>
      <c r="F26" s="375">
        <f>ESTIMATE!K1457</f>
        <v>387</v>
      </c>
      <c r="G26" s="377" t="s">
        <v>268</v>
      </c>
      <c r="H26" s="378">
        <f t="shared" ref="H26" si="9">ROUND(B26*F26,2)</f>
        <v>0</v>
      </c>
      <c r="I26" s="378"/>
      <c r="J26" s="379"/>
      <c r="K26" s="364"/>
      <c r="L26" s="365"/>
    </row>
    <row r="27" spans="1:12" s="355" customFormat="1" ht="18">
      <c r="A27" s="373">
        <v>12</v>
      </c>
      <c r="B27" s="374">
        <f>ESTIMATE!I1461</f>
        <v>0</v>
      </c>
      <c r="C27" s="507" t="s">
        <v>114</v>
      </c>
      <c r="D27" s="375"/>
      <c r="E27" s="508" t="s">
        <v>2307</v>
      </c>
      <c r="F27" s="375">
        <f>ESTIMATE!K1461</f>
        <v>4166</v>
      </c>
      <c r="G27" s="377" t="s">
        <v>268</v>
      </c>
      <c r="H27" s="378">
        <f t="shared" ref="H27" si="10">ROUND(B27*F27,2)</f>
        <v>0</v>
      </c>
      <c r="I27" s="378"/>
      <c r="J27" s="379"/>
      <c r="K27" s="364"/>
      <c r="L27" s="365"/>
    </row>
    <row r="28" spans="1:12" s="355" customFormat="1" ht="54">
      <c r="A28" s="373">
        <v>13</v>
      </c>
      <c r="B28" s="374">
        <f>ESTIMATE!I1487</f>
        <v>0</v>
      </c>
      <c r="C28" s="507" t="s">
        <v>114</v>
      </c>
      <c r="D28" s="375"/>
      <c r="E28" s="508" t="s">
        <v>319</v>
      </c>
      <c r="F28" s="375">
        <f>ESTIMATE!K1487</f>
        <v>5297</v>
      </c>
      <c r="G28" s="377" t="s">
        <v>268</v>
      </c>
      <c r="H28" s="378">
        <f t="shared" ref="H28" si="11">ROUND(B28*F28,2)</f>
        <v>0</v>
      </c>
      <c r="I28" s="378"/>
      <c r="J28" s="379"/>
      <c r="K28" s="364"/>
      <c r="L28" s="365"/>
    </row>
    <row r="29" spans="1:12" s="355" customFormat="1" ht="126">
      <c r="A29" s="373">
        <v>14</v>
      </c>
      <c r="B29" s="374">
        <f>ESTIMATE!I1499</f>
        <v>0</v>
      </c>
      <c r="C29" s="507" t="s">
        <v>114</v>
      </c>
      <c r="D29" s="375"/>
      <c r="E29" s="508" t="s">
        <v>324</v>
      </c>
      <c r="F29" s="375">
        <f>ESTIMATE!K1499</f>
        <v>2025</v>
      </c>
      <c r="G29" s="377" t="s">
        <v>268</v>
      </c>
      <c r="H29" s="378">
        <f t="shared" ref="H29" si="12">ROUND(B29*F29,2)</f>
        <v>0</v>
      </c>
      <c r="I29" s="378"/>
      <c r="J29" s="379"/>
      <c r="K29" s="364"/>
      <c r="L29" s="365"/>
    </row>
    <row r="30" spans="1:12" s="355" customFormat="1" ht="27">
      <c r="A30" s="373">
        <v>15</v>
      </c>
      <c r="B30" s="374">
        <f>ESTIMATE!I1662</f>
        <v>0</v>
      </c>
      <c r="C30" s="507" t="s">
        <v>114</v>
      </c>
      <c r="D30" s="375"/>
      <c r="E30" s="508" t="s">
        <v>890</v>
      </c>
      <c r="F30" s="375">
        <f>ESTIMATE!K1662</f>
        <v>2933.04</v>
      </c>
      <c r="G30" s="377" t="s">
        <v>268</v>
      </c>
      <c r="H30" s="378">
        <f t="shared" ref="H30" si="13">ROUND(B30*F30,2)</f>
        <v>0</v>
      </c>
      <c r="I30" s="378"/>
      <c r="J30" s="379"/>
      <c r="K30" s="364"/>
      <c r="L30" s="365"/>
    </row>
    <row r="31" spans="1:12" s="355" customFormat="1" ht="18">
      <c r="A31" s="373">
        <v>16</v>
      </c>
      <c r="B31" s="374">
        <f>ESTIMATE!I1679</f>
        <v>0</v>
      </c>
      <c r="C31" s="507" t="s">
        <v>114</v>
      </c>
      <c r="D31" s="375"/>
      <c r="E31" s="508" t="s">
        <v>892</v>
      </c>
      <c r="F31" s="375">
        <f>ESTIMATE!K1679</f>
        <v>186.01</v>
      </c>
      <c r="G31" s="377" t="s">
        <v>268</v>
      </c>
      <c r="H31" s="378">
        <f t="shared" ref="H31" si="14">ROUND(B31*F31,2)</f>
        <v>0</v>
      </c>
      <c r="I31" s="378"/>
      <c r="J31" s="379"/>
      <c r="K31" s="364"/>
      <c r="L31" s="365"/>
    </row>
    <row r="32" spans="1:12" s="355" customFormat="1" ht="18">
      <c r="A32" s="373">
        <v>17</v>
      </c>
      <c r="B32" s="374">
        <f>ESTIMATE!I1689</f>
        <v>3</v>
      </c>
      <c r="C32" s="507" t="s">
        <v>114</v>
      </c>
      <c r="D32" s="375"/>
      <c r="E32" s="508" t="s">
        <v>892</v>
      </c>
      <c r="F32" s="375">
        <f>ESTIMATE!K1689</f>
        <v>458.87</v>
      </c>
      <c r="G32" s="377" t="s">
        <v>268</v>
      </c>
      <c r="H32" s="378">
        <f t="shared" ref="H32" si="15">ROUND(B32*F32,2)</f>
        <v>1376.61</v>
      </c>
      <c r="I32" s="378"/>
      <c r="J32" s="379"/>
      <c r="K32" s="364"/>
      <c r="L32" s="365"/>
    </row>
    <row r="33" spans="1:12" s="355" customFormat="1">
      <c r="A33" s="373"/>
      <c r="B33" s="374"/>
      <c r="C33" s="507"/>
      <c r="D33" s="375"/>
      <c r="E33" s="508"/>
      <c r="F33" s="375"/>
      <c r="G33" s="377"/>
      <c r="H33" s="378"/>
      <c r="I33" s="378"/>
      <c r="J33" s="379"/>
      <c r="K33" s="364"/>
      <c r="L33" s="365"/>
    </row>
    <row r="34" spans="1:12" s="355" customFormat="1">
      <c r="A34" s="373"/>
      <c r="B34" s="374"/>
      <c r="C34" s="507"/>
      <c r="D34" s="375"/>
      <c r="E34" s="508"/>
      <c r="F34" s="375"/>
      <c r="G34" s="377"/>
      <c r="H34" s="378"/>
      <c r="I34" s="378"/>
      <c r="J34" s="379"/>
      <c r="K34" s="364"/>
      <c r="L34" s="365"/>
    </row>
    <row r="35" spans="1:12" s="355" customFormat="1">
      <c r="A35" s="373"/>
      <c r="B35" s="374"/>
      <c r="C35" s="507"/>
      <c r="D35" s="375"/>
      <c r="E35" s="508"/>
      <c r="F35" s="375"/>
      <c r="G35" s="377"/>
      <c r="H35" s="378"/>
      <c r="I35" s="378"/>
      <c r="J35" s="379"/>
      <c r="K35" s="364"/>
      <c r="L35" s="365"/>
    </row>
    <row r="36" spans="1:12" s="355" customFormat="1">
      <c r="A36" s="373"/>
      <c r="B36" s="374"/>
      <c r="C36" s="507"/>
      <c r="D36" s="375"/>
      <c r="E36" s="508"/>
      <c r="F36" s="375"/>
      <c r="G36" s="377"/>
      <c r="H36" s="378"/>
      <c r="I36" s="378"/>
      <c r="J36" s="379"/>
      <c r="K36" s="364"/>
      <c r="L36" s="365"/>
    </row>
    <row r="37" spans="1:12" s="355" customFormat="1">
      <c r="A37" s="373"/>
      <c r="B37" s="374"/>
      <c r="C37" s="507"/>
      <c r="D37" s="375"/>
      <c r="E37" s="508"/>
      <c r="F37" s="375"/>
      <c r="G37" s="377"/>
      <c r="H37" s="378"/>
      <c r="I37" s="378"/>
      <c r="J37" s="379"/>
      <c r="K37" s="364"/>
      <c r="L37" s="365"/>
    </row>
    <row r="38" spans="1:12" s="355" customFormat="1">
      <c r="A38" s="373"/>
      <c r="B38" s="374"/>
      <c r="C38" s="507"/>
      <c r="D38" s="375"/>
      <c r="E38" s="508"/>
      <c r="F38" s="375"/>
      <c r="G38" s="377"/>
      <c r="H38" s="378"/>
      <c r="I38" s="378"/>
      <c r="J38" s="379"/>
      <c r="K38" s="364"/>
      <c r="L38" s="365"/>
    </row>
    <row r="39" spans="1:12" s="355" customFormat="1">
      <c r="A39" s="373"/>
      <c r="B39" s="374"/>
      <c r="C39" s="507"/>
      <c r="D39" s="375"/>
      <c r="E39" s="508"/>
      <c r="F39" s="375"/>
      <c r="G39" s="377"/>
      <c r="H39" s="378"/>
      <c r="I39" s="378"/>
      <c r="J39" s="379"/>
      <c r="K39" s="364"/>
      <c r="L39" s="365"/>
    </row>
    <row r="40" spans="1:12" s="355" customFormat="1">
      <c r="A40" s="373"/>
      <c r="B40" s="374"/>
      <c r="C40" s="507"/>
      <c r="D40" s="375"/>
      <c r="E40" s="508"/>
      <c r="F40" s="375"/>
      <c r="G40" s="377"/>
      <c r="H40" s="378"/>
      <c r="I40" s="378"/>
      <c r="J40" s="379"/>
      <c r="K40" s="364"/>
      <c r="L40" s="365"/>
    </row>
    <row r="41" spans="1:12" s="355" customFormat="1">
      <c r="A41" s="373"/>
      <c r="B41" s="374"/>
      <c r="C41" s="507"/>
      <c r="D41" s="375"/>
      <c r="E41" s="508"/>
      <c r="F41" s="375"/>
      <c r="G41" s="377"/>
      <c r="H41" s="378"/>
      <c r="I41" s="378"/>
      <c r="J41" s="379"/>
      <c r="K41" s="364"/>
      <c r="L41" s="365"/>
    </row>
    <row r="42" spans="1:12" s="355" customFormat="1">
      <c r="A42" s="373"/>
      <c r="B42" s="374"/>
      <c r="C42" s="507"/>
      <c r="D42" s="375"/>
      <c r="E42" s="508"/>
      <c r="F42" s="375"/>
      <c r="G42" s="377"/>
      <c r="H42" s="378"/>
      <c r="I42" s="378"/>
      <c r="J42" s="379"/>
      <c r="K42" s="364"/>
      <c r="L42" s="365"/>
    </row>
    <row r="43" spans="1:12" s="355" customFormat="1">
      <c r="A43" s="373"/>
      <c r="B43" s="374"/>
      <c r="C43" s="507"/>
      <c r="D43" s="375"/>
      <c r="E43" s="508"/>
      <c r="F43" s="375"/>
      <c r="G43" s="377"/>
      <c r="H43" s="378"/>
      <c r="I43" s="378"/>
      <c r="J43" s="379"/>
      <c r="K43" s="364"/>
      <c r="L43" s="365"/>
    </row>
    <row r="44" spans="1:12" s="355" customFormat="1">
      <c r="A44" s="373"/>
      <c r="B44" s="374"/>
      <c r="C44" s="507"/>
      <c r="D44" s="375"/>
      <c r="E44" s="508"/>
      <c r="F44" s="375"/>
      <c r="G44" s="377"/>
      <c r="H44" s="378"/>
      <c r="I44" s="378"/>
      <c r="J44" s="379"/>
      <c r="K44" s="364"/>
      <c r="L44" s="365"/>
    </row>
    <row r="45" spans="1:12" s="355" customFormat="1">
      <c r="A45" s="373"/>
      <c r="B45" s="374"/>
      <c r="C45" s="507"/>
      <c r="D45" s="375"/>
      <c r="E45" s="508"/>
      <c r="F45" s="375"/>
      <c r="G45" s="377"/>
      <c r="H45" s="378"/>
      <c r="I45" s="378"/>
      <c r="J45" s="379"/>
      <c r="K45" s="364"/>
      <c r="L45" s="365"/>
    </row>
    <row r="46" spans="1:12" s="355" customFormat="1">
      <c r="A46" s="373"/>
      <c r="B46" s="374"/>
      <c r="C46" s="507"/>
      <c r="D46" s="375"/>
      <c r="E46" s="508"/>
      <c r="F46" s="375"/>
      <c r="G46" s="377"/>
      <c r="H46" s="378"/>
      <c r="I46" s="378"/>
      <c r="J46" s="379"/>
      <c r="K46" s="364"/>
      <c r="L46" s="365"/>
    </row>
    <row r="47" spans="1:12" s="355" customFormat="1">
      <c r="A47" s="373"/>
      <c r="B47" s="374"/>
      <c r="C47" s="507"/>
      <c r="D47" s="375"/>
      <c r="E47" s="508"/>
      <c r="F47" s="375"/>
      <c r="G47" s="377"/>
      <c r="H47" s="378"/>
      <c r="I47" s="378"/>
      <c r="J47" s="379"/>
      <c r="K47" s="364"/>
      <c r="L47" s="365"/>
    </row>
    <row r="48" spans="1:12" s="355" customFormat="1">
      <c r="A48" s="373"/>
      <c r="B48" s="374"/>
      <c r="C48" s="507"/>
      <c r="D48" s="375"/>
      <c r="E48" s="508"/>
      <c r="F48" s="375"/>
      <c r="G48" s="377"/>
      <c r="H48" s="378"/>
      <c r="I48" s="378"/>
      <c r="J48" s="379"/>
      <c r="K48" s="364"/>
      <c r="L48" s="365"/>
    </row>
    <row r="49" spans="1:12" s="355" customFormat="1">
      <c r="A49" s="373"/>
      <c r="B49" s="374"/>
      <c r="C49" s="507"/>
      <c r="D49" s="375"/>
      <c r="E49" s="508"/>
      <c r="F49" s="375"/>
      <c r="G49" s="377"/>
      <c r="H49" s="378"/>
      <c r="I49" s="378"/>
      <c r="J49" s="379"/>
      <c r="K49" s="364"/>
      <c r="L49" s="365"/>
    </row>
    <row r="50" spans="1:12" s="355" customFormat="1">
      <c r="A50" s="373"/>
      <c r="B50" s="374"/>
      <c r="C50" s="507"/>
      <c r="D50" s="375"/>
      <c r="E50" s="508"/>
      <c r="F50" s="375"/>
      <c r="G50" s="377"/>
      <c r="H50" s="378"/>
      <c r="I50" s="378"/>
      <c r="J50" s="379"/>
      <c r="K50" s="364"/>
      <c r="L50" s="365"/>
    </row>
    <row r="51" spans="1:12" s="355" customFormat="1">
      <c r="A51" s="373"/>
      <c r="B51" s="374"/>
      <c r="C51" s="507"/>
      <c r="D51" s="375"/>
      <c r="E51" s="508"/>
      <c r="F51" s="375"/>
      <c r="G51" s="377"/>
      <c r="H51" s="378"/>
      <c r="I51" s="378"/>
      <c r="J51" s="379"/>
      <c r="K51" s="364"/>
      <c r="L51" s="365"/>
    </row>
    <row r="52" spans="1:12" s="355" customFormat="1">
      <c r="A52" s="373"/>
      <c r="B52" s="374"/>
      <c r="C52" s="507"/>
      <c r="D52" s="375"/>
      <c r="E52" s="508"/>
      <c r="F52" s="375"/>
      <c r="G52" s="377"/>
      <c r="H52" s="378"/>
      <c r="I52" s="378"/>
      <c r="J52" s="379"/>
      <c r="K52" s="364"/>
      <c r="L52" s="365"/>
    </row>
    <row r="53" spans="1:12" s="355" customFormat="1">
      <c r="A53" s="373"/>
      <c r="B53" s="374"/>
      <c r="C53" s="507"/>
      <c r="D53" s="375"/>
      <c r="E53" s="508"/>
      <c r="F53" s="375"/>
      <c r="G53" s="377"/>
      <c r="H53" s="378"/>
      <c r="I53" s="378"/>
      <c r="J53" s="379"/>
      <c r="K53" s="364"/>
      <c r="L53" s="365"/>
    </row>
    <row r="54" spans="1:12" s="355" customFormat="1">
      <c r="A54" s="373"/>
      <c r="B54" s="374"/>
      <c r="C54" s="507"/>
      <c r="D54" s="375"/>
      <c r="E54" s="508"/>
      <c r="F54" s="375"/>
      <c r="G54" s="377"/>
      <c r="H54" s="378"/>
      <c r="I54" s="378"/>
      <c r="J54" s="379"/>
      <c r="K54" s="364"/>
      <c r="L54" s="365"/>
    </row>
    <row r="55" spans="1:12" s="355" customFormat="1">
      <c r="A55" s="373"/>
      <c r="B55" s="374"/>
      <c r="C55" s="507"/>
      <c r="D55" s="375"/>
      <c r="E55" s="508"/>
      <c r="F55" s="375"/>
      <c r="G55" s="377"/>
      <c r="H55" s="378"/>
      <c r="I55" s="378"/>
      <c r="J55" s="379"/>
      <c r="K55" s="364"/>
      <c r="L55" s="365"/>
    </row>
    <row r="56" spans="1:12" s="355" customFormat="1">
      <c r="A56" s="373"/>
      <c r="B56" s="374"/>
      <c r="C56" s="507"/>
      <c r="D56" s="375"/>
      <c r="E56" s="508"/>
      <c r="F56" s="375"/>
      <c r="G56" s="377"/>
      <c r="H56" s="378"/>
      <c r="I56" s="378"/>
      <c r="J56" s="379"/>
      <c r="K56" s="364"/>
      <c r="L56" s="365"/>
    </row>
    <row r="57" spans="1:12" s="355" customFormat="1">
      <c r="A57" s="373"/>
      <c r="B57" s="374"/>
      <c r="C57" s="507"/>
      <c r="D57" s="375"/>
      <c r="E57" s="508"/>
      <c r="F57" s="375"/>
      <c r="G57" s="377"/>
      <c r="H57" s="378"/>
      <c r="I57" s="378"/>
      <c r="J57" s="379"/>
      <c r="K57" s="364"/>
      <c r="L57" s="365"/>
    </row>
    <row r="58" spans="1:12" s="355" customFormat="1">
      <c r="A58" s="373"/>
      <c r="B58" s="374"/>
      <c r="C58" s="507"/>
      <c r="D58" s="375"/>
      <c r="E58" s="508"/>
      <c r="F58" s="375"/>
      <c r="G58" s="377"/>
      <c r="H58" s="378"/>
      <c r="I58" s="378"/>
      <c r="J58" s="379"/>
      <c r="K58" s="364"/>
      <c r="L58" s="365"/>
    </row>
    <row r="59" spans="1:12" s="355" customFormat="1">
      <c r="A59" s="373"/>
      <c r="B59" s="374"/>
      <c r="C59" s="507"/>
      <c r="D59" s="375"/>
      <c r="E59" s="508"/>
      <c r="F59" s="375"/>
      <c r="G59" s="377"/>
      <c r="H59" s="378"/>
      <c r="I59" s="378"/>
      <c r="J59" s="379"/>
      <c r="K59" s="364"/>
      <c r="L59" s="365"/>
    </row>
    <row r="60" spans="1:12" s="355" customFormat="1">
      <c r="A60" s="373"/>
      <c r="B60" s="374"/>
      <c r="C60" s="507"/>
      <c r="D60" s="375"/>
      <c r="E60" s="508"/>
      <c r="F60" s="375"/>
      <c r="G60" s="377"/>
      <c r="H60" s="378"/>
      <c r="I60" s="378"/>
      <c r="J60" s="379"/>
      <c r="K60" s="364"/>
      <c r="L60" s="365"/>
    </row>
    <row r="61" spans="1:12" s="355" customFormat="1">
      <c r="A61" s="373"/>
      <c r="B61" s="374"/>
      <c r="C61" s="507"/>
      <c r="D61" s="375"/>
      <c r="E61" s="508"/>
      <c r="F61" s="375"/>
      <c r="G61" s="377"/>
      <c r="H61" s="378"/>
      <c r="I61" s="378"/>
      <c r="J61" s="379"/>
      <c r="K61" s="364"/>
      <c r="L61" s="365"/>
    </row>
    <row r="62" spans="1:12" s="355" customFormat="1">
      <c r="A62" s="373"/>
      <c r="B62" s="374"/>
      <c r="C62" s="507"/>
      <c r="D62" s="375"/>
      <c r="E62" s="508"/>
      <c r="F62" s="375"/>
      <c r="G62" s="377"/>
      <c r="H62" s="378"/>
      <c r="I62" s="378"/>
      <c r="J62" s="379"/>
      <c r="K62" s="364"/>
      <c r="L62" s="365"/>
    </row>
    <row r="63" spans="1:12" s="355" customFormat="1">
      <c r="A63" s="373"/>
      <c r="B63" s="374"/>
      <c r="C63" s="507"/>
      <c r="D63" s="375"/>
      <c r="E63" s="508"/>
      <c r="F63" s="375"/>
      <c r="G63" s="377"/>
      <c r="H63" s="378"/>
      <c r="I63" s="378"/>
      <c r="J63" s="379"/>
      <c r="K63" s="364"/>
      <c r="L63" s="365"/>
    </row>
    <row r="64" spans="1:12" s="355" customFormat="1">
      <c r="A64" s="373"/>
      <c r="B64" s="374"/>
      <c r="C64" s="507"/>
      <c r="D64" s="375"/>
      <c r="E64" s="508"/>
      <c r="F64" s="375"/>
      <c r="G64" s="377"/>
      <c r="H64" s="378"/>
      <c r="I64" s="378"/>
      <c r="J64" s="379"/>
      <c r="K64" s="364"/>
      <c r="L64" s="365"/>
    </row>
    <row r="65" spans="1:12" s="355" customFormat="1">
      <c r="A65" s="373"/>
      <c r="B65" s="374"/>
      <c r="C65" s="507"/>
      <c r="D65" s="375"/>
      <c r="E65" s="508"/>
      <c r="F65" s="375"/>
      <c r="G65" s="377"/>
      <c r="H65" s="378"/>
      <c r="I65" s="378"/>
      <c r="J65" s="379"/>
      <c r="K65" s="364"/>
      <c r="L65" s="365"/>
    </row>
    <row r="66" spans="1:12" s="355" customFormat="1">
      <c r="A66" s="373"/>
      <c r="B66" s="374"/>
      <c r="C66" s="507"/>
      <c r="D66" s="375"/>
      <c r="E66" s="508"/>
      <c r="F66" s="375"/>
      <c r="G66" s="377"/>
      <c r="H66" s="378"/>
      <c r="I66" s="378"/>
      <c r="J66" s="379"/>
      <c r="K66" s="364"/>
      <c r="L66" s="365"/>
    </row>
    <row r="67" spans="1:12" s="355" customFormat="1">
      <c r="A67" s="373"/>
      <c r="B67" s="374"/>
      <c r="C67" s="507"/>
      <c r="D67" s="375"/>
      <c r="E67" s="508"/>
      <c r="F67" s="375"/>
      <c r="G67" s="377"/>
      <c r="H67" s="378"/>
      <c r="I67" s="378"/>
      <c r="J67" s="379"/>
      <c r="K67" s="364"/>
      <c r="L67" s="365"/>
    </row>
    <row r="68" spans="1:12" s="355" customFormat="1">
      <c r="A68" s="373"/>
      <c r="B68" s="374"/>
      <c r="C68" s="507"/>
      <c r="D68" s="375"/>
      <c r="E68" s="508"/>
      <c r="F68" s="375"/>
      <c r="G68" s="377"/>
      <c r="H68" s="378"/>
      <c r="I68" s="378"/>
      <c r="J68" s="379"/>
      <c r="K68" s="364"/>
      <c r="L68" s="365"/>
    </row>
    <row r="69" spans="1:12" s="355" customFormat="1">
      <c r="A69" s="373"/>
      <c r="B69" s="374"/>
      <c r="C69" s="507"/>
      <c r="D69" s="375"/>
      <c r="E69" s="508"/>
      <c r="F69" s="375"/>
      <c r="G69" s="377"/>
      <c r="H69" s="378"/>
      <c r="I69" s="378"/>
      <c r="J69" s="379"/>
      <c r="K69" s="364"/>
      <c r="L69" s="365"/>
    </row>
    <row r="70" spans="1:12" s="355" customFormat="1">
      <c r="A70" s="373"/>
      <c r="B70" s="374"/>
      <c r="C70" s="507"/>
      <c r="D70" s="375"/>
      <c r="E70" s="508"/>
      <c r="F70" s="375"/>
      <c r="G70" s="377"/>
      <c r="H70" s="378"/>
      <c r="I70" s="378"/>
      <c r="J70" s="379"/>
      <c r="K70" s="364"/>
      <c r="L70" s="365"/>
    </row>
    <row r="71" spans="1:12" s="355" customFormat="1">
      <c r="A71" s="373"/>
      <c r="B71" s="374"/>
      <c r="C71" s="507"/>
      <c r="D71" s="375"/>
      <c r="E71" s="508"/>
      <c r="F71" s="375"/>
      <c r="G71" s="377"/>
      <c r="H71" s="378"/>
      <c r="I71" s="378"/>
      <c r="J71" s="379"/>
      <c r="K71" s="364"/>
      <c r="L71" s="365"/>
    </row>
    <row r="72" spans="1:12" s="355" customFormat="1">
      <c r="A72" s="373"/>
      <c r="B72" s="374"/>
      <c r="C72" s="507"/>
      <c r="D72" s="375"/>
      <c r="E72" s="508"/>
      <c r="F72" s="375"/>
      <c r="G72" s="377"/>
      <c r="H72" s="378"/>
      <c r="I72" s="378"/>
      <c r="J72" s="379"/>
      <c r="K72" s="364"/>
      <c r="L72" s="365"/>
    </row>
    <row r="73" spans="1:12" s="355" customFormat="1">
      <c r="A73" s="373"/>
      <c r="B73" s="374"/>
      <c r="C73" s="507"/>
      <c r="D73" s="375"/>
      <c r="E73" s="508"/>
      <c r="F73" s="375"/>
      <c r="G73" s="377"/>
      <c r="H73" s="378"/>
      <c r="I73" s="378"/>
      <c r="J73" s="379"/>
      <c r="K73" s="364"/>
      <c r="L73" s="365"/>
    </row>
    <row r="74" spans="1:12" s="355" customFormat="1">
      <c r="A74" s="373"/>
      <c r="B74" s="374"/>
      <c r="C74" s="507"/>
      <c r="D74" s="375"/>
      <c r="E74" s="508"/>
      <c r="F74" s="375"/>
      <c r="G74" s="377"/>
      <c r="H74" s="378"/>
      <c r="I74" s="378"/>
      <c r="J74" s="379"/>
      <c r="K74" s="364"/>
      <c r="L74" s="365"/>
    </row>
    <row r="75" spans="1:12" s="355" customFormat="1">
      <c r="A75" s="373"/>
      <c r="B75" s="374"/>
      <c r="C75" s="507"/>
      <c r="D75" s="375"/>
      <c r="E75" s="508"/>
      <c r="F75" s="375"/>
      <c r="G75" s="377"/>
      <c r="H75" s="378"/>
      <c r="I75" s="378"/>
      <c r="J75" s="379"/>
      <c r="K75" s="364"/>
      <c r="L75" s="365"/>
    </row>
    <row r="76" spans="1:12" s="355" customFormat="1">
      <c r="A76" s="373"/>
      <c r="B76" s="374"/>
      <c r="C76" s="507"/>
      <c r="D76" s="375"/>
      <c r="E76" s="508"/>
      <c r="F76" s="375"/>
      <c r="G76" s="377"/>
      <c r="H76" s="378"/>
      <c r="I76" s="378"/>
      <c r="J76" s="379"/>
      <c r="K76" s="364"/>
      <c r="L76" s="365"/>
    </row>
    <row r="77" spans="1:12" s="355" customFormat="1">
      <c r="A77" s="373"/>
      <c r="B77" s="374"/>
      <c r="C77" s="507"/>
      <c r="D77" s="375"/>
      <c r="E77" s="508"/>
      <c r="F77" s="375"/>
      <c r="G77" s="377"/>
      <c r="H77" s="378"/>
      <c r="I77" s="378"/>
      <c r="J77" s="379"/>
      <c r="K77" s="364"/>
      <c r="L77" s="365"/>
    </row>
    <row r="78" spans="1:12" s="355" customFormat="1">
      <c r="A78" s="373"/>
      <c r="B78" s="374"/>
      <c r="C78" s="507"/>
      <c r="D78" s="375"/>
      <c r="E78" s="508"/>
      <c r="F78" s="375"/>
      <c r="G78" s="377"/>
      <c r="H78" s="378"/>
      <c r="I78" s="378"/>
      <c r="J78" s="379"/>
      <c r="K78" s="364"/>
      <c r="L78" s="365"/>
    </row>
    <row r="79" spans="1:12" s="355" customFormat="1">
      <c r="A79" s="373"/>
      <c r="B79" s="374"/>
      <c r="C79" s="507"/>
      <c r="D79" s="375"/>
      <c r="E79" s="508"/>
      <c r="F79" s="375"/>
      <c r="G79" s="377"/>
      <c r="H79" s="378"/>
      <c r="I79" s="378"/>
      <c r="J79" s="379"/>
      <c r="K79" s="364"/>
      <c r="L79" s="365"/>
    </row>
    <row r="80" spans="1:12" s="355" customFormat="1">
      <c r="A80" s="373"/>
      <c r="B80" s="374"/>
      <c r="C80" s="507"/>
      <c r="D80" s="375"/>
      <c r="E80" s="508"/>
      <c r="F80" s="375"/>
      <c r="G80" s="377"/>
      <c r="H80" s="378"/>
      <c r="I80" s="378"/>
      <c r="J80" s="379"/>
      <c r="K80" s="364"/>
      <c r="L80" s="365"/>
    </row>
    <row r="81" spans="1:12" s="355" customFormat="1">
      <c r="A81" s="373"/>
      <c r="B81" s="374"/>
      <c r="C81" s="507"/>
      <c r="D81" s="375"/>
      <c r="E81" s="508"/>
      <c r="F81" s="375"/>
      <c r="G81" s="377"/>
      <c r="H81" s="378"/>
      <c r="I81" s="378"/>
      <c r="J81" s="379"/>
      <c r="K81" s="364"/>
      <c r="L81" s="365"/>
    </row>
    <row r="82" spans="1:12" s="355" customFormat="1">
      <c r="A82" s="373"/>
      <c r="B82" s="374"/>
      <c r="C82" s="507"/>
      <c r="D82" s="375"/>
      <c r="E82" s="508"/>
      <c r="F82" s="375"/>
      <c r="G82" s="377"/>
      <c r="H82" s="378"/>
      <c r="I82" s="378"/>
      <c r="J82" s="379"/>
      <c r="K82" s="364"/>
      <c r="L82" s="365"/>
    </row>
    <row r="83" spans="1:12" s="355" customFormat="1">
      <c r="A83" s="373"/>
      <c r="B83" s="374"/>
      <c r="C83" s="507"/>
      <c r="D83" s="375"/>
      <c r="E83" s="508"/>
      <c r="F83" s="375"/>
      <c r="G83" s="377"/>
      <c r="H83" s="378"/>
      <c r="I83" s="378"/>
      <c r="J83" s="379"/>
      <c r="K83" s="364"/>
      <c r="L83" s="365"/>
    </row>
    <row r="84" spans="1:12" s="355" customFormat="1">
      <c r="A84" s="373"/>
      <c r="B84" s="374"/>
      <c r="C84" s="507"/>
      <c r="D84" s="375"/>
      <c r="E84" s="508"/>
      <c r="F84" s="375"/>
      <c r="G84" s="377"/>
      <c r="H84" s="378"/>
      <c r="I84" s="378"/>
      <c r="J84" s="379"/>
      <c r="K84" s="364"/>
      <c r="L84" s="365"/>
    </row>
    <row r="85" spans="1:12" s="355" customFormat="1">
      <c r="A85" s="373"/>
      <c r="B85" s="374"/>
      <c r="C85" s="507"/>
      <c r="D85" s="375"/>
      <c r="E85" s="508"/>
      <c r="F85" s="375"/>
      <c r="G85" s="377"/>
      <c r="H85" s="378"/>
      <c r="I85" s="378"/>
      <c r="J85" s="379"/>
      <c r="K85" s="364"/>
      <c r="L85" s="365"/>
    </row>
    <row r="86" spans="1:12" s="355" customFormat="1">
      <c r="A86" s="373"/>
      <c r="B86" s="374"/>
      <c r="C86" s="507"/>
      <c r="D86" s="375"/>
      <c r="E86" s="508"/>
      <c r="F86" s="375"/>
      <c r="G86" s="377"/>
      <c r="H86" s="378"/>
      <c r="I86" s="378"/>
      <c r="J86" s="379"/>
      <c r="K86" s="364"/>
      <c r="L86" s="365"/>
    </row>
    <row r="87" spans="1:12" s="355" customFormat="1">
      <c r="A87" s="373"/>
      <c r="B87" s="374"/>
      <c r="C87" s="507"/>
      <c r="D87" s="375"/>
      <c r="E87" s="508"/>
      <c r="F87" s="375"/>
      <c r="G87" s="377"/>
      <c r="H87" s="378"/>
      <c r="I87" s="378"/>
      <c r="J87" s="379"/>
      <c r="K87" s="364"/>
      <c r="L87" s="365"/>
    </row>
    <row r="88" spans="1:12" s="355" customFormat="1">
      <c r="A88" s="373"/>
      <c r="B88" s="374"/>
      <c r="C88" s="507"/>
      <c r="D88" s="375"/>
      <c r="E88" s="508"/>
      <c r="F88" s="375"/>
      <c r="G88" s="377"/>
      <c r="H88" s="378"/>
      <c r="I88" s="378"/>
      <c r="J88" s="379"/>
      <c r="K88" s="364"/>
      <c r="L88" s="365"/>
    </row>
    <row r="89" spans="1:12" s="355" customFormat="1">
      <c r="A89" s="373"/>
      <c r="B89" s="374"/>
      <c r="C89" s="507"/>
      <c r="D89" s="375"/>
      <c r="E89" s="508"/>
      <c r="F89" s="375"/>
      <c r="G89" s="377"/>
      <c r="H89" s="378"/>
      <c r="I89" s="378"/>
      <c r="J89" s="379"/>
      <c r="K89" s="364"/>
      <c r="L89" s="365"/>
    </row>
    <row r="90" spans="1:12" s="355" customFormat="1">
      <c r="A90" s="373"/>
      <c r="B90" s="374"/>
      <c r="C90" s="507"/>
      <c r="D90" s="375"/>
      <c r="E90" s="508"/>
      <c r="F90" s="375"/>
      <c r="G90" s="377"/>
      <c r="H90" s="378"/>
      <c r="I90" s="378"/>
      <c r="J90" s="379"/>
      <c r="K90" s="364"/>
      <c r="L90" s="365"/>
    </row>
    <row r="91" spans="1:12" s="355" customFormat="1">
      <c r="A91" s="373"/>
      <c r="B91" s="374"/>
      <c r="C91" s="507"/>
      <c r="D91" s="375"/>
      <c r="E91" s="508"/>
      <c r="F91" s="375"/>
      <c r="G91" s="377"/>
      <c r="H91" s="378"/>
      <c r="I91" s="378"/>
      <c r="J91" s="379"/>
      <c r="K91" s="364"/>
      <c r="L91" s="365"/>
    </row>
    <row r="92" spans="1:12" s="398" customFormat="1" ht="11.25">
      <c r="A92" s="388"/>
      <c r="B92" s="389"/>
      <c r="C92" s="390"/>
      <c r="D92" s="391"/>
      <c r="E92" s="392"/>
      <c r="F92" s="393"/>
      <c r="G92" s="394"/>
      <c r="H92" s="395"/>
      <c r="I92" s="396"/>
      <c r="J92" s="397"/>
    </row>
    <row r="93" spans="1:12" s="399" customFormat="1" ht="18" customHeight="1">
      <c r="A93" s="414"/>
      <c r="B93" s="415"/>
      <c r="C93" s="416"/>
      <c r="D93" s="417"/>
      <c r="E93" s="971" t="s">
        <v>1977</v>
      </c>
      <c r="F93" s="971"/>
      <c r="G93" s="418" t="s">
        <v>1978</v>
      </c>
      <c r="H93" s="419">
        <f>SUM(H15:H92)</f>
        <v>122350.31999999999</v>
      </c>
      <c r="I93" s="419">
        <f>SUM(I15:I92)</f>
        <v>0</v>
      </c>
      <c r="J93" s="420"/>
      <c r="L93" s="400">
        <f>SUM(L15:L92)</f>
        <v>0</v>
      </c>
    </row>
    <row r="94" spans="1:12" s="399" customFormat="1" ht="12" customHeight="1">
      <c r="A94" s="421"/>
      <c r="B94" s="422"/>
      <c r="C94" s="423"/>
      <c r="D94" s="424"/>
      <c r="E94" s="972" t="s">
        <v>1979</v>
      </c>
      <c r="F94" s="972"/>
      <c r="G94" s="425" t="s">
        <v>1978</v>
      </c>
      <c r="H94" s="400">
        <f>L93</f>
        <v>0</v>
      </c>
      <c r="I94" s="426" t="s">
        <v>850</v>
      </c>
      <c r="J94" s="427"/>
    </row>
    <row r="95" spans="1:12" s="399" customFormat="1" ht="15" customHeight="1">
      <c r="A95" s="428"/>
      <c r="B95" s="429"/>
      <c r="C95" s="430"/>
      <c r="D95" s="431"/>
      <c r="E95" s="973" t="s">
        <v>1980</v>
      </c>
      <c r="F95" s="973"/>
      <c r="G95" s="432" t="s">
        <v>1978</v>
      </c>
      <c r="H95" s="433">
        <f>H93-H94</f>
        <v>122350.31999999999</v>
      </c>
      <c r="I95" s="974">
        <f>ROUND(H95,0)</f>
        <v>122350</v>
      </c>
      <c r="J95" s="975"/>
    </row>
    <row r="96" spans="1:12" s="355" customFormat="1" ht="38.25" customHeight="1">
      <c r="B96" s="976" t="s">
        <v>1981</v>
      </c>
      <c r="C96" s="976"/>
      <c r="D96" s="976"/>
      <c r="E96" s="976"/>
      <c r="F96" s="401"/>
      <c r="G96" s="401"/>
      <c r="H96" s="977" t="s">
        <v>1982</v>
      </c>
      <c r="I96" s="977"/>
      <c r="J96" s="977"/>
    </row>
    <row r="97" spans="2:10" s="355" customFormat="1" ht="81.75" customHeight="1">
      <c r="B97" s="402"/>
      <c r="C97" s="403"/>
      <c r="D97" s="978" t="s">
        <v>1983</v>
      </c>
      <c r="E97" s="978"/>
      <c r="F97" s="968" t="s">
        <v>1984</v>
      </c>
      <c r="G97" s="968"/>
      <c r="H97" s="968"/>
      <c r="I97" s="968"/>
      <c r="J97" s="968"/>
    </row>
    <row r="98" spans="2:10" s="355" customFormat="1" ht="3" customHeight="1">
      <c r="B98" s="402"/>
      <c r="C98" s="403"/>
      <c r="D98" s="967"/>
      <c r="E98" s="967"/>
      <c r="F98" s="403"/>
      <c r="G98" s="403"/>
      <c r="H98" s="403"/>
      <c r="I98" s="403"/>
      <c r="J98" s="403"/>
    </row>
    <row r="99" spans="2:10" s="355" customFormat="1" ht="37.5" customHeight="1">
      <c r="B99" s="402"/>
      <c r="C99" s="403"/>
      <c r="D99" s="967" t="s">
        <v>1985</v>
      </c>
      <c r="E99" s="967"/>
      <c r="F99" s="968" t="s">
        <v>1986</v>
      </c>
      <c r="G99" s="968"/>
      <c r="H99" s="968"/>
      <c r="I99" s="968"/>
      <c r="J99" s="968"/>
    </row>
    <row r="100" spans="2:10" s="355" customFormat="1" ht="21.75" customHeight="1">
      <c r="B100" s="402"/>
      <c r="C100" s="403"/>
      <c r="D100" s="967" t="s">
        <v>1987</v>
      </c>
      <c r="E100" s="967"/>
      <c r="F100" s="968" t="s">
        <v>1988</v>
      </c>
      <c r="G100" s="968"/>
      <c r="H100" s="968"/>
      <c r="I100" s="968" t="s">
        <v>1989</v>
      </c>
      <c r="J100" s="968"/>
    </row>
    <row r="101" spans="2:10" ht="12.75" customHeight="1">
      <c r="B101" s="404"/>
      <c r="C101" s="405"/>
      <c r="D101" s="979"/>
      <c r="E101" s="979"/>
      <c r="F101" s="980"/>
      <c r="G101" s="980"/>
      <c r="H101" s="980"/>
      <c r="I101" s="981"/>
      <c r="J101" s="981"/>
    </row>
    <row r="102" spans="2:10" ht="15" customHeight="1">
      <c r="B102" s="404"/>
      <c r="C102" s="405"/>
      <c r="D102" s="406"/>
      <c r="E102" s="315" t="str">
        <f>'[27]lead 23-24'!K32</f>
        <v>Assistant  Engineer</v>
      </c>
      <c r="F102" s="405"/>
      <c r="G102" s="405"/>
      <c r="H102" s="405"/>
      <c r="I102" s="407"/>
      <c r="J102" s="407"/>
    </row>
    <row r="103" spans="2:10" ht="12.75" customHeight="1">
      <c r="B103" s="404"/>
      <c r="C103" s="405"/>
      <c r="D103" s="406"/>
      <c r="E103" s="315" t="str">
        <f>'[27]lead 23-24'!K33</f>
        <v>Mandal Praja parishad</v>
      </c>
      <c r="F103" s="405"/>
      <c r="G103" s="405"/>
      <c r="H103" s="405"/>
      <c r="I103" s="407"/>
      <c r="J103" s="407"/>
    </row>
    <row r="104" spans="2:10" ht="12.75" customHeight="1">
      <c r="B104" s="404"/>
      <c r="C104" s="405"/>
      <c r="D104" s="406"/>
      <c r="E104" s="315" t="str">
        <f>'[27]lead 23-24'!K34</f>
        <v>Kanigiri</v>
      </c>
      <c r="F104" s="405"/>
      <c r="G104" s="405"/>
      <c r="H104" s="405"/>
      <c r="I104" s="407"/>
      <c r="J104" s="407"/>
    </row>
    <row r="105" spans="2:10" ht="12.75" customHeight="1">
      <c r="B105" s="404"/>
      <c r="C105" s="405"/>
      <c r="D105" s="406"/>
      <c r="E105" s="316"/>
      <c r="F105" s="405"/>
      <c r="G105" s="405"/>
      <c r="H105" s="405"/>
      <c r="I105" s="407"/>
      <c r="J105" s="407"/>
    </row>
    <row r="106" spans="2:10">
      <c r="B106" s="408"/>
      <c r="C106" s="409"/>
      <c r="D106" s="410"/>
      <c r="E106" s="409"/>
      <c r="F106" s="409"/>
      <c r="G106" s="409"/>
      <c r="H106" s="409"/>
      <c r="I106" s="409"/>
      <c r="J106" s="409"/>
    </row>
    <row r="107" spans="2:10">
      <c r="B107" s="408"/>
      <c r="C107" s="409"/>
      <c r="D107" s="410"/>
      <c r="E107" s="409"/>
      <c r="F107" s="409"/>
      <c r="G107" s="409"/>
      <c r="H107" s="409"/>
      <c r="I107" s="409"/>
      <c r="J107" s="409"/>
    </row>
    <row r="108" spans="2:10">
      <c r="B108" s="408"/>
      <c r="C108" s="409"/>
      <c r="D108" s="410"/>
      <c r="E108" s="409"/>
      <c r="F108" s="409"/>
      <c r="G108" s="409"/>
      <c r="H108" s="409"/>
      <c r="I108" s="409"/>
      <c r="J108" s="409"/>
    </row>
    <row r="109" spans="2:10">
      <c r="B109" s="408"/>
      <c r="C109" s="409"/>
      <c r="D109" s="410"/>
      <c r="E109" s="409"/>
      <c r="F109" s="409"/>
      <c r="G109" s="409"/>
      <c r="H109" s="409"/>
      <c r="I109" s="409"/>
      <c r="J109" s="409"/>
    </row>
    <row r="110" spans="2:10">
      <c r="B110" s="408"/>
      <c r="C110" s="409"/>
      <c r="D110" s="410"/>
      <c r="E110" s="409"/>
      <c r="F110" s="409"/>
      <c r="G110" s="409"/>
      <c r="H110" s="409"/>
      <c r="I110" s="409"/>
      <c r="J110" s="409"/>
    </row>
    <row r="111" spans="2:10">
      <c r="B111" s="408"/>
      <c r="C111" s="409"/>
      <c r="D111" s="410"/>
      <c r="E111" s="409"/>
      <c r="F111" s="409"/>
      <c r="G111" s="409"/>
      <c r="H111" s="409"/>
      <c r="I111" s="409"/>
      <c r="J111" s="409"/>
    </row>
    <row r="112" spans="2:10">
      <c r="B112" s="408"/>
      <c r="C112" s="409"/>
      <c r="D112" s="410"/>
      <c r="E112" s="409"/>
      <c r="F112" s="409"/>
      <c r="G112" s="409"/>
      <c r="H112" s="409"/>
      <c r="I112" s="409"/>
      <c r="J112" s="409"/>
    </row>
    <row r="113" spans="2:10">
      <c r="B113" s="408"/>
      <c r="C113" s="409"/>
      <c r="D113" s="410"/>
      <c r="E113" s="409"/>
      <c r="F113" s="409"/>
      <c r="G113" s="409"/>
      <c r="H113" s="409"/>
      <c r="I113" s="409"/>
      <c r="J113" s="409"/>
    </row>
    <row r="114" spans="2:10">
      <c r="B114" s="408"/>
      <c r="C114" s="409"/>
      <c r="D114" s="410"/>
      <c r="E114" s="409"/>
      <c r="F114" s="409"/>
      <c r="G114" s="409"/>
      <c r="H114" s="409"/>
      <c r="I114" s="409"/>
      <c r="J114" s="409"/>
    </row>
    <row r="115" spans="2:10">
      <c r="B115" s="408"/>
      <c r="C115" s="409"/>
      <c r="D115" s="410"/>
      <c r="E115" s="409"/>
      <c r="F115" s="409"/>
      <c r="G115" s="409"/>
      <c r="H115" s="409"/>
      <c r="I115" s="409"/>
      <c r="J115" s="409"/>
    </row>
    <row r="116" spans="2:10">
      <c r="B116" s="408"/>
      <c r="C116" s="409"/>
      <c r="D116" s="410"/>
      <c r="E116" s="409"/>
      <c r="F116" s="409"/>
      <c r="G116" s="409"/>
      <c r="H116" s="409"/>
      <c r="I116" s="409"/>
      <c r="J116" s="409"/>
    </row>
    <row r="117" spans="2:10">
      <c r="B117" s="408"/>
      <c r="C117" s="409"/>
      <c r="D117" s="410"/>
      <c r="E117" s="409"/>
      <c r="F117" s="409"/>
      <c r="G117" s="409"/>
      <c r="H117" s="409"/>
      <c r="I117" s="409"/>
      <c r="J117" s="409"/>
    </row>
    <row r="118" spans="2:10">
      <c r="B118" s="408"/>
      <c r="C118" s="409"/>
      <c r="D118" s="410"/>
      <c r="E118" s="409"/>
      <c r="F118" s="409"/>
      <c r="G118" s="409"/>
      <c r="H118" s="409"/>
      <c r="I118" s="409"/>
      <c r="J118" s="409"/>
    </row>
    <row r="119" spans="2:10">
      <c r="B119" s="408"/>
      <c r="C119" s="409"/>
      <c r="D119" s="410"/>
      <c r="E119" s="409"/>
      <c r="F119" s="409"/>
      <c r="G119" s="409"/>
      <c r="H119" s="409"/>
      <c r="I119" s="409"/>
      <c r="J119" s="409"/>
    </row>
    <row r="120" spans="2:10">
      <c r="B120" s="408"/>
      <c r="C120" s="409"/>
      <c r="D120" s="410"/>
      <c r="E120" s="409"/>
      <c r="F120" s="409"/>
      <c r="G120" s="409"/>
      <c r="H120" s="409"/>
      <c r="I120" s="409"/>
      <c r="J120" s="409"/>
    </row>
    <row r="121" spans="2:10">
      <c r="B121" s="408"/>
      <c r="C121" s="409"/>
      <c r="D121" s="410"/>
      <c r="E121" s="409"/>
      <c r="F121" s="409"/>
      <c r="G121" s="409"/>
      <c r="H121" s="409"/>
      <c r="I121" s="409"/>
      <c r="J121" s="409"/>
    </row>
    <row r="122" spans="2:10">
      <c r="B122" s="408"/>
      <c r="C122" s="409"/>
      <c r="D122" s="410"/>
      <c r="E122" s="409"/>
      <c r="F122" s="409"/>
      <c r="G122" s="409"/>
      <c r="H122" s="409"/>
      <c r="I122" s="409"/>
      <c r="J122" s="409"/>
    </row>
    <row r="123" spans="2:10">
      <c r="B123" s="408"/>
      <c r="C123" s="409"/>
      <c r="D123" s="410"/>
      <c r="E123" s="409"/>
      <c r="F123" s="409"/>
      <c r="G123" s="409"/>
      <c r="H123" s="409"/>
      <c r="I123" s="409"/>
      <c r="J123" s="409"/>
    </row>
    <row r="124" spans="2:10">
      <c r="B124" s="408"/>
      <c r="C124" s="409"/>
      <c r="D124" s="410"/>
      <c r="E124" s="409"/>
      <c r="F124" s="409"/>
      <c r="G124" s="409"/>
      <c r="H124" s="409"/>
      <c r="I124" s="409"/>
      <c r="J124" s="409"/>
    </row>
    <row r="125" spans="2:10">
      <c r="B125" s="408"/>
      <c r="C125" s="409"/>
      <c r="D125" s="410"/>
      <c r="E125" s="409"/>
      <c r="F125" s="409"/>
      <c r="G125" s="409"/>
      <c r="H125" s="409"/>
      <c r="I125" s="409"/>
      <c r="J125" s="409"/>
    </row>
    <row r="126" spans="2:10">
      <c r="B126" s="408"/>
      <c r="C126" s="409"/>
      <c r="D126" s="410"/>
      <c r="E126" s="409"/>
      <c r="F126" s="409"/>
      <c r="G126" s="409"/>
      <c r="H126" s="409"/>
      <c r="I126" s="409"/>
      <c r="J126" s="409"/>
    </row>
    <row r="127" spans="2:10">
      <c r="B127" s="408"/>
      <c r="C127" s="409"/>
      <c r="D127" s="410"/>
      <c r="E127" s="409"/>
      <c r="F127" s="409"/>
      <c r="G127" s="409"/>
      <c r="H127" s="409"/>
      <c r="I127" s="409"/>
      <c r="J127" s="409"/>
    </row>
    <row r="128" spans="2:10">
      <c r="B128" s="408"/>
      <c r="C128" s="409"/>
      <c r="D128" s="410"/>
      <c r="E128" s="409"/>
      <c r="F128" s="409"/>
      <c r="G128" s="409"/>
      <c r="H128" s="409"/>
      <c r="I128" s="409"/>
      <c r="J128" s="409"/>
    </row>
    <row r="129" spans="2:10">
      <c r="B129" s="408"/>
      <c r="C129" s="409"/>
      <c r="D129" s="410"/>
      <c r="E129" s="409"/>
      <c r="F129" s="409"/>
      <c r="G129" s="409"/>
      <c r="H129" s="409"/>
      <c r="I129" s="409"/>
      <c r="J129" s="409"/>
    </row>
    <row r="130" spans="2:10">
      <c r="B130" s="408"/>
      <c r="C130" s="409"/>
      <c r="D130" s="410"/>
      <c r="E130" s="409"/>
      <c r="F130" s="409"/>
      <c r="G130" s="409"/>
      <c r="H130" s="409"/>
      <c r="I130" s="409"/>
      <c r="J130" s="409"/>
    </row>
    <row r="131" spans="2:10">
      <c r="B131" s="408"/>
      <c r="C131" s="409"/>
      <c r="D131" s="410"/>
      <c r="E131" s="409"/>
      <c r="F131" s="409"/>
      <c r="G131" s="409"/>
      <c r="H131" s="409"/>
      <c r="I131" s="409"/>
      <c r="J131" s="409"/>
    </row>
    <row r="132" spans="2:10">
      <c r="B132" s="408"/>
      <c r="C132" s="409"/>
      <c r="D132" s="410"/>
      <c r="E132" s="409"/>
      <c r="F132" s="409"/>
      <c r="G132" s="409"/>
      <c r="H132" s="409"/>
      <c r="I132" s="409"/>
      <c r="J132" s="409"/>
    </row>
    <row r="133" spans="2:10">
      <c r="B133" s="408"/>
      <c r="C133" s="409"/>
      <c r="D133" s="410"/>
      <c r="E133" s="409"/>
      <c r="F133" s="409"/>
      <c r="G133" s="409"/>
      <c r="H133" s="409"/>
      <c r="I133" s="409"/>
      <c r="J133" s="409"/>
    </row>
    <row r="134" spans="2:10">
      <c r="B134" s="408"/>
      <c r="C134" s="409"/>
      <c r="D134" s="410"/>
      <c r="E134" s="409"/>
      <c r="F134" s="409"/>
      <c r="G134" s="409"/>
      <c r="H134" s="409"/>
      <c r="I134" s="409"/>
      <c r="J134" s="409"/>
    </row>
    <row r="135" spans="2:10">
      <c r="B135" s="408"/>
      <c r="C135" s="409"/>
      <c r="D135" s="410"/>
      <c r="E135" s="409"/>
      <c r="F135" s="409"/>
      <c r="G135" s="409"/>
      <c r="H135" s="409"/>
      <c r="I135" s="409"/>
      <c r="J135" s="409"/>
    </row>
    <row r="136" spans="2:10">
      <c r="B136" s="408"/>
      <c r="C136" s="409"/>
      <c r="D136" s="410"/>
      <c r="E136" s="409"/>
      <c r="F136" s="409"/>
      <c r="G136" s="409"/>
      <c r="H136" s="409"/>
      <c r="I136" s="409"/>
      <c r="J136" s="409"/>
    </row>
    <row r="137" spans="2:10">
      <c r="B137" s="408"/>
      <c r="C137" s="409"/>
      <c r="D137" s="410"/>
      <c r="E137" s="409"/>
      <c r="F137" s="409"/>
      <c r="G137" s="409"/>
      <c r="H137" s="409"/>
      <c r="I137" s="409"/>
      <c r="J137" s="409"/>
    </row>
    <row r="138" spans="2:10">
      <c r="B138" s="408"/>
      <c r="C138" s="409"/>
      <c r="D138" s="410"/>
      <c r="E138" s="409"/>
      <c r="F138" s="409"/>
      <c r="G138" s="409"/>
      <c r="H138" s="409"/>
      <c r="I138" s="409"/>
      <c r="J138" s="409"/>
    </row>
    <row r="139" spans="2:10">
      <c r="B139" s="408"/>
      <c r="C139" s="409"/>
      <c r="D139" s="410"/>
      <c r="E139" s="409"/>
      <c r="F139" s="409"/>
      <c r="G139" s="409"/>
      <c r="H139" s="409"/>
      <c r="I139" s="409"/>
      <c r="J139" s="409"/>
    </row>
    <row r="140" spans="2:10">
      <c r="B140" s="408"/>
      <c r="C140" s="409"/>
      <c r="D140" s="410"/>
      <c r="E140" s="409"/>
      <c r="F140" s="409"/>
      <c r="G140" s="409"/>
      <c r="H140" s="409"/>
      <c r="I140" s="409"/>
      <c r="J140" s="409"/>
    </row>
    <row r="141" spans="2:10">
      <c r="B141" s="408"/>
      <c r="C141" s="409"/>
      <c r="D141" s="410"/>
      <c r="E141" s="409"/>
      <c r="F141" s="409"/>
      <c r="G141" s="409"/>
      <c r="H141" s="409"/>
      <c r="I141" s="409"/>
      <c r="J141" s="409"/>
    </row>
    <row r="142" spans="2:10">
      <c r="B142" s="408"/>
      <c r="C142" s="409"/>
      <c r="D142" s="410"/>
      <c r="E142" s="409"/>
      <c r="F142" s="409"/>
      <c r="G142" s="409"/>
      <c r="H142" s="409"/>
      <c r="I142" s="409"/>
      <c r="J142" s="409"/>
    </row>
    <row r="143" spans="2:10">
      <c r="B143" s="408"/>
      <c r="C143" s="409"/>
      <c r="D143" s="410"/>
      <c r="E143" s="409"/>
      <c r="F143" s="409"/>
      <c r="G143" s="409"/>
      <c r="H143" s="409"/>
      <c r="I143" s="409"/>
      <c r="J143" s="409"/>
    </row>
    <row r="144" spans="2:10">
      <c r="B144" s="408"/>
      <c r="C144" s="409"/>
      <c r="D144" s="410"/>
      <c r="E144" s="409"/>
      <c r="F144" s="409"/>
      <c r="G144" s="409"/>
      <c r="H144" s="409"/>
      <c r="I144" s="409"/>
      <c r="J144" s="409"/>
    </row>
    <row r="145" spans="2:10">
      <c r="B145" s="408"/>
      <c r="C145" s="409"/>
      <c r="D145" s="410"/>
      <c r="E145" s="409"/>
      <c r="F145" s="409"/>
      <c r="G145" s="409"/>
      <c r="H145" s="409"/>
      <c r="I145" s="409"/>
      <c r="J145" s="409"/>
    </row>
    <row r="146" spans="2:10">
      <c r="B146" s="408"/>
      <c r="C146" s="409"/>
      <c r="D146" s="410"/>
      <c r="E146" s="409"/>
      <c r="F146" s="409"/>
      <c r="G146" s="409"/>
      <c r="H146" s="409"/>
      <c r="I146" s="409"/>
      <c r="J146" s="409"/>
    </row>
    <row r="147" spans="2:10">
      <c r="B147" s="408"/>
      <c r="C147" s="409"/>
      <c r="D147" s="410"/>
      <c r="E147" s="409"/>
      <c r="F147" s="409"/>
      <c r="G147" s="409"/>
      <c r="H147" s="409"/>
      <c r="I147" s="409"/>
      <c r="J147" s="409"/>
    </row>
    <row r="148" spans="2:10">
      <c r="B148" s="408"/>
      <c r="C148" s="409"/>
      <c r="D148" s="410"/>
      <c r="E148" s="409"/>
      <c r="F148" s="409"/>
      <c r="G148" s="409"/>
      <c r="H148" s="409"/>
      <c r="I148" s="409"/>
      <c r="J148" s="409"/>
    </row>
    <row r="149" spans="2:10">
      <c r="B149" s="408"/>
      <c r="C149" s="409"/>
      <c r="D149" s="410"/>
      <c r="E149" s="409"/>
      <c r="F149" s="409"/>
      <c r="G149" s="409"/>
      <c r="H149" s="409"/>
      <c r="I149" s="409"/>
      <c r="J149" s="409"/>
    </row>
    <row r="150" spans="2:10">
      <c r="B150" s="408"/>
      <c r="C150" s="409"/>
      <c r="D150" s="410"/>
      <c r="E150" s="409"/>
      <c r="F150" s="409"/>
      <c r="G150" s="409"/>
      <c r="H150" s="409"/>
      <c r="I150" s="409"/>
      <c r="J150" s="409"/>
    </row>
    <row r="151" spans="2:10">
      <c r="B151" s="408"/>
      <c r="C151" s="409"/>
      <c r="D151" s="410"/>
      <c r="E151" s="409"/>
      <c r="F151" s="409"/>
      <c r="G151" s="409"/>
      <c r="H151" s="409"/>
      <c r="I151" s="409"/>
      <c r="J151" s="409"/>
    </row>
    <row r="152" spans="2:10">
      <c r="B152" s="408"/>
      <c r="C152" s="409"/>
      <c r="D152" s="410"/>
      <c r="E152" s="409"/>
      <c r="F152" s="409"/>
      <c r="G152" s="409"/>
      <c r="H152" s="409"/>
      <c r="I152" s="409"/>
      <c r="J152" s="409"/>
    </row>
    <row r="153" spans="2:10">
      <c r="B153" s="408"/>
      <c r="C153" s="409"/>
      <c r="D153" s="410"/>
      <c r="E153" s="409"/>
      <c r="F153" s="409"/>
      <c r="G153" s="409"/>
      <c r="H153" s="409"/>
      <c r="I153" s="409"/>
      <c r="J153" s="409"/>
    </row>
    <row r="154" spans="2:10">
      <c r="B154" s="408"/>
      <c r="C154" s="409"/>
      <c r="D154" s="410"/>
      <c r="E154" s="409"/>
      <c r="F154" s="409"/>
      <c r="G154" s="409"/>
      <c r="H154" s="409"/>
      <c r="I154" s="409"/>
      <c r="J154" s="409"/>
    </row>
    <row r="155" spans="2:10">
      <c r="B155" s="408"/>
      <c r="C155" s="409"/>
      <c r="D155" s="410"/>
      <c r="E155" s="409"/>
      <c r="F155" s="409"/>
      <c r="G155" s="409"/>
      <c r="H155" s="409"/>
      <c r="I155" s="409"/>
      <c r="J155" s="409"/>
    </row>
    <row r="156" spans="2:10">
      <c r="B156" s="408"/>
      <c r="C156" s="409"/>
      <c r="D156" s="410"/>
      <c r="E156" s="409"/>
      <c r="F156" s="409"/>
      <c r="G156" s="409"/>
      <c r="H156" s="409"/>
      <c r="I156" s="409"/>
      <c r="J156" s="409"/>
    </row>
    <row r="157" spans="2:10">
      <c r="B157" s="408"/>
      <c r="C157" s="409"/>
      <c r="D157" s="410"/>
      <c r="E157" s="409"/>
      <c r="F157" s="409"/>
      <c r="G157" s="409"/>
      <c r="H157" s="409"/>
      <c r="I157" s="409"/>
      <c r="J157" s="409"/>
    </row>
    <row r="158" spans="2:10">
      <c r="B158" s="408"/>
      <c r="C158" s="409"/>
      <c r="D158" s="410"/>
      <c r="E158" s="409"/>
      <c r="F158" s="409"/>
      <c r="G158" s="409"/>
      <c r="H158" s="409"/>
      <c r="I158" s="409"/>
      <c r="J158" s="409"/>
    </row>
    <row r="159" spans="2:10">
      <c r="B159" s="408"/>
      <c r="C159" s="409"/>
      <c r="D159" s="410"/>
      <c r="E159" s="409"/>
      <c r="F159" s="409"/>
      <c r="G159" s="409"/>
      <c r="H159" s="409"/>
      <c r="I159" s="409"/>
      <c r="J159" s="409"/>
    </row>
    <row r="160" spans="2:10">
      <c r="B160" s="408"/>
      <c r="C160" s="409"/>
      <c r="D160" s="410"/>
      <c r="E160" s="409"/>
      <c r="F160" s="409"/>
      <c r="G160" s="409"/>
      <c r="H160" s="409"/>
      <c r="I160" s="409"/>
      <c r="J160" s="409"/>
    </row>
    <row r="161" spans="2:10">
      <c r="B161" s="408"/>
      <c r="C161" s="409"/>
      <c r="D161" s="410"/>
      <c r="E161" s="409"/>
      <c r="F161" s="409"/>
      <c r="G161" s="409"/>
      <c r="H161" s="409"/>
      <c r="I161" s="409"/>
      <c r="J161" s="409"/>
    </row>
    <row r="162" spans="2:10">
      <c r="B162" s="408"/>
      <c r="C162" s="409"/>
      <c r="D162" s="410"/>
      <c r="E162" s="409"/>
      <c r="F162" s="409"/>
      <c r="G162" s="409"/>
      <c r="H162" s="409"/>
      <c r="I162" s="409"/>
      <c r="J162" s="409"/>
    </row>
    <row r="163" spans="2:10">
      <c r="B163" s="408"/>
      <c r="C163" s="409"/>
      <c r="D163" s="410"/>
      <c r="E163" s="409"/>
      <c r="F163" s="409"/>
      <c r="G163" s="409"/>
      <c r="H163" s="409"/>
      <c r="I163" s="409"/>
      <c r="J163" s="409"/>
    </row>
    <row r="164" spans="2:10">
      <c r="B164" s="408"/>
      <c r="C164" s="409"/>
      <c r="D164" s="410"/>
      <c r="E164" s="409"/>
      <c r="F164" s="409"/>
      <c r="G164" s="409"/>
      <c r="H164" s="409"/>
      <c r="I164" s="409"/>
      <c r="J164" s="409"/>
    </row>
    <row r="165" spans="2:10">
      <c r="B165" s="408"/>
      <c r="C165" s="409"/>
      <c r="D165" s="410"/>
      <c r="E165" s="409"/>
      <c r="F165" s="409"/>
      <c r="G165" s="409"/>
      <c r="H165" s="409"/>
      <c r="I165" s="409"/>
      <c r="J165" s="409"/>
    </row>
    <row r="166" spans="2:10">
      <c r="B166" s="408"/>
      <c r="C166" s="409"/>
      <c r="D166" s="410"/>
      <c r="E166" s="409"/>
      <c r="F166" s="409"/>
      <c r="G166" s="409"/>
      <c r="H166" s="409"/>
      <c r="I166" s="409"/>
      <c r="J166" s="409"/>
    </row>
    <row r="167" spans="2:10">
      <c r="B167" s="408"/>
      <c r="C167" s="409"/>
      <c r="D167" s="410"/>
      <c r="E167" s="409"/>
      <c r="F167" s="409"/>
      <c r="G167" s="409"/>
      <c r="H167" s="409"/>
      <c r="I167" s="409"/>
      <c r="J167" s="409"/>
    </row>
    <row r="168" spans="2:10">
      <c r="B168" s="408"/>
      <c r="C168" s="409"/>
      <c r="D168" s="410"/>
      <c r="E168" s="409"/>
      <c r="F168" s="409"/>
      <c r="G168" s="409"/>
      <c r="H168" s="409"/>
      <c r="I168" s="409"/>
      <c r="J168" s="409"/>
    </row>
    <row r="169" spans="2:10">
      <c r="B169" s="408"/>
      <c r="C169" s="409"/>
      <c r="D169" s="410"/>
      <c r="E169" s="409"/>
      <c r="F169" s="409"/>
      <c r="G169" s="409"/>
      <c r="H169" s="409"/>
      <c r="I169" s="409"/>
      <c r="J169" s="409"/>
    </row>
    <row r="170" spans="2:10">
      <c r="B170" s="408"/>
      <c r="C170" s="409"/>
      <c r="D170" s="410"/>
      <c r="E170" s="409"/>
      <c r="F170" s="409"/>
      <c r="G170" s="409"/>
      <c r="H170" s="409"/>
      <c r="I170" s="409"/>
      <c r="J170" s="409"/>
    </row>
    <row r="171" spans="2:10">
      <c r="B171" s="408"/>
      <c r="C171" s="409"/>
      <c r="D171" s="410"/>
      <c r="E171" s="409"/>
      <c r="F171" s="409"/>
      <c r="G171" s="409"/>
      <c r="H171" s="409"/>
      <c r="I171" s="409"/>
      <c r="J171" s="409"/>
    </row>
    <row r="172" spans="2:10">
      <c r="B172" s="408"/>
      <c r="C172" s="409"/>
      <c r="D172" s="410"/>
      <c r="E172" s="409"/>
      <c r="F172" s="409"/>
      <c r="G172" s="409"/>
      <c r="H172" s="409"/>
      <c r="I172" s="409"/>
      <c r="J172" s="409"/>
    </row>
    <row r="173" spans="2:10">
      <c r="B173" s="408"/>
      <c r="C173" s="409"/>
      <c r="D173" s="410"/>
      <c r="E173" s="409"/>
      <c r="F173" s="409"/>
      <c r="G173" s="409"/>
      <c r="H173" s="409"/>
      <c r="I173" s="409"/>
      <c r="J173" s="409"/>
    </row>
    <row r="174" spans="2:10">
      <c r="B174" s="408"/>
      <c r="C174" s="409"/>
      <c r="D174" s="410"/>
      <c r="E174" s="409"/>
      <c r="F174" s="409"/>
      <c r="G174" s="409"/>
      <c r="H174" s="409"/>
      <c r="I174" s="409"/>
      <c r="J174" s="409"/>
    </row>
    <row r="175" spans="2:10">
      <c r="B175" s="408"/>
      <c r="C175" s="409"/>
      <c r="D175" s="410"/>
      <c r="E175" s="409"/>
      <c r="F175" s="409"/>
      <c r="G175" s="409"/>
      <c r="H175" s="409"/>
      <c r="I175" s="409"/>
      <c r="J175" s="409"/>
    </row>
    <row r="176" spans="2:10">
      <c r="B176" s="408"/>
      <c r="C176" s="409"/>
      <c r="D176" s="410"/>
      <c r="E176" s="409"/>
      <c r="F176" s="409"/>
      <c r="G176" s="409"/>
      <c r="H176" s="409"/>
      <c r="I176" s="409"/>
      <c r="J176" s="409"/>
    </row>
    <row r="177" spans="2:10">
      <c r="B177" s="408"/>
      <c r="C177" s="409"/>
      <c r="D177" s="410"/>
      <c r="E177" s="409"/>
      <c r="F177" s="409"/>
      <c r="G177" s="409"/>
      <c r="H177" s="409"/>
      <c r="I177" s="409"/>
      <c r="J177" s="409"/>
    </row>
    <row r="178" spans="2:10">
      <c r="B178" s="408"/>
      <c r="C178" s="409"/>
      <c r="D178" s="410"/>
      <c r="E178" s="409"/>
      <c r="F178" s="409"/>
      <c r="G178" s="409"/>
      <c r="H178" s="409"/>
      <c r="I178" s="409"/>
      <c r="J178" s="409"/>
    </row>
    <row r="179" spans="2:10">
      <c r="B179" s="408"/>
      <c r="C179" s="409"/>
      <c r="D179" s="410"/>
      <c r="E179" s="409"/>
      <c r="F179" s="409"/>
      <c r="G179" s="409"/>
      <c r="H179" s="409"/>
      <c r="I179" s="409"/>
      <c r="J179" s="409"/>
    </row>
    <row r="180" spans="2:10">
      <c r="B180" s="408"/>
      <c r="C180" s="409"/>
      <c r="D180" s="410"/>
      <c r="E180" s="409"/>
      <c r="F180" s="409"/>
      <c r="G180" s="409"/>
      <c r="H180" s="409"/>
      <c r="I180" s="409"/>
      <c r="J180" s="409"/>
    </row>
    <row r="181" spans="2:10">
      <c r="B181" s="408"/>
      <c r="C181" s="409"/>
      <c r="D181" s="410"/>
      <c r="E181" s="409"/>
      <c r="F181" s="409"/>
      <c r="G181" s="409"/>
      <c r="H181" s="409"/>
      <c r="I181" s="409"/>
      <c r="J181" s="409"/>
    </row>
    <row r="182" spans="2:10">
      <c r="B182" s="408"/>
      <c r="C182" s="409"/>
      <c r="D182" s="410"/>
      <c r="E182" s="409"/>
      <c r="F182" s="409"/>
      <c r="G182" s="409"/>
      <c r="H182" s="409"/>
      <c r="I182" s="409"/>
      <c r="J182" s="409"/>
    </row>
    <row r="183" spans="2:10">
      <c r="B183" s="408"/>
      <c r="C183" s="409"/>
      <c r="D183" s="410"/>
      <c r="E183" s="409"/>
      <c r="F183" s="409"/>
      <c r="G183" s="409"/>
      <c r="H183" s="409"/>
      <c r="I183" s="409"/>
      <c r="J183" s="409"/>
    </row>
    <row r="184" spans="2:10">
      <c r="B184" s="408"/>
      <c r="C184" s="409"/>
      <c r="D184" s="410"/>
      <c r="E184" s="409"/>
      <c r="F184" s="409"/>
      <c r="G184" s="409"/>
      <c r="H184" s="409"/>
      <c r="I184" s="409"/>
      <c r="J184" s="409"/>
    </row>
    <row r="185" spans="2:10">
      <c r="B185" s="408"/>
      <c r="C185" s="409"/>
      <c r="D185" s="410"/>
      <c r="E185" s="409"/>
      <c r="F185" s="409"/>
      <c r="G185" s="409"/>
      <c r="H185" s="409"/>
      <c r="I185" s="409"/>
      <c r="J185" s="409"/>
    </row>
    <row r="186" spans="2:10">
      <c r="B186" s="408"/>
      <c r="C186" s="409"/>
      <c r="D186" s="410"/>
      <c r="E186" s="409"/>
      <c r="F186" s="409"/>
      <c r="G186" s="409"/>
      <c r="H186" s="409"/>
      <c r="I186" s="409"/>
      <c r="J186" s="409"/>
    </row>
    <row r="187" spans="2:10">
      <c r="B187" s="408"/>
      <c r="C187" s="409"/>
      <c r="D187" s="410"/>
      <c r="E187" s="409"/>
      <c r="F187" s="409"/>
      <c r="G187" s="409"/>
      <c r="H187" s="409"/>
      <c r="I187" s="409"/>
      <c r="J187" s="409"/>
    </row>
    <row r="188" spans="2:10">
      <c r="B188" s="408"/>
      <c r="C188" s="409"/>
      <c r="D188" s="410"/>
      <c r="E188" s="409"/>
      <c r="F188" s="409"/>
      <c r="G188" s="409"/>
      <c r="H188" s="409"/>
      <c r="I188" s="409"/>
      <c r="J188" s="409"/>
    </row>
    <row r="189" spans="2:10">
      <c r="B189" s="408"/>
      <c r="C189" s="409"/>
      <c r="D189" s="410"/>
      <c r="E189" s="409"/>
      <c r="F189" s="409"/>
      <c r="G189" s="409"/>
      <c r="H189" s="409"/>
      <c r="I189" s="409"/>
      <c r="J189" s="409"/>
    </row>
    <row r="190" spans="2:10">
      <c r="B190" s="408"/>
      <c r="C190" s="409"/>
      <c r="D190" s="410"/>
      <c r="E190" s="409"/>
      <c r="F190" s="409"/>
      <c r="G190" s="409"/>
      <c r="H190" s="409"/>
      <c r="I190" s="409"/>
      <c r="J190" s="409"/>
    </row>
    <row r="191" spans="2:10">
      <c r="B191" s="408"/>
      <c r="C191" s="409"/>
      <c r="D191" s="410"/>
      <c r="E191" s="409"/>
      <c r="F191" s="409"/>
      <c r="G191" s="409"/>
      <c r="H191" s="409"/>
      <c r="I191" s="409"/>
      <c r="J191" s="409"/>
    </row>
    <row r="192" spans="2:10">
      <c r="B192" s="408"/>
      <c r="C192" s="409"/>
      <c r="D192" s="410"/>
      <c r="E192" s="409"/>
      <c r="F192" s="409"/>
      <c r="G192" s="409"/>
      <c r="H192" s="409"/>
      <c r="I192" s="409"/>
      <c r="J192" s="409"/>
    </row>
    <row r="193" spans="2:10">
      <c r="B193" s="408"/>
      <c r="C193" s="409"/>
      <c r="D193" s="410"/>
      <c r="E193" s="409"/>
      <c r="F193" s="409"/>
      <c r="G193" s="409"/>
      <c r="H193" s="409"/>
      <c r="I193" s="409"/>
      <c r="J193" s="409"/>
    </row>
    <row r="194" spans="2:10">
      <c r="B194" s="408"/>
      <c r="C194" s="409"/>
      <c r="D194" s="410"/>
      <c r="E194" s="409"/>
      <c r="F194" s="409"/>
      <c r="G194" s="409"/>
      <c r="H194" s="409"/>
      <c r="I194" s="409"/>
      <c r="J194" s="409"/>
    </row>
    <row r="195" spans="2:10">
      <c r="B195" s="408"/>
      <c r="C195" s="409"/>
      <c r="D195" s="410"/>
      <c r="E195" s="409"/>
      <c r="F195" s="409"/>
      <c r="G195" s="409"/>
      <c r="H195" s="409"/>
      <c r="I195" s="409"/>
      <c r="J195" s="409"/>
    </row>
    <row r="196" spans="2:10">
      <c r="B196" s="408"/>
      <c r="C196" s="409"/>
      <c r="D196" s="410"/>
      <c r="E196" s="409"/>
      <c r="F196" s="409"/>
      <c r="G196" s="409"/>
      <c r="H196" s="409"/>
      <c r="I196" s="409"/>
      <c r="J196" s="409"/>
    </row>
    <row r="197" spans="2:10">
      <c r="B197" s="408"/>
      <c r="C197" s="409"/>
      <c r="D197" s="410"/>
      <c r="E197" s="409"/>
      <c r="F197" s="409"/>
      <c r="G197" s="409"/>
      <c r="H197" s="409"/>
      <c r="I197" s="409"/>
      <c r="J197" s="409"/>
    </row>
    <row r="198" spans="2:10">
      <c r="B198" s="408"/>
      <c r="C198" s="409"/>
      <c r="D198" s="410"/>
      <c r="E198" s="409"/>
      <c r="F198" s="409"/>
      <c r="G198" s="409"/>
      <c r="H198" s="409"/>
      <c r="I198" s="409"/>
      <c r="J198" s="409"/>
    </row>
    <row r="199" spans="2:10">
      <c r="B199" s="408"/>
      <c r="C199" s="409"/>
      <c r="D199" s="410"/>
      <c r="E199" s="409"/>
      <c r="F199" s="409"/>
      <c r="G199" s="409"/>
      <c r="H199" s="409"/>
      <c r="I199" s="409"/>
      <c r="J199" s="409"/>
    </row>
    <row r="200" spans="2:10">
      <c r="B200" s="408"/>
      <c r="C200" s="409"/>
      <c r="D200" s="410"/>
      <c r="E200" s="409"/>
      <c r="F200" s="409"/>
      <c r="G200" s="409"/>
      <c r="H200" s="409"/>
      <c r="I200" s="409"/>
      <c r="J200" s="409"/>
    </row>
    <row r="201" spans="2:10">
      <c r="B201" s="408"/>
      <c r="C201" s="409"/>
      <c r="D201" s="410"/>
      <c r="E201" s="409"/>
      <c r="F201" s="409"/>
      <c r="G201" s="409"/>
      <c r="H201" s="409"/>
      <c r="I201" s="409"/>
      <c r="J201" s="409"/>
    </row>
    <row r="202" spans="2:10">
      <c r="B202" s="408"/>
      <c r="C202" s="409"/>
      <c r="D202" s="410"/>
      <c r="E202" s="409"/>
      <c r="F202" s="409"/>
      <c r="G202" s="409"/>
      <c r="H202" s="409"/>
      <c r="I202" s="409"/>
      <c r="J202" s="409"/>
    </row>
    <row r="203" spans="2:10">
      <c r="B203" s="408"/>
      <c r="C203" s="409"/>
      <c r="D203" s="410"/>
      <c r="E203" s="409"/>
      <c r="F203" s="409"/>
      <c r="G203" s="409"/>
      <c r="H203" s="409"/>
      <c r="I203" s="409"/>
      <c r="J203" s="409"/>
    </row>
    <row r="204" spans="2:10">
      <c r="B204" s="408"/>
      <c r="C204" s="409"/>
      <c r="D204" s="410"/>
      <c r="E204" s="409"/>
      <c r="F204" s="409"/>
      <c r="G204" s="409"/>
      <c r="H204" s="409"/>
      <c r="I204" s="409"/>
      <c r="J204" s="409"/>
    </row>
    <row r="205" spans="2:10">
      <c r="B205" s="408"/>
      <c r="C205" s="409"/>
      <c r="D205" s="410"/>
      <c r="E205" s="409"/>
      <c r="F205" s="409"/>
      <c r="G205" s="409"/>
      <c r="H205" s="409"/>
      <c r="I205" s="409"/>
      <c r="J205" s="409"/>
    </row>
    <row r="206" spans="2:10">
      <c r="B206" s="408"/>
      <c r="C206" s="409"/>
      <c r="D206" s="410"/>
      <c r="E206" s="409"/>
      <c r="F206" s="409"/>
      <c r="G206" s="409"/>
      <c r="H206" s="409"/>
      <c r="I206" s="409"/>
      <c r="J206" s="409"/>
    </row>
    <row r="207" spans="2:10">
      <c r="B207" s="408"/>
      <c r="C207" s="409"/>
      <c r="D207" s="410"/>
      <c r="E207" s="409"/>
      <c r="F207" s="409"/>
      <c r="G207" s="409"/>
      <c r="H207" s="409"/>
      <c r="I207" s="409"/>
      <c r="J207" s="409"/>
    </row>
    <row r="208" spans="2:10">
      <c r="B208" s="408"/>
      <c r="C208" s="409"/>
      <c r="D208" s="410"/>
      <c r="E208" s="409"/>
      <c r="F208" s="409"/>
      <c r="G208" s="409"/>
      <c r="H208" s="409"/>
      <c r="I208" s="409"/>
      <c r="J208" s="409"/>
    </row>
    <row r="209" spans="2:10">
      <c r="B209" s="408"/>
      <c r="C209" s="409"/>
      <c r="D209" s="410"/>
      <c r="E209" s="409"/>
      <c r="F209" s="409"/>
      <c r="G209" s="409"/>
      <c r="H209" s="409"/>
      <c r="I209" s="409"/>
      <c r="J209" s="409"/>
    </row>
    <row r="210" spans="2:10">
      <c r="B210" s="408"/>
      <c r="C210" s="409"/>
      <c r="D210" s="410"/>
      <c r="E210" s="409"/>
      <c r="F210" s="409"/>
      <c r="G210" s="409"/>
      <c r="H210" s="409"/>
      <c r="I210" s="409"/>
      <c r="J210" s="409"/>
    </row>
    <row r="211" spans="2:10">
      <c r="B211" s="408"/>
      <c r="C211" s="409"/>
      <c r="D211" s="410"/>
      <c r="E211" s="409"/>
      <c r="F211" s="409"/>
      <c r="G211" s="409"/>
      <c r="H211" s="409"/>
      <c r="I211" s="409"/>
      <c r="J211" s="409"/>
    </row>
    <row r="212" spans="2:10">
      <c r="B212" s="408"/>
      <c r="C212" s="409"/>
      <c r="D212" s="410"/>
      <c r="E212" s="409"/>
      <c r="F212" s="409"/>
      <c r="G212" s="409"/>
      <c r="H212" s="409"/>
      <c r="I212" s="409"/>
      <c r="J212" s="409"/>
    </row>
    <row r="213" spans="2:10">
      <c r="B213" s="408"/>
      <c r="C213" s="409"/>
      <c r="D213" s="410"/>
      <c r="E213" s="409"/>
      <c r="F213" s="409"/>
      <c r="G213" s="409"/>
      <c r="H213" s="409"/>
      <c r="I213" s="409"/>
      <c r="J213" s="409"/>
    </row>
    <row r="214" spans="2:10">
      <c r="B214" s="408"/>
      <c r="C214" s="409"/>
      <c r="D214" s="410"/>
      <c r="E214" s="409"/>
      <c r="F214" s="409"/>
      <c r="G214" s="409"/>
      <c r="H214" s="409"/>
      <c r="I214" s="409"/>
      <c r="J214" s="409"/>
    </row>
    <row r="215" spans="2:10">
      <c r="B215" s="408"/>
      <c r="C215" s="409"/>
      <c r="D215" s="410"/>
      <c r="E215" s="409"/>
      <c r="F215" s="409"/>
      <c r="G215" s="409"/>
      <c r="H215" s="409"/>
      <c r="I215" s="409"/>
      <c r="J215" s="409"/>
    </row>
    <row r="216" spans="2:10">
      <c r="B216" s="408"/>
      <c r="C216" s="409"/>
      <c r="D216" s="410"/>
      <c r="E216" s="409"/>
      <c r="F216" s="409"/>
      <c r="G216" s="409"/>
      <c r="H216" s="409"/>
      <c r="I216" s="409"/>
      <c r="J216" s="409"/>
    </row>
    <row r="217" spans="2:10">
      <c r="B217" s="408"/>
      <c r="C217" s="409"/>
      <c r="D217" s="410"/>
      <c r="E217" s="409"/>
      <c r="F217" s="409"/>
      <c r="G217" s="409"/>
      <c r="H217" s="409"/>
      <c r="I217" s="409"/>
      <c r="J217" s="409"/>
    </row>
    <row r="218" spans="2:10">
      <c r="B218" s="408"/>
      <c r="C218" s="409"/>
      <c r="D218" s="410"/>
      <c r="E218" s="409"/>
      <c r="F218" s="409"/>
      <c r="G218" s="409"/>
      <c r="H218" s="409"/>
      <c r="I218" s="409"/>
      <c r="J218" s="409"/>
    </row>
    <row r="219" spans="2:10">
      <c r="B219" s="408"/>
      <c r="C219" s="409"/>
      <c r="D219" s="410"/>
      <c r="E219" s="409"/>
      <c r="F219" s="409"/>
      <c r="G219" s="409"/>
      <c r="H219" s="409"/>
      <c r="I219" s="409"/>
      <c r="J219" s="409"/>
    </row>
    <row r="220" spans="2:10">
      <c r="B220" s="408"/>
      <c r="C220" s="409"/>
      <c r="D220" s="410"/>
      <c r="E220" s="409"/>
      <c r="F220" s="409"/>
      <c r="G220" s="409"/>
      <c r="H220" s="409"/>
      <c r="I220" s="409"/>
      <c r="J220" s="409"/>
    </row>
    <row r="221" spans="2:10">
      <c r="B221" s="408"/>
      <c r="C221" s="409"/>
      <c r="D221" s="410"/>
      <c r="E221" s="409"/>
      <c r="F221" s="409"/>
      <c r="G221" s="409"/>
      <c r="H221" s="409"/>
      <c r="I221" s="409"/>
      <c r="J221" s="409"/>
    </row>
    <row r="222" spans="2:10">
      <c r="B222" s="408"/>
      <c r="C222" s="409"/>
      <c r="D222" s="410"/>
      <c r="E222" s="409"/>
      <c r="F222" s="409"/>
      <c r="G222" s="409"/>
      <c r="H222" s="409"/>
      <c r="I222" s="409"/>
      <c r="J222" s="409"/>
    </row>
    <row r="223" spans="2:10">
      <c r="B223" s="408"/>
      <c r="C223" s="409"/>
      <c r="D223" s="410"/>
      <c r="E223" s="409"/>
      <c r="F223" s="409"/>
      <c r="G223" s="409"/>
      <c r="H223" s="409"/>
      <c r="I223" s="409"/>
      <c r="J223" s="409"/>
    </row>
    <row r="224" spans="2:10">
      <c r="B224" s="408"/>
      <c r="C224" s="409"/>
      <c r="D224" s="410"/>
      <c r="E224" s="409"/>
      <c r="F224" s="409"/>
      <c r="G224" s="409"/>
      <c r="H224" s="409"/>
      <c r="I224" s="409"/>
      <c r="J224" s="409"/>
    </row>
    <row r="225" spans="2:10">
      <c r="B225" s="408"/>
      <c r="C225" s="409"/>
      <c r="D225" s="410"/>
      <c r="E225" s="409"/>
      <c r="F225" s="409"/>
      <c r="G225" s="409"/>
      <c r="H225" s="409"/>
      <c r="I225" s="409"/>
      <c r="J225" s="409"/>
    </row>
    <row r="226" spans="2:10">
      <c r="B226" s="408"/>
      <c r="C226" s="409"/>
      <c r="D226" s="410"/>
      <c r="E226" s="409"/>
      <c r="F226" s="409"/>
      <c r="G226" s="409"/>
      <c r="H226" s="409"/>
      <c r="I226" s="409"/>
      <c r="J226" s="409"/>
    </row>
    <row r="227" spans="2:10">
      <c r="B227" s="408"/>
      <c r="C227" s="409"/>
      <c r="D227" s="410"/>
      <c r="E227" s="409"/>
      <c r="F227" s="409"/>
      <c r="G227" s="409"/>
      <c r="H227" s="409"/>
      <c r="I227" s="409"/>
      <c r="J227" s="409"/>
    </row>
    <row r="228" spans="2:10">
      <c r="B228" s="408"/>
      <c r="C228" s="409"/>
      <c r="D228" s="410"/>
      <c r="E228" s="409"/>
      <c r="F228" s="409"/>
      <c r="G228" s="409"/>
      <c r="H228" s="409"/>
      <c r="I228" s="409"/>
      <c r="J228" s="409"/>
    </row>
    <row r="229" spans="2:10">
      <c r="B229" s="408"/>
      <c r="C229" s="409"/>
      <c r="D229" s="410"/>
      <c r="E229" s="409"/>
      <c r="F229" s="409"/>
      <c r="G229" s="409"/>
      <c r="H229" s="409"/>
      <c r="I229" s="409"/>
      <c r="J229" s="409"/>
    </row>
    <row r="230" spans="2:10">
      <c r="B230" s="408"/>
      <c r="C230" s="409"/>
      <c r="D230" s="410"/>
      <c r="E230" s="409"/>
      <c r="F230" s="409"/>
      <c r="G230" s="409"/>
      <c r="H230" s="409"/>
      <c r="I230" s="409"/>
      <c r="J230" s="409"/>
    </row>
    <row r="231" spans="2:10">
      <c r="B231" s="408"/>
      <c r="C231" s="409"/>
      <c r="D231" s="410"/>
      <c r="E231" s="409"/>
      <c r="F231" s="409"/>
      <c r="G231" s="409"/>
      <c r="H231" s="409"/>
      <c r="I231" s="409"/>
      <c r="J231" s="409"/>
    </row>
    <row r="232" spans="2:10">
      <c r="B232" s="408"/>
      <c r="C232" s="409"/>
      <c r="D232" s="410"/>
      <c r="E232" s="409"/>
      <c r="F232" s="409"/>
      <c r="G232" s="409"/>
      <c r="H232" s="409"/>
      <c r="I232" s="409"/>
      <c r="J232" s="409"/>
    </row>
    <row r="233" spans="2:10">
      <c r="B233" s="408"/>
      <c r="C233" s="409"/>
      <c r="D233" s="410"/>
      <c r="E233" s="409"/>
      <c r="F233" s="409"/>
      <c r="G233" s="409"/>
      <c r="H233" s="409"/>
      <c r="I233" s="409"/>
      <c r="J233" s="409"/>
    </row>
    <row r="234" spans="2:10">
      <c r="B234" s="408"/>
      <c r="C234" s="409"/>
      <c r="D234" s="410"/>
      <c r="E234" s="409"/>
      <c r="F234" s="409"/>
      <c r="G234" s="409"/>
      <c r="H234" s="409"/>
      <c r="I234" s="409"/>
      <c r="J234" s="409"/>
    </row>
    <row r="235" spans="2:10">
      <c r="B235" s="408"/>
      <c r="C235" s="409"/>
      <c r="D235" s="410"/>
      <c r="E235" s="409"/>
      <c r="F235" s="409"/>
      <c r="G235" s="409"/>
      <c r="H235" s="409"/>
      <c r="I235" s="409"/>
      <c r="J235" s="409"/>
    </row>
    <row r="236" spans="2:10">
      <c r="B236" s="408"/>
      <c r="C236" s="409"/>
      <c r="D236" s="410"/>
      <c r="E236" s="409"/>
      <c r="F236" s="409"/>
      <c r="G236" s="409"/>
      <c r="H236" s="409"/>
      <c r="I236" s="409"/>
      <c r="J236" s="409"/>
    </row>
    <row r="237" spans="2:10">
      <c r="B237" s="408"/>
      <c r="C237" s="409"/>
      <c r="D237" s="410"/>
      <c r="E237" s="409"/>
      <c r="F237" s="409"/>
      <c r="G237" s="409"/>
      <c r="H237" s="409"/>
      <c r="I237" s="409"/>
      <c r="J237" s="409"/>
    </row>
    <row r="238" spans="2:10">
      <c r="B238" s="408"/>
      <c r="C238" s="409"/>
      <c r="D238" s="410"/>
      <c r="E238" s="409"/>
      <c r="F238" s="409"/>
      <c r="G238" s="409"/>
      <c r="H238" s="409"/>
      <c r="I238" s="409"/>
      <c r="J238" s="409"/>
    </row>
    <row r="239" spans="2:10">
      <c r="B239" s="408"/>
      <c r="C239" s="409"/>
      <c r="D239" s="410"/>
      <c r="E239" s="409"/>
      <c r="F239" s="409"/>
      <c r="G239" s="409"/>
      <c r="H239" s="409"/>
      <c r="I239" s="409"/>
      <c r="J239" s="409"/>
    </row>
    <row r="240" spans="2:10">
      <c r="B240" s="408"/>
      <c r="C240" s="409"/>
      <c r="D240" s="410"/>
      <c r="E240" s="409"/>
      <c r="F240" s="409"/>
      <c r="G240" s="409"/>
      <c r="H240" s="409"/>
      <c r="I240" s="409"/>
      <c r="J240" s="409"/>
    </row>
    <row r="241" spans="2:10">
      <c r="B241" s="408"/>
      <c r="C241" s="409"/>
      <c r="D241" s="410"/>
      <c r="E241" s="409"/>
      <c r="F241" s="409"/>
      <c r="G241" s="409"/>
      <c r="H241" s="409"/>
      <c r="I241" s="409"/>
      <c r="J241" s="409"/>
    </row>
    <row r="242" spans="2:10">
      <c r="B242" s="408"/>
      <c r="C242" s="409"/>
      <c r="D242" s="410"/>
      <c r="E242" s="409"/>
      <c r="F242" s="409"/>
      <c r="G242" s="409"/>
      <c r="H242" s="409"/>
      <c r="I242" s="409"/>
      <c r="J242" s="409"/>
    </row>
    <row r="243" spans="2:10">
      <c r="B243" s="408"/>
      <c r="C243" s="409"/>
      <c r="D243" s="410"/>
      <c r="E243" s="409"/>
      <c r="F243" s="409"/>
      <c r="G243" s="409"/>
      <c r="H243" s="409"/>
      <c r="I243" s="409"/>
      <c r="J243" s="409"/>
    </row>
    <row r="244" spans="2:10">
      <c r="B244" s="408"/>
      <c r="C244" s="409"/>
      <c r="D244" s="410"/>
      <c r="E244" s="409"/>
      <c r="F244" s="409"/>
      <c r="G244" s="409"/>
      <c r="H244" s="409"/>
      <c r="I244" s="409"/>
      <c r="J244" s="409"/>
    </row>
    <row r="245" spans="2:10">
      <c r="B245" s="408"/>
      <c r="C245" s="409"/>
      <c r="D245" s="410"/>
      <c r="E245" s="409"/>
      <c r="F245" s="409"/>
      <c r="G245" s="409"/>
      <c r="H245" s="409"/>
      <c r="I245" s="409"/>
      <c r="J245" s="409"/>
    </row>
    <row r="246" spans="2:10">
      <c r="B246" s="408"/>
      <c r="C246" s="409"/>
      <c r="D246" s="410"/>
      <c r="E246" s="409"/>
      <c r="F246" s="409"/>
      <c r="G246" s="409"/>
      <c r="H246" s="409"/>
      <c r="I246" s="409"/>
      <c r="J246" s="409"/>
    </row>
    <row r="247" spans="2:10">
      <c r="B247" s="408"/>
      <c r="C247" s="409"/>
      <c r="D247" s="410"/>
      <c r="E247" s="409"/>
      <c r="F247" s="409"/>
      <c r="G247" s="409"/>
      <c r="H247" s="409"/>
      <c r="I247" s="409"/>
      <c r="J247" s="409"/>
    </row>
    <row r="248" spans="2:10">
      <c r="B248" s="408"/>
      <c r="C248" s="409"/>
      <c r="D248" s="410"/>
      <c r="E248" s="409"/>
      <c r="F248" s="409"/>
      <c r="G248" s="409"/>
      <c r="H248" s="409"/>
      <c r="I248" s="409"/>
      <c r="J248" s="409"/>
    </row>
    <row r="249" spans="2:10">
      <c r="B249" s="408"/>
      <c r="C249" s="409"/>
      <c r="D249" s="410"/>
      <c r="E249" s="409"/>
      <c r="F249" s="409"/>
      <c r="G249" s="409"/>
      <c r="H249" s="409"/>
      <c r="I249" s="409"/>
      <c r="J249" s="409"/>
    </row>
    <row r="250" spans="2:10">
      <c r="B250" s="408"/>
      <c r="C250" s="409"/>
      <c r="D250" s="410"/>
      <c r="E250" s="409"/>
      <c r="F250" s="409"/>
      <c r="G250" s="409"/>
      <c r="H250" s="409"/>
      <c r="I250" s="409"/>
      <c r="J250" s="409"/>
    </row>
    <row r="251" spans="2:10">
      <c r="B251" s="408"/>
      <c r="C251" s="409"/>
      <c r="D251" s="410"/>
      <c r="E251" s="409"/>
      <c r="F251" s="409"/>
      <c r="G251" s="409"/>
      <c r="H251" s="409"/>
      <c r="I251" s="409"/>
      <c r="J251" s="409"/>
    </row>
    <row r="252" spans="2:10">
      <c r="B252" s="408"/>
      <c r="C252" s="409"/>
      <c r="D252" s="410"/>
      <c r="E252" s="409"/>
      <c r="F252" s="409"/>
      <c r="G252" s="409"/>
      <c r="H252" s="409"/>
      <c r="I252" s="409"/>
      <c r="J252" s="409"/>
    </row>
    <row r="253" spans="2:10">
      <c r="B253" s="408"/>
      <c r="C253" s="409"/>
      <c r="D253" s="410"/>
      <c r="E253" s="409"/>
      <c r="F253" s="409"/>
      <c r="G253" s="409"/>
      <c r="H253" s="409"/>
      <c r="I253" s="409"/>
      <c r="J253" s="409"/>
    </row>
    <row r="254" spans="2:10">
      <c r="B254" s="408"/>
      <c r="C254" s="409"/>
      <c r="D254" s="410"/>
      <c r="E254" s="409"/>
      <c r="F254" s="409"/>
      <c r="G254" s="409"/>
      <c r="H254" s="409"/>
      <c r="I254" s="409"/>
      <c r="J254" s="409"/>
    </row>
    <row r="255" spans="2:10">
      <c r="B255" s="408"/>
      <c r="C255" s="409"/>
      <c r="D255" s="410"/>
      <c r="E255" s="409"/>
      <c r="F255" s="409"/>
      <c r="G255" s="409"/>
      <c r="H255" s="409"/>
      <c r="I255" s="409"/>
      <c r="J255" s="409"/>
    </row>
    <row r="256" spans="2:10">
      <c r="B256" s="408"/>
      <c r="C256" s="409"/>
      <c r="D256" s="410"/>
      <c r="E256" s="409"/>
      <c r="F256" s="409"/>
      <c r="G256" s="409"/>
      <c r="H256" s="409"/>
      <c r="I256" s="409"/>
      <c r="J256" s="409"/>
    </row>
    <row r="257" spans="2:10">
      <c r="B257" s="408"/>
      <c r="C257" s="409"/>
      <c r="D257" s="410"/>
      <c r="E257" s="409"/>
      <c r="F257" s="409"/>
      <c r="G257" s="409"/>
      <c r="H257" s="409"/>
      <c r="I257" s="409"/>
      <c r="J257" s="409"/>
    </row>
    <row r="258" spans="2:10">
      <c r="B258" s="408"/>
      <c r="C258" s="409"/>
      <c r="D258" s="410"/>
      <c r="E258" s="409"/>
      <c r="F258" s="409"/>
      <c r="G258" s="409"/>
      <c r="H258" s="409"/>
      <c r="I258" s="409"/>
      <c r="J258" s="409"/>
    </row>
    <row r="259" spans="2:10">
      <c r="B259" s="408"/>
      <c r="C259" s="409"/>
      <c r="D259" s="410"/>
      <c r="E259" s="409"/>
      <c r="F259" s="409"/>
      <c r="G259" s="409"/>
      <c r="H259" s="409"/>
      <c r="I259" s="409"/>
      <c r="J259" s="409"/>
    </row>
    <row r="260" spans="2:10">
      <c r="B260" s="408"/>
      <c r="C260" s="409"/>
      <c r="D260" s="410"/>
      <c r="E260" s="409"/>
      <c r="F260" s="409"/>
      <c r="G260" s="409"/>
      <c r="H260" s="409"/>
      <c r="I260" s="409"/>
      <c r="J260" s="409"/>
    </row>
    <row r="261" spans="2:10">
      <c r="B261" s="408"/>
      <c r="C261" s="409"/>
      <c r="D261" s="410"/>
      <c r="E261" s="409"/>
      <c r="F261" s="409"/>
      <c r="G261" s="409"/>
      <c r="H261" s="409"/>
      <c r="I261" s="409"/>
      <c r="J261" s="409"/>
    </row>
    <row r="262" spans="2:10">
      <c r="B262" s="408"/>
      <c r="C262" s="409"/>
      <c r="D262" s="410"/>
      <c r="E262" s="409"/>
      <c r="F262" s="409"/>
      <c r="G262" s="409"/>
      <c r="H262" s="409"/>
      <c r="I262" s="409"/>
      <c r="J262" s="409"/>
    </row>
    <row r="263" spans="2:10">
      <c r="B263" s="408"/>
      <c r="C263" s="409"/>
      <c r="D263" s="410"/>
      <c r="E263" s="409"/>
      <c r="F263" s="409"/>
      <c r="G263" s="409"/>
      <c r="H263" s="409"/>
      <c r="I263" s="409"/>
      <c r="J263" s="409"/>
    </row>
    <row r="264" spans="2:10">
      <c r="B264" s="408"/>
      <c r="C264" s="409"/>
      <c r="D264" s="410"/>
      <c r="E264" s="409"/>
      <c r="F264" s="409"/>
      <c r="G264" s="409"/>
      <c r="H264" s="409"/>
      <c r="I264" s="409"/>
      <c r="J264" s="409"/>
    </row>
    <row r="265" spans="2:10">
      <c r="B265" s="408"/>
      <c r="C265" s="409"/>
      <c r="D265" s="410"/>
      <c r="E265" s="409"/>
      <c r="F265" s="409"/>
      <c r="G265" s="409"/>
      <c r="H265" s="409"/>
      <c r="I265" s="409"/>
      <c r="J265" s="409"/>
    </row>
    <row r="266" spans="2:10">
      <c r="B266" s="408"/>
      <c r="C266" s="409"/>
      <c r="D266" s="410"/>
      <c r="E266" s="409"/>
      <c r="F266" s="409"/>
      <c r="G266" s="409"/>
      <c r="H266" s="409"/>
      <c r="I266" s="409"/>
      <c r="J266" s="409"/>
    </row>
    <row r="267" spans="2:10">
      <c r="B267" s="408"/>
      <c r="C267" s="409"/>
      <c r="D267" s="410"/>
      <c r="E267" s="409"/>
      <c r="F267" s="409"/>
      <c r="G267" s="409"/>
      <c r="H267" s="409"/>
      <c r="I267" s="409"/>
      <c r="J267" s="409"/>
    </row>
    <row r="268" spans="2:10">
      <c r="B268" s="408"/>
      <c r="C268" s="409"/>
      <c r="D268" s="410"/>
      <c r="E268" s="409"/>
      <c r="F268" s="409"/>
      <c r="G268" s="409"/>
      <c r="H268" s="409"/>
      <c r="I268" s="409"/>
      <c r="J268" s="409"/>
    </row>
    <row r="269" spans="2:10">
      <c r="B269" s="408"/>
      <c r="C269" s="409"/>
      <c r="D269" s="410"/>
      <c r="E269" s="409"/>
      <c r="F269" s="409"/>
      <c r="G269" s="409"/>
      <c r="H269" s="409"/>
      <c r="I269" s="409"/>
      <c r="J269" s="409"/>
    </row>
    <row r="270" spans="2:10">
      <c r="B270" s="408"/>
      <c r="C270" s="409"/>
      <c r="D270" s="410"/>
      <c r="E270" s="409"/>
      <c r="F270" s="409"/>
      <c r="G270" s="409"/>
      <c r="H270" s="409"/>
      <c r="I270" s="409"/>
      <c r="J270" s="409"/>
    </row>
    <row r="271" spans="2:10">
      <c r="B271" s="408"/>
      <c r="C271" s="409"/>
      <c r="D271" s="410"/>
      <c r="E271" s="409"/>
      <c r="F271" s="409"/>
      <c r="G271" s="409"/>
      <c r="H271" s="409"/>
      <c r="I271" s="409"/>
      <c r="J271" s="409"/>
    </row>
    <row r="272" spans="2:10">
      <c r="B272" s="408"/>
      <c r="C272" s="409"/>
      <c r="D272" s="410"/>
      <c r="E272" s="409"/>
      <c r="F272" s="409"/>
      <c r="G272" s="409"/>
      <c r="H272" s="409"/>
      <c r="I272" s="409"/>
      <c r="J272" s="409"/>
    </row>
    <row r="273" spans="2:10">
      <c r="B273" s="408"/>
      <c r="C273" s="409"/>
      <c r="D273" s="410"/>
      <c r="E273" s="409"/>
      <c r="F273" s="409"/>
      <c r="G273" s="409"/>
      <c r="H273" s="409"/>
      <c r="I273" s="409"/>
      <c r="J273" s="409"/>
    </row>
    <row r="274" spans="2:10">
      <c r="B274" s="408"/>
      <c r="C274" s="409"/>
      <c r="D274" s="410"/>
      <c r="E274" s="409"/>
      <c r="F274" s="409"/>
      <c r="G274" s="409"/>
      <c r="H274" s="409"/>
      <c r="I274" s="409"/>
      <c r="J274" s="409"/>
    </row>
    <row r="275" spans="2:10">
      <c r="B275" s="408"/>
      <c r="C275" s="409"/>
      <c r="D275" s="410"/>
      <c r="E275" s="409"/>
      <c r="F275" s="409"/>
      <c r="G275" s="409"/>
      <c r="H275" s="409"/>
      <c r="I275" s="409"/>
      <c r="J275" s="409"/>
    </row>
    <row r="276" spans="2:10">
      <c r="B276" s="408"/>
      <c r="C276" s="409"/>
      <c r="D276" s="410"/>
      <c r="E276" s="409"/>
      <c r="F276" s="409"/>
      <c r="G276" s="409"/>
      <c r="H276" s="409"/>
      <c r="I276" s="409"/>
      <c r="J276" s="409"/>
    </row>
    <row r="277" spans="2:10">
      <c r="B277" s="408"/>
      <c r="C277" s="409"/>
      <c r="D277" s="410"/>
      <c r="E277" s="409"/>
      <c r="F277" s="409"/>
      <c r="G277" s="409"/>
      <c r="H277" s="409"/>
      <c r="I277" s="409"/>
      <c r="J277" s="409"/>
    </row>
    <row r="278" spans="2:10">
      <c r="B278" s="408"/>
      <c r="C278" s="409"/>
      <c r="D278" s="410"/>
      <c r="E278" s="409"/>
      <c r="F278" s="409"/>
      <c r="G278" s="409"/>
      <c r="H278" s="409"/>
      <c r="I278" s="409"/>
      <c r="J278" s="409"/>
    </row>
    <row r="279" spans="2:10">
      <c r="B279" s="408"/>
      <c r="C279" s="409"/>
      <c r="D279" s="410"/>
      <c r="E279" s="409"/>
      <c r="F279" s="409"/>
      <c r="G279" s="409"/>
      <c r="H279" s="409"/>
      <c r="I279" s="409"/>
      <c r="J279" s="409"/>
    </row>
    <row r="280" spans="2:10">
      <c r="B280" s="408"/>
      <c r="C280" s="409"/>
      <c r="D280" s="410"/>
      <c r="E280" s="409"/>
      <c r="F280" s="409"/>
      <c r="G280" s="409"/>
      <c r="H280" s="409"/>
      <c r="I280" s="409"/>
      <c r="J280" s="409"/>
    </row>
    <row r="281" spans="2:10">
      <c r="B281" s="408"/>
      <c r="C281" s="409"/>
      <c r="D281" s="410"/>
      <c r="E281" s="409"/>
      <c r="F281" s="409"/>
      <c r="G281" s="409"/>
      <c r="H281" s="409"/>
      <c r="I281" s="409"/>
      <c r="J281" s="409"/>
    </row>
    <row r="282" spans="2:10">
      <c r="B282" s="408"/>
      <c r="C282" s="409"/>
      <c r="D282" s="410"/>
      <c r="E282" s="409"/>
      <c r="F282" s="409"/>
      <c r="G282" s="409"/>
      <c r="H282" s="409"/>
      <c r="I282" s="409"/>
      <c r="J282" s="409"/>
    </row>
    <row r="283" spans="2:10">
      <c r="B283" s="408"/>
      <c r="C283" s="409"/>
      <c r="D283" s="410"/>
      <c r="E283" s="409"/>
      <c r="F283" s="409"/>
      <c r="G283" s="409"/>
      <c r="H283" s="409"/>
      <c r="I283" s="409"/>
      <c r="J283" s="409"/>
    </row>
    <row r="284" spans="2:10">
      <c r="B284" s="408"/>
      <c r="C284" s="409"/>
      <c r="D284" s="410"/>
      <c r="E284" s="409"/>
      <c r="F284" s="409"/>
      <c r="G284" s="409"/>
      <c r="H284" s="409"/>
      <c r="I284" s="409"/>
      <c r="J284" s="409"/>
    </row>
    <row r="285" spans="2:10">
      <c r="B285" s="408"/>
      <c r="C285" s="409"/>
      <c r="D285" s="410"/>
      <c r="E285" s="409"/>
      <c r="F285" s="409"/>
      <c r="G285" s="409"/>
      <c r="H285" s="409"/>
      <c r="I285" s="409"/>
      <c r="J285" s="409"/>
    </row>
    <row r="286" spans="2:10">
      <c r="B286" s="408"/>
      <c r="C286" s="409"/>
      <c r="D286" s="410"/>
      <c r="E286" s="409"/>
      <c r="F286" s="409"/>
      <c r="G286" s="409"/>
      <c r="H286" s="409"/>
      <c r="I286" s="409"/>
      <c r="J286" s="409"/>
    </row>
    <row r="287" spans="2:10">
      <c r="B287" s="408"/>
      <c r="C287" s="409"/>
      <c r="D287" s="410"/>
      <c r="E287" s="409"/>
      <c r="F287" s="409"/>
      <c r="G287" s="409"/>
      <c r="H287" s="409"/>
      <c r="I287" s="409"/>
      <c r="J287" s="409"/>
    </row>
    <row r="288" spans="2:10">
      <c r="B288" s="408"/>
      <c r="C288" s="409"/>
      <c r="D288" s="410"/>
      <c r="E288" s="409"/>
      <c r="F288" s="409"/>
      <c r="G288" s="409"/>
      <c r="H288" s="409"/>
      <c r="I288" s="409"/>
      <c r="J288" s="409"/>
    </row>
    <row r="289" spans="2:10">
      <c r="B289" s="408"/>
      <c r="C289" s="409"/>
      <c r="D289" s="410"/>
      <c r="E289" s="409"/>
      <c r="F289" s="409"/>
      <c r="G289" s="409"/>
      <c r="H289" s="409"/>
      <c r="I289" s="409"/>
      <c r="J289" s="409"/>
    </row>
    <row r="290" spans="2:10">
      <c r="B290" s="408"/>
      <c r="C290" s="409"/>
      <c r="D290" s="410"/>
      <c r="E290" s="409"/>
      <c r="F290" s="409"/>
      <c r="G290" s="409"/>
      <c r="H290" s="409"/>
      <c r="I290" s="409"/>
      <c r="J290" s="409"/>
    </row>
    <row r="291" spans="2:10">
      <c r="B291" s="408"/>
      <c r="C291" s="409"/>
      <c r="D291" s="410"/>
      <c r="E291" s="409"/>
      <c r="F291" s="409"/>
      <c r="G291" s="409"/>
      <c r="H291" s="409"/>
      <c r="I291" s="409"/>
      <c r="J291" s="409"/>
    </row>
    <row r="292" spans="2:10">
      <c r="B292" s="408"/>
      <c r="C292" s="409"/>
      <c r="D292" s="410"/>
      <c r="E292" s="409"/>
      <c r="F292" s="409"/>
      <c r="G292" s="409"/>
      <c r="H292" s="409"/>
      <c r="I292" s="409"/>
      <c r="J292" s="409"/>
    </row>
    <row r="293" spans="2:10">
      <c r="B293" s="408"/>
      <c r="C293" s="409"/>
      <c r="D293" s="410"/>
      <c r="E293" s="409"/>
      <c r="F293" s="409"/>
      <c r="G293" s="409"/>
      <c r="H293" s="409"/>
      <c r="I293" s="409"/>
      <c r="J293" s="409"/>
    </row>
    <row r="294" spans="2:10">
      <c r="B294" s="408"/>
      <c r="C294" s="409"/>
      <c r="D294" s="410"/>
      <c r="E294" s="409"/>
      <c r="F294" s="409"/>
      <c r="G294" s="409"/>
      <c r="H294" s="409"/>
      <c r="I294" s="409"/>
      <c r="J294" s="409"/>
    </row>
    <row r="295" spans="2:10">
      <c r="B295" s="408"/>
      <c r="C295" s="409"/>
      <c r="D295" s="410"/>
      <c r="E295" s="409"/>
      <c r="F295" s="409"/>
      <c r="G295" s="409"/>
      <c r="H295" s="409"/>
      <c r="I295" s="409"/>
      <c r="J295" s="409"/>
    </row>
    <row r="296" spans="2:10">
      <c r="B296" s="408"/>
      <c r="C296" s="409"/>
      <c r="D296" s="410"/>
      <c r="E296" s="409"/>
      <c r="F296" s="409"/>
      <c r="G296" s="409"/>
      <c r="H296" s="409"/>
      <c r="I296" s="409"/>
      <c r="J296" s="409"/>
    </row>
    <row r="297" spans="2:10">
      <c r="B297" s="408"/>
      <c r="C297" s="409"/>
      <c r="D297" s="410"/>
      <c r="E297" s="409"/>
      <c r="F297" s="409"/>
      <c r="G297" s="409"/>
      <c r="H297" s="409"/>
      <c r="I297" s="409"/>
      <c r="J297" s="409"/>
    </row>
    <row r="298" spans="2:10">
      <c r="B298" s="408"/>
      <c r="C298" s="409"/>
      <c r="D298" s="410"/>
      <c r="E298" s="409"/>
      <c r="F298" s="409"/>
      <c r="G298" s="409"/>
      <c r="H298" s="409"/>
      <c r="I298" s="409"/>
      <c r="J298" s="409"/>
    </row>
    <row r="299" spans="2:10">
      <c r="B299" s="408"/>
      <c r="C299" s="409"/>
      <c r="D299" s="410"/>
      <c r="E299" s="409"/>
      <c r="F299" s="409"/>
      <c r="G299" s="409"/>
      <c r="H299" s="409"/>
      <c r="I299" s="409"/>
      <c r="J299" s="409"/>
    </row>
    <row r="300" spans="2:10">
      <c r="B300" s="408"/>
      <c r="C300" s="409"/>
      <c r="D300" s="410"/>
      <c r="E300" s="409"/>
      <c r="F300" s="409"/>
      <c r="G300" s="409"/>
      <c r="H300" s="409"/>
      <c r="I300" s="409"/>
      <c r="J300" s="409"/>
    </row>
    <row r="301" spans="2:10">
      <c r="B301" s="408"/>
      <c r="C301" s="409"/>
      <c r="D301" s="410"/>
      <c r="E301" s="409"/>
      <c r="F301" s="409"/>
      <c r="G301" s="409"/>
      <c r="H301" s="409"/>
      <c r="I301" s="409"/>
      <c r="J301" s="409"/>
    </row>
    <row r="302" spans="2:10">
      <c r="B302" s="408"/>
      <c r="C302" s="409"/>
      <c r="D302" s="410"/>
      <c r="E302" s="409"/>
      <c r="F302" s="409"/>
      <c r="G302" s="409"/>
      <c r="H302" s="409"/>
      <c r="I302" s="409"/>
      <c r="J302" s="409"/>
    </row>
    <row r="303" spans="2:10">
      <c r="B303" s="408"/>
      <c r="C303" s="409"/>
      <c r="D303" s="410"/>
      <c r="E303" s="409"/>
      <c r="F303" s="409"/>
      <c r="G303" s="409"/>
      <c r="H303" s="409"/>
      <c r="I303" s="409"/>
      <c r="J303" s="409"/>
    </row>
    <row r="304" spans="2:10">
      <c r="B304" s="408"/>
      <c r="C304" s="409"/>
      <c r="D304" s="410"/>
      <c r="E304" s="409"/>
      <c r="F304" s="409"/>
      <c r="G304" s="409"/>
      <c r="H304" s="409"/>
      <c r="I304" s="409"/>
      <c r="J304" s="409"/>
    </row>
    <row r="305" spans="2:10">
      <c r="B305" s="408"/>
      <c r="C305" s="409"/>
      <c r="D305" s="410"/>
      <c r="E305" s="409"/>
      <c r="F305" s="409"/>
      <c r="G305" s="409"/>
      <c r="H305" s="409"/>
      <c r="I305" s="409"/>
      <c r="J305" s="409"/>
    </row>
    <row r="306" spans="2:10">
      <c r="B306" s="408"/>
      <c r="C306" s="409"/>
      <c r="D306" s="410"/>
      <c r="E306" s="409"/>
      <c r="F306" s="409"/>
      <c r="G306" s="409"/>
      <c r="H306" s="409"/>
      <c r="I306" s="409"/>
      <c r="J306" s="409"/>
    </row>
    <row r="307" spans="2:10">
      <c r="B307" s="408"/>
      <c r="C307" s="409"/>
      <c r="D307" s="410"/>
      <c r="E307" s="409"/>
      <c r="F307" s="409"/>
      <c r="G307" s="409"/>
      <c r="H307" s="409"/>
      <c r="I307" s="409"/>
      <c r="J307" s="409"/>
    </row>
    <row r="308" spans="2:10">
      <c r="B308" s="408"/>
      <c r="C308" s="409"/>
      <c r="D308" s="410"/>
      <c r="E308" s="409"/>
      <c r="F308" s="409"/>
      <c r="G308" s="409"/>
      <c r="H308" s="409"/>
      <c r="I308" s="409"/>
      <c r="J308" s="409"/>
    </row>
    <row r="309" spans="2:10">
      <c r="B309" s="408"/>
      <c r="C309" s="409"/>
      <c r="D309" s="410"/>
      <c r="E309" s="409"/>
      <c r="F309" s="409"/>
      <c r="G309" s="409"/>
      <c r="H309" s="409"/>
      <c r="I309" s="409"/>
      <c r="J309" s="409"/>
    </row>
    <row r="310" spans="2:10">
      <c r="B310" s="408"/>
      <c r="C310" s="409"/>
      <c r="D310" s="410"/>
      <c r="E310" s="409"/>
      <c r="F310" s="409"/>
      <c r="G310" s="409"/>
      <c r="H310" s="409"/>
      <c r="I310" s="409"/>
      <c r="J310" s="409"/>
    </row>
    <row r="311" spans="2:10">
      <c r="B311" s="408"/>
      <c r="C311" s="409"/>
      <c r="D311" s="410"/>
      <c r="E311" s="409"/>
      <c r="F311" s="409"/>
      <c r="G311" s="409"/>
      <c r="H311" s="409"/>
      <c r="I311" s="409"/>
      <c r="J311" s="409"/>
    </row>
    <row r="312" spans="2:10">
      <c r="B312" s="408"/>
      <c r="C312" s="409"/>
      <c r="D312" s="410"/>
      <c r="E312" s="409"/>
      <c r="F312" s="409"/>
      <c r="G312" s="409"/>
      <c r="H312" s="409"/>
      <c r="I312" s="409"/>
      <c r="J312" s="409"/>
    </row>
    <row r="313" spans="2:10">
      <c r="B313" s="408"/>
      <c r="C313" s="409"/>
      <c r="D313" s="410"/>
      <c r="E313" s="409"/>
      <c r="F313" s="409"/>
      <c r="G313" s="409"/>
      <c r="H313" s="409"/>
      <c r="I313" s="409"/>
      <c r="J313" s="409"/>
    </row>
    <row r="314" spans="2:10">
      <c r="B314" s="408"/>
      <c r="C314" s="409"/>
      <c r="D314" s="410"/>
      <c r="E314" s="409"/>
      <c r="F314" s="409"/>
      <c r="G314" s="409"/>
      <c r="H314" s="409"/>
      <c r="I314" s="409"/>
      <c r="J314" s="409"/>
    </row>
    <row r="315" spans="2:10">
      <c r="B315" s="408"/>
      <c r="C315" s="409"/>
      <c r="D315" s="410"/>
      <c r="E315" s="409"/>
      <c r="F315" s="409"/>
      <c r="G315" s="409"/>
      <c r="H315" s="409"/>
      <c r="I315" s="409"/>
      <c r="J315" s="409"/>
    </row>
    <row r="316" spans="2:10">
      <c r="B316" s="408"/>
      <c r="C316" s="409"/>
      <c r="D316" s="410"/>
      <c r="E316" s="409"/>
      <c r="F316" s="409"/>
      <c r="G316" s="409"/>
      <c r="H316" s="409"/>
      <c r="I316" s="409"/>
      <c r="J316" s="409"/>
    </row>
    <row r="317" spans="2:10">
      <c r="B317" s="408"/>
      <c r="C317" s="409"/>
      <c r="D317" s="410"/>
      <c r="E317" s="409"/>
      <c r="F317" s="409"/>
      <c r="G317" s="409"/>
      <c r="H317" s="409"/>
      <c r="I317" s="409"/>
      <c r="J317" s="409"/>
    </row>
    <row r="318" spans="2:10">
      <c r="B318" s="408"/>
      <c r="C318" s="409"/>
      <c r="D318" s="410"/>
      <c r="E318" s="409"/>
      <c r="F318" s="409"/>
      <c r="G318" s="409"/>
      <c r="H318" s="409"/>
      <c r="I318" s="409"/>
      <c r="J318" s="409"/>
    </row>
    <row r="319" spans="2:10">
      <c r="B319" s="408"/>
      <c r="C319" s="409"/>
      <c r="D319" s="410"/>
      <c r="E319" s="409"/>
      <c r="F319" s="409"/>
      <c r="G319" s="409"/>
      <c r="H319" s="409"/>
      <c r="I319" s="409"/>
      <c r="J319" s="409"/>
    </row>
    <row r="320" spans="2:10">
      <c r="B320" s="408"/>
      <c r="C320" s="409"/>
      <c r="D320" s="410"/>
      <c r="E320" s="409"/>
      <c r="F320" s="409"/>
      <c r="G320" s="409"/>
      <c r="H320" s="409"/>
      <c r="I320" s="409"/>
      <c r="J320" s="409"/>
    </row>
    <row r="321" spans="2:10">
      <c r="B321" s="408"/>
      <c r="C321" s="409"/>
      <c r="D321" s="410"/>
      <c r="E321" s="409"/>
      <c r="F321" s="409"/>
      <c r="G321" s="409"/>
      <c r="H321" s="409"/>
      <c r="I321" s="409"/>
      <c r="J321" s="409"/>
    </row>
    <row r="322" spans="2:10">
      <c r="B322" s="404"/>
      <c r="C322" s="405"/>
      <c r="D322" s="411"/>
      <c r="E322" s="405"/>
      <c r="F322" s="405"/>
      <c r="G322" s="405"/>
      <c r="H322" s="405"/>
      <c r="I322" s="405"/>
      <c r="J322" s="405"/>
    </row>
    <row r="323" spans="2:10">
      <c r="B323" s="404"/>
      <c r="C323" s="405"/>
      <c r="D323" s="411"/>
      <c r="E323" s="405"/>
      <c r="F323" s="405"/>
      <c r="G323" s="405"/>
      <c r="H323" s="405"/>
      <c r="I323" s="405"/>
      <c r="J323" s="405"/>
    </row>
    <row r="324" spans="2:10">
      <c r="B324" s="404"/>
      <c r="C324" s="405"/>
      <c r="D324" s="411"/>
      <c r="E324" s="405"/>
      <c r="F324" s="405"/>
      <c r="G324" s="405"/>
      <c r="H324" s="405"/>
      <c r="I324" s="405"/>
      <c r="J324" s="405"/>
    </row>
    <row r="325" spans="2:10">
      <c r="B325" s="404"/>
      <c r="C325" s="405"/>
      <c r="D325" s="411"/>
      <c r="E325" s="405"/>
      <c r="F325" s="405"/>
      <c r="G325" s="405"/>
      <c r="H325" s="405"/>
      <c r="I325" s="405"/>
      <c r="J325" s="405"/>
    </row>
    <row r="326" spans="2:10">
      <c r="B326" s="404"/>
      <c r="C326" s="405"/>
      <c r="D326" s="411"/>
      <c r="E326" s="405"/>
      <c r="F326" s="405"/>
      <c r="G326" s="405"/>
      <c r="H326" s="405"/>
      <c r="I326" s="405"/>
      <c r="J326" s="405"/>
    </row>
    <row r="327" spans="2:10">
      <c r="B327" s="404"/>
      <c r="C327" s="405"/>
      <c r="D327" s="411"/>
      <c r="E327" s="405"/>
      <c r="F327" s="405"/>
      <c r="G327" s="405"/>
      <c r="H327" s="405"/>
      <c r="I327" s="405"/>
      <c r="J327" s="405"/>
    </row>
    <row r="328" spans="2:10">
      <c r="B328" s="404"/>
      <c r="C328" s="405"/>
      <c r="D328" s="411"/>
      <c r="E328" s="405"/>
      <c r="F328" s="405"/>
      <c r="G328" s="405"/>
      <c r="H328" s="405"/>
      <c r="I328" s="405"/>
      <c r="J328" s="405"/>
    </row>
    <row r="329" spans="2:10">
      <c r="B329" s="404"/>
      <c r="C329" s="405"/>
      <c r="D329" s="411"/>
      <c r="E329" s="405"/>
      <c r="F329" s="405"/>
      <c r="G329" s="405"/>
      <c r="H329" s="405"/>
      <c r="I329" s="405"/>
      <c r="J329" s="405"/>
    </row>
    <row r="330" spans="2:10">
      <c r="B330" s="404"/>
      <c r="C330" s="405"/>
      <c r="D330" s="411"/>
      <c r="E330" s="405"/>
      <c r="F330" s="405"/>
      <c r="G330" s="405"/>
      <c r="H330" s="405"/>
      <c r="I330" s="405"/>
      <c r="J330" s="405"/>
    </row>
    <row r="331" spans="2:10">
      <c r="B331" s="404"/>
      <c r="C331" s="405"/>
      <c r="D331" s="411"/>
      <c r="E331" s="405"/>
      <c r="F331" s="405"/>
      <c r="G331" s="405"/>
      <c r="H331" s="405"/>
      <c r="I331" s="405"/>
      <c r="J331" s="405"/>
    </row>
    <row r="332" spans="2:10">
      <c r="B332" s="404"/>
      <c r="C332" s="405"/>
      <c r="D332" s="411"/>
      <c r="E332" s="405"/>
      <c r="F332" s="405"/>
      <c r="G332" s="405"/>
      <c r="H332" s="405"/>
      <c r="I332" s="405"/>
      <c r="J332" s="405"/>
    </row>
    <row r="333" spans="2:10">
      <c r="B333" s="404"/>
      <c r="C333" s="405"/>
      <c r="D333" s="411"/>
      <c r="E333" s="405"/>
      <c r="F333" s="405"/>
      <c r="G333" s="405"/>
      <c r="H333" s="405"/>
      <c r="I333" s="405"/>
      <c r="J333" s="405"/>
    </row>
    <row r="334" spans="2:10">
      <c r="B334" s="404"/>
      <c r="C334" s="405"/>
      <c r="D334" s="411"/>
      <c r="E334" s="405"/>
      <c r="F334" s="405"/>
      <c r="G334" s="405"/>
      <c r="H334" s="405"/>
      <c r="I334" s="405"/>
      <c r="J334" s="405"/>
    </row>
    <row r="335" spans="2:10">
      <c r="B335" s="404"/>
      <c r="C335" s="405"/>
      <c r="D335" s="411"/>
      <c r="E335" s="405"/>
      <c r="F335" s="405"/>
      <c r="G335" s="405"/>
      <c r="H335" s="405"/>
      <c r="I335" s="405"/>
      <c r="J335" s="405"/>
    </row>
    <row r="336" spans="2:10">
      <c r="B336" s="404"/>
      <c r="C336" s="405"/>
      <c r="D336" s="411"/>
      <c r="E336" s="405"/>
      <c r="F336" s="405"/>
      <c r="G336" s="405"/>
      <c r="H336" s="405"/>
      <c r="I336" s="405"/>
      <c r="J336" s="405"/>
    </row>
    <row r="337" spans="2:10">
      <c r="B337" s="404"/>
      <c r="C337" s="405"/>
      <c r="D337" s="411"/>
      <c r="E337" s="405"/>
      <c r="F337" s="405"/>
      <c r="G337" s="405"/>
      <c r="H337" s="405"/>
      <c r="I337" s="405"/>
      <c r="J337" s="405"/>
    </row>
    <row r="338" spans="2:10">
      <c r="B338" s="404"/>
      <c r="C338" s="405"/>
      <c r="D338" s="411"/>
      <c r="E338" s="405"/>
      <c r="F338" s="405"/>
      <c r="G338" s="405"/>
      <c r="H338" s="405"/>
      <c r="I338" s="405"/>
      <c r="J338" s="405"/>
    </row>
    <row r="339" spans="2:10">
      <c r="B339" s="404"/>
      <c r="C339" s="405"/>
      <c r="D339" s="411"/>
      <c r="E339" s="405"/>
      <c r="F339" s="405"/>
      <c r="G339" s="405"/>
      <c r="H339" s="405"/>
      <c r="I339" s="405"/>
      <c r="J339" s="405"/>
    </row>
    <row r="340" spans="2:10">
      <c r="B340" s="404"/>
      <c r="C340" s="405"/>
      <c r="D340" s="411"/>
      <c r="E340" s="405"/>
      <c r="F340" s="405"/>
      <c r="G340" s="405"/>
      <c r="H340" s="405"/>
      <c r="I340" s="405"/>
      <c r="J340" s="405"/>
    </row>
    <row r="341" spans="2:10">
      <c r="B341" s="404"/>
      <c r="C341" s="405"/>
      <c r="D341" s="411"/>
      <c r="E341" s="405"/>
      <c r="F341" s="405"/>
      <c r="G341" s="405"/>
      <c r="H341" s="405"/>
      <c r="I341" s="405"/>
      <c r="J341" s="405"/>
    </row>
    <row r="342" spans="2:10">
      <c r="B342" s="404"/>
      <c r="C342" s="405"/>
      <c r="D342" s="411"/>
      <c r="E342" s="405"/>
      <c r="F342" s="405"/>
      <c r="G342" s="405"/>
      <c r="H342" s="405"/>
      <c r="I342" s="405"/>
      <c r="J342" s="405"/>
    </row>
    <row r="343" spans="2:10">
      <c r="B343" s="404"/>
      <c r="C343" s="405"/>
      <c r="D343" s="411"/>
      <c r="E343" s="405"/>
      <c r="F343" s="405"/>
      <c r="G343" s="405"/>
      <c r="H343" s="405"/>
      <c r="I343" s="405"/>
      <c r="J343" s="405"/>
    </row>
    <row r="344" spans="2:10">
      <c r="B344" s="404"/>
      <c r="C344" s="405"/>
      <c r="D344" s="411"/>
      <c r="E344" s="405"/>
      <c r="F344" s="405"/>
      <c r="G344" s="405"/>
      <c r="H344" s="405"/>
      <c r="I344" s="405"/>
      <c r="J344" s="405"/>
    </row>
    <row r="345" spans="2:10">
      <c r="B345" s="404"/>
      <c r="C345" s="405"/>
      <c r="D345" s="411"/>
      <c r="E345" s="405"/>
      <c r="F345" s="405"/>
      <c r="G345" s="405"/>
      <c r="H345" s="405"/>
      <c r="I345" s="405"/>
      <c r="J345" s="405"/>
    </row>
    <row r="346" spans="2:10">
      <c r="B346" s="404"/>
      <c r="C346" s="405"/>
      <c r="D346" s="411"/>
      <c r="E346" s="405"/>
      <c r="F346" s="405"/>
      <c r="G346" s="405"/>
      <c r="H346" s="405"/>
      <c r="I346" s="405"/>
      <c r="J346" s="405"/>
    </row>
    <row r="347" spans="2:10">
      <c r="B347" s="404"/>
      <c r="C347" s="405"/>
      <c r="D347" s="411"/>
      <c r="E347" s="405"/>
      <c r="F347" s="405"/>
      <c r="G347" s="405"/>
      <c r="H347" s="405"/>
      <c r="I347" s="405"/>
      <c r="J347" s="405"/>
    </row>
    <row r="348" spans="2:10">
      <c r="B348" s="404"/>
      <c r="C348" s="405"/>
      <c r="D348" s="411"/>
      <c r="E348" s="405"/>
      <c r="F348" s="405"/>
      <c r="G348" s="405"/>
      <c r="H348" s="405"/>
      <c r="I348" s="405"/>
      <c r="J348" s="405"/>
    </row>
    <row r="349" spans="2:10">
      <c r="B349" s="404"/>
      <c r="C349" s="405"/>
      <c r="D349" s="411"/>
      <c r="E349" s="405"/>
      <c r="F349" s="405"/>
      <c r="G349" s="405"/>
      <c r="H349" s="405"/>
      <c r="I349" s="405"/>
      <c r="J349" s="405"/>
    </row>
    <row r="350" spans="2:10">
      <c r="B350" s="404"/>
      <c r="C350" s="405"/>
      <c r="D350" s="411"/>
      <c r="E350" s="405"/>
      <c r="F350" s="405"/>
      <c r="G350" s="405"/>
      <c r="H350" s="405"/>
      <c r="I350" s="405"/>
      <c r="J350" s="405"/>
    </row>
    <row r="351" spans="2:10">
      <c r="B351" s="404"/>
      <c r="C351" s="405"/>
      <c r="D351" s="411"/>
      <c r="E351" s="405"/>
      <c r="F351" s="405"/>
      <c r="G351" s="405"/>
      <c r="H351" s="405"/>
      <c r="I351" s="405"/>
      <c r="J351" s="405"/>
    </row>
    <row r="352" spans="2:10">
      <c r="B352" s="404"/>
      <c r="C352" s="405"/>
      <c r="D352" s="411"/>
      <c r="E352" s="405"/>
      <c r="F352" s="405"/>
      <c r="G352" s="405"/>
      <c r="H352" s="405"/>
      <c r="I352" s="405"/>
      <c r="J352" s="405"/>
    </row>
    <row r="353" spans="2:10">
      <c r="B353" s="404"/>
      <c r="C353" s="405"/>
      <c r="D353" s="411"/>
      <c r="E353" s="405"/>
      <c r="F353" s="405"/>
      <c r="G353" s="405"/>
      <c r="H353" s="405"/>
      <c r="I353" s="405"/>
      <c r="J353" s="405"/>
    </row>
    <row r="354" spans="2:10">
      <c r="B354" s="404"/>
      <c r="C354" s="405"/>
      <c r="D354" s="411"/>
      <c r="E354" s="405"/>
      <c r="F354" s="405"/>
      <c r="G354" s="405"/>
      <c r="H354" s="405"/>
      <c r="I354" s="405"/>
      <c r="J354" s="405"/>
    </row>
    <row r="355" spans="2:10">
      <c r="B355" s="404"/>
      <c r="C355" s="405"/>
      <c r="D355" s="411"/>
      <c r="E355" s="405"/>
      <c r="F355" s="405"/>
      <c r="G355" s="405"/>
      <c r="H355" s="405"/>
      <c r="I355" s="405"/>
      <c r="J355" s="405"/>
    </row>
    <row r="356" spans="2:10">
      <c r="B356" s="404"/>
      <c r="C356" s="405"/>
      <c r="D356" s="411"/>
      <c r="E356" s="405"/>
      <c r="F356" s="405"/>
      <c r="G356" s="405"/>
      <c r="H356" s="405"/>
      <c r="I356" s="405"/>
      <c r="J356" s="405"/>
    </row>
    <row r="357" spans="2:10">
      <c r="B357" s="404"/>
      <c r="C357" s="405"/>
      <c r="D357" s="411"/>
      <c r="E357" s="405"/>
      <c r="F357" s="405"/>
      <c r="G357" s="405"/>
      <c r="H357" s="405"/>
      <c r="I357" s="405"/>
      <c r="J357" s="405"/>
    </row>
    <row r="358" spans="2:10">
      <c r="B358" s="404"/>
      <c r="C358" s="405"/>
      <c r="D358" s="411"/>
      <c r="E358" s="405"/>
      <c r="F358" s="405"/>
      <c r="G358" s="405"/>
      <c r="H358" s="405"/>
      <c r="I358" s="405"/>
      <c r="J358" s="405"/>
    </row>
    <row r="359" spans="2:10">
      <c r="B359" s="404"/>
      <c r="C359" s="405"/>
      <c r="D359" s="411"/>
      <c r="E359" s="405"/>
      <c r="F359" s="405"/>
      <c r="G359" s="405"/>
      <c r="H359" s="405"/>
      <c r="I359" s="405"/>
      <c r="J359" s="405"/>
    </row>
    <row r="360" spans="2:10">
      <c r="B360" s="404"/>
      <c r="C360" s="405"/>
      <c r="D360" s="411"/>
      <c r="E360" s="405"/>
      <c r="F360" s="405"/>
      <c r="G360" s="405"/>
      <c r="H360" s="405"/>
      <c r="I360" s="405"/>
      <c r="J360" s="405"/>
    </row>
    <row r="361" spans="2:10">
      <c r="B361" s="404"/>
      <c r="C361" s="405"/>
      <c r="D361" s="411"/>
      <c r="E361" s="405"/>
      <c r="F361" s="405"/>
      <c r="G361" s="405"/>
      <c r="H361" s="405"/>
      <c r="I361" s="405"/>
      <c r="J361" s="405"/>
    </row>
  </sheetData>
  <mergeCells count="42">
    <mergeCell ref="D100:E100"/>
    <mergeCell ref="F100:H100"/>
    <mergeCell ref="I100:J100"/>
    <mergeCell ref="D101:E101"/>
    <mergeCell ref="F101:G101"/>
    <mergeCell ref="H101:J101"/>
    <mergeCell ref="D99:E99"/>
    <mergeCell ref="F99:J99"/>
    <mergeCell ref="J13:J14"/>
    <mergeCell ref="B14:C14"/>
    <mergeCell ref="E93:F93"/>
    <mergeCell ref="E94:F94"/>
    <mergeCell ref="E95:F95"/>
    <mergeCell ref="I95:J95"/>
    <mergeCell ref="B96:E96"/>
    <mergeCell ref="H96:J96"/>
    <mergeCell ref="D97:E97"/>
    <mergeCell ref="F97:J97"/>
    <mergeCell ref="D98:E98"/>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4" right="0.21" top="0.27" bottom="0.27559055118110198" header="0.23" footer="0.27559055118110198"/>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F0D0A-7E58-4DCA-BD37-2DCCD42488F2}">
  <sheetPr>
    <tabColor rgb="FF00B050"/>
  </sheetPr>
  <dimension ref="A1:K315"/>
  <sheetViews>
    <sheetView workbookViewId="0">
      <selection activeCell="B7" sqref="B7:J7"/>
    </sheetView>
  </sheetViews>
  <sheetFormatPr defaultRowHeight="12.75"/>
  <cols>
    <col min="1" max="1" width="2.85546875" style="322" customWidth="1"/>
    <col min="2" max="2" width="9.7109375" style="322" customWidth="1"/>
    <col min="3" max="3" width="9.5703125" style="322" customWidth="1"/>
    <col min="4" max="4" width="25.5703125" style="322" customWidth="1"/>
    <col min="5" max="5" width="4.42578125" style="322" hidden="1" customWidth="1"/>
    <col min="6" max="6" width="5.5703125" style="322" hidden="1" customWidth="1"/>
    <col min="7" max="7" width="7.42578125" style="322" customWidth="1"/>
    <col min="8" max="8" width="4.85546875" style="322" customWidth="1"/>
    <col min="9" max="9" width="8.5703125" style="322" customWidth="1"/>
    <col min="10" max="10" width="10.140625" style="322" customWidth="1"/>
    <col min="11" max="11" width="7.5703125" style="322" customWidth="1"/>
    <col min="12" max="16384" width="9.140625" style="322"/>
  </cols>
  <sheetData>
    <row r="1" spans="1:11" ht="18" customHeight="1">
      <c r="A1" s="983" t="s">
        <v>1990</v>
      </c>
      <c r="B1" s="983"/>
      <c r="C1" s="983"/>
      <c r="D1" s="983"/>
      <c r="E1" s="317"/>
      <c r="F1" s="317"/>
      <c r="G1" s="318" t="s">
        <v>1991</v>
      </c>
      <c r="H1" s="319" t="s">
        <v>1992</v>
      </c>
      <c r="I1" s="320" t="s">
        <v>1991</v>
      </c>
      <c r="J1" s="321" t="s">
        <v>1992</v>
      </c>
      <c r="K1" s="321"/>
    </row>
    <row r="2" spans="1:11">
      <c r="B2" s="982" t="s">
        <v>1993</v>
      </c>
      <c r="C2" s="982"/>
      <c r="D2" s="982"/>
      <c r="E2" s="323"/>
      <c r="F2" s="323"/>
      <c r="G2" s="318"/>
      <c r="H2" s="324"/>
      <c r="I2" s="321"/>
      <c r="J2" s="321"/>
      <c r="K2" s="321"/>
    </row>
    <row r="3" spans="1:11" ht="21" customHeight="1">
      <c r="B3" s="982" t="s">
        <v>1994</v>
      </c>
      <c r="C3" s="982"/>
      <c r="D3" s="982"/>
      <c r="E3" s="982"/>
      <c r="F3" s="982"/>
      <c r="G3" s="984"/>
      <c r="H3" s="324"/>
      <c r="I3" s="321"/>
      <c r="J3" s="321"/>
      <c r="K3" s="321"/>
    </row>
    <row r="4" spans="1:11">
      <c r="B4" s="321"/>
      <c r="C4" s="321" t="s">
        <v>1995</v>
      </c>
      <c r="D4" s="321" t="s">
        <v>1996</v>
      </c>
      <c r="E4" s="321"/>
      <c r="F4" s="321"/>
      <c r="G4" s="318"/>
      <c r="H4" s="324"/>
      <c r="I4" s="321"/>
      <c r="J4" s="321"/>
      <c r="K4" s="321"/>
    </row>
    <row r="5" spans="1:11" ht="15" customHeight="1">
      <c r="B5" s="321"/>
      <c r="C5" s="982" t="s">
        <v>1997</v>
      </c>
      <c r="D5" s="982"/>
      <c r="E5" s="323"/>
      <c r="F5" s="323"/>
      <c r="G5" s="318"/>
      <c r="H5" s="324"/>
      <c r="I5" s="321"/>
      <c r="J5" s="321"/>
      <c r="K5" s="321"/>
    </row>
    <row r="6" spans="1:11" ht="15.75" customHeight="1">
      <c r="B6" s="321"/>
      <c r="C6" s="982" t="s">
        <v>1998</v>
      </c>
      <c r="D6" s="982"/>
      <c r="E6" s="323"/>
      <c r="F6" s="323"/>
      <c r="G6" s="318"/>
      <c r="H6" s="324"/>
      <c r="I6" s="321"/>
      <c r="J6" s="321"/>
      <c r="K6" s="321"/>
    </row>
    <row r="7" spans="1:11">
      <c r="B7" s="321"/>
      <c r="C7" s="321"/>
      <c r="D7" s="321"/>
      <c r="E7" s="321"/>
      <c r="F7" s="321"/>
      <c r="G7" s="318"/>
      <c r="H7" s="324"/>
      <c r="I7" s="321"/>
      <c r="J7" s="321"/>
      <c r="K7" s="321"/>
    </row>
    <row r="8" spans="1:11" ht="18" customHeight="1">
      <c r="A8" s="985" t="s">
        <v>1999</v>
      </c>
      <c r="B8" s="985"/>
      <c r="C8" s="325" t="s">
        <v>2000</v>
      </c>
      <c r="D8" s="325"/>
      <c r="E8" s="321"/>
      <c r="F8" s="321"/>
      <c r="G8" s="321"/>
      <c r="H8" s="324"/>
      <c r="I8" s="321"/>
      <c r="J8" s="321"/>
      <c r="K8" s="321"/>
    </row>
    <row r="9" spans="1:11" ht="13.5" customHeight="1">
      <c r="A9" s="985"/>
      <c r="B9" s="985"/>
      <c r="C9" s="986" t="s">
        <v>2001</v>
      </c>
      <c r="D9" s="986"/>
      <c r="E9" s="323"/>
      <c r="F9" s="323"/>
      <c r="G9" s="321"/>
      <c r="H9" s="324"/>
      <c r="I9" s="321"/>
      <c r="J9" s="321"/>
      <c r="K9" s="321"/>
    </row>
    <row r="10" spans="1:11" ht="12.75" customHeight="1">
      <c r="A10" s="985"/>
      <c r="B10" s="985"/>
      <c r="C10" s="986" t="s">
        <v>2002</v>
      </c>
      <c r="D10" s="986"/>
      <c r="E10" s="323"/>
      <c r="F10" s="323"/>
      <c r="G10" s="321"/>
      <c r="H10" s="324"/>
      <c r="I10" s="321"/>
      <c r="J10" s="321"/>
      <c r="K10" s="321"/>
    </row>
    <row r="11" spans="1:11">
      <c r="A11" s="326"/>
      <c r="B11" s="327"/>
      <c r="C11" s="328" t="s">
        <v>2003</v>
      </c>
      <c r="D11" s="328"/>
      <c r="E11" s="320"/>
      <c r="F11" s="320"/>
      <c r="G11" s="320"/>
      <c r="H11" s="319"/>
      <c r="I11" s="320"/>
      <c r="J11" s="320"/>
      <c r="K11" s="320"/>
    </row>
    <row r="12" spans="1:11" ht="14.25" customHeight="1">
      <c r="A12" s="329" t="s">
        <v>2004</v>
      </c>
      <c r="B12" s="321"/>
      <c r="C12" s="321"/>
      <c r="D12" s="321" t="s">
        <v>2005</v>
      </c>
      <c r="E12" s="321"/>
      <c r="F12" s="321"/>
      <c r="G12" s="321"/>
      <c r="H12" s="321"/>
      <c r="I12" s="321"/>
      <c r="J12" s="321"/>
      <c r="K12" s="321"/>
    </row>
    <row r="13" spans="1:11" ht="12" customHeight="1">
      <c r="A13" s="329" t="s">
        <v>2006</v>
      </c>
      <c r="B13" s="321"/>
      <c r="C13" s="321"/>
      <c r="D13" s="321"/>
      <c r="E13" s="321"/>
      <c r="F13" s="321"/>
      <c r="G13" s="321"/>
      <c r="H13" s="321"/>
      <c r="I13" s="321"/>
      <c r="J13" s="321"/>
      <c r="K13" s="321"/>
    </row>
    <row r="14" spans="1:11">
      <c r="B14" s="321"/>
      <c r="C14" s="321"/>
      <c r="D14" s="321"/>
      <c r="E14" s="321"/>
      <c r="F14" s="321"/>
      <c r="G14" s="321"/>
      <c r="H14" s="321"/>
      <c r="I14" s="321"/>
      <c r="J14" s="321"/>
      <c r="K14" s="321"/>
    </row>
    <row r="15" spans="1:11" ht="22.5" customHeight="1">
      <c r="B15" s="321"/>
      <c r="C15" s="982" t="s">
        <v>2007</v>
      </c>
      <c r="D15" s="982"/>
      <c r="E15" s="323"/>
      <c r="F15" s="323"/>
      <c r="G15" s="321"/>
      <c r="H15" s="321"/>
      <c r="I15" s="321"/>
      <c r="J15" s="321"/>
      <c r="K15" s="321"/>
    </row>
    <row r="16" spans="1:11">
      <c r="B16" s="321"/>
      <c r="C16" s="321"/>
      <c r="D16" s="321"/>
      <c r="E16" s="321"/>
      <c r="F16" s="321"/>
      <c r="G16" s="321"/>
      <c r="H16" s="321"/>
      <c r="I16" s="321"/>
      <c r="J16" s="321"/>
      <c r="K16" s="321"/>
    </row>
    <row r="17" spans="1:11">
      <c r="A17" s="322" t="s">
        <v>2008</v>
      </c>
      <c r="B17" s="321"/>
      <c r="C17" s="321"/>
      <c r="D17" s="321"/>
      <c r="E17" s="321"/>
      <c r="F17" s="321"/>
      <c r="G17" s="321"/>
      <c r="H17" s="321"/>
      <c r="I17" s="321"/>
      <c r="J17" s="321"/>
      <c r="K17" s="321"/>
    </row>
    <row r="18" spans="1:11" ht="27" customHeight="1">
      <c r="B18" s="321"/>
      <c r="C18" s="321"/>
      <c r="E18" s="982" t="s">
        <v>2009</v>
      </c>
      <c r="F18" s="982"/>
      <c r="G18" s="982"/>
      <c r="H18" s="982"/>
      <c r="I18" s="982"/>
      <c r="J18" s="982"/>
      <c r="K18" s="321"/>
    </row>
    <row r="19" spans="1:11" ht="12" customHeight="1">
      <c r="B19" s="321"/>
      <c r="C19" s="321"/>
      <c r="D19" s="321"/>
      <c r="E19" s="982" t="s">
        <v>2010</v>
      </c>
      <c r="F19" s="982"/>
      <c r="G19" s="982"/>
      <c r="H19" s="982"/>
      <c r="I19" s="982"/>
      <c r="J19" s="982"/>
      <c r="K19" s="982"/>
    </row>
    <row r="20" spans="1:11" ht="6.75" customHeight="1">
      <c r="B20" s="321"/>
      <c r="C20" s="321"/>
      <c r="E20" s="330"/>
      <c r="F20" s="330"/>
      <c r="G20" s="330"/>
      <c r="H20" s="330"/>
      <c r="I20" s="330"/>
      <c r="J20" s="330"/>
      <c r="K20" s="323"/>
    </row>
    <row r="21" spans="1:11" ht="16.5" customHeight="1">
      <c r="B21" s="321"/>
      <c r="C21" s="321"/>
      <c r="D21" s="323"/>
      <c r="E21" s="982" t="s">
        <v>2010</v>
      </c>
      <c r="F21" s="982"/>
      <c r="G21" s="982"/>
      <c r="H21" s="982"/>
      <c r="I21" s="982"/>
      <c r="J21" s="982"/>
      <c r="K21" s="982"/>
    </row>
    <row r="22" spans="1:11">
      <c r="A22" s="987"/>
      <c r="B22" s="987"/>
      <c r="C22" s="321"/>
      <c r="D22" s="321"/>
      <c r="E22" s="321"/>
      <c r="F22" s="321"/>
      <c r="G22" s="321"/>
      <c r="H22" s="321"/>
      <c r="I22" s="321"/>
      <c r="J22" s="321"/>
      <c r="K22" s="321"/>
    </row>
    <row r="23" spans="1:11" ht="15" customHeight="1">
      <c r="A23" s="331"/>
      <c r="B23" s="331"/>
      <c r="C23" s="321"/>
      <c r="D23" s="321"/>
      <c r="E23" s="982" t="s">
        <v>2011</v>
      </c>
      <c r="F23" s="982"/>
      <c r="G23" s="321"/>
      <c r="H23" s="321"/>
      <c r="I23" s="321"/>
      <c r="J23" s="321"/>
      <c r="K23" s="321"/>
    </row>
    <row r="24" spans="1:11">
      <c r="A24" s="331"/>
      <c r="B24" s="331"/>
      <c r="C24" s="321"/>
      <c r="D24" s="321"/>
      <c r="E24" s="321"/>
      <c r="F24" s="321"/>
      <c r="G24" s="321"/>
      <c r="H24" s="321"/>
      <c r="I24" s="321"/>
      <c r="J24" s="321"/>
      <c r="K24" s="321"/>
    </row>
    <row r="25" spans="1:11">
      <c r="A25" s="988" t="s">
        <v>2012</v>
      </c>
      <c r="B25" s="988"/>
      <c r="C25" s="321"/>
      <c r="D25" s="323" t="s">
        <v>2013</v>
      </c>
      <c r="E25" s="982" t="s">
        <v>2010</v>
      </c>
      <c r="F25" s="982"/>
      <c r="G25" s="982"/>
      <c r="H25" s="982"/>
      <c r="I25" s="982"/>
      <c r="J25" s="982"/>
      <c r="K25" s="982"/>
    </row>
    <row r="26" spans="1:11" ht="8.25" customHeight="1">
      <c r="A26" s="331"/>
      <c r="B26" s="331"/>
      <c r="C26" s="321"/>
      <c r="D26" s="321"/>
      <c r="E26" s="321"/>
      <c r="F26" s="321"/>
      <c r="G26" s="321"/>
      <c r="H26" s="321"/>
      <c r="I26" s="321"/>
      <c r="J26" s="321"/>
      <c r="K26" s="321"/>
    </row>
    <row r="27" spans="1:11">
      <c r="A27" s="331"/>
      <c r="B27" s="331"/>
      <c r="C27" s="321"/>
      <c r="D27" s="321"/>
      <c r="E27" s="982" t="s">
        <v>2010</v>
      </c>
      <c r="F27" s="982"/>
      <c r="G27" s="982"/>
      <c r="H27" s="982"/>
      <c r="I27" s="982"/>
      <c r="J27" s="982"/>
      <c r="K27" s="982"/>
    </row>
    <row r="28" spans="1:11">
      <c r="A28" s="331"/>
      <c r="B28" s="331"/>
      <c r="C28" s="321"/>
      <c r="D28" s="321"/>
      <c r="E28" s="321"/>
      <c r="F28" s="321"/>
      <c r="G28" s="321"/>
      <c r="H28" s="321"/>
      <c r="I28" s="321"/>
      <c r="J28" s="321"/>
      <c r="K28" s="321"/>
    </row>
    <row r="29" spans="1:11">
      <c r="A29" s="988" t="s">
        <v>2014</v>
      </c>
      <c r="B29" s="988"/>
      <c r="C29" s="321"/>
      <c r="D29" s="323" t="s">
        <v>2015</v>
      </c>
      <c r="E29" s="982" t="s">
        <v>2010</v>
      </c>
      <c r="F29" s="982"/>
      <c r="G29" s="982"/>
      <c r="H29" s="982"/>
      <c r="I29" s="982"/>
      <c r="J29" s="982"/>
      <c r="K29" s="982"/>
    </row>
    <row r="30" spans="1:11" ht="6.75" customHeight="1">
      <c r="B30" s="321"/>
      <c r="C30" s="321"/>
      <c r="D30" s="321"/>
      <c r="E30" s="321"/>
      <c r="F30" s="321"/>
      <c r="G30" s="321"/>
      <c r="H30" s="321"/>
      <c r="I30" s="321"/>
      <c r="J30" s="321"/>
      <c r="K30" s="321"/>
    </row>
    <row r="31" spans="1:11">
      <c r="B31" s="321"/>
      <c r="C31" s="321"/>
      <c r="D31" s="323"/>
      <c r="E31" s="982" t="s">
        <v>2010</v>
      </c>
      <c r="F31" s="982"/>
      <c r="G31" s="982"/>
      <c r="H31" s="982"/>
      <c r="I31" s="982"/>
      <c r="J31" s="982"/>
      <c r="K31" s="982"/>
    </row>
    <row r="32" spans="1:11" ht="23.25" customHeight="1">
      <c r="B32" s="321"/>
      <c r="C32" s="321"/>
      <c r="D32" s="321"/>
      <c r="E32" s="323"/>
      <c r="F32" s="323"/>
      <c r="G32" s="982" t="s">
        <v>2016</v>
      </c>
      <c r="H32" s="982"/>
      <c r="I32" s="982"/>
      <c r="J32" s="982" t="s">
        <v>2017</v>
      </c>
      <c r="K32" s="982"/>
    </row>
    <row r="33" spans="1:11" ht="11.25" customHeight="1">
      <c r="A33" s="326"/>
      <c r="B33" s="989"/>
      <c r="C33" s="990"/>
      <c r="D33" s="990"/>
      <c r="E33" s="990"/>
      <c r="F33" s="990"/>
      <c r="G33" s="990"/>
      <c r="H33" s="990"/>
      <c r="I33" s="990"/>
      <c r="J33" s="990"/>
      <c r="K33" s="320"/>
    </row>
    <row r="34" spans="1:11" ht="17.25" customHeight="1">
      <c r="B34" s="321"/>
      <c r="C34" s="321"/>
      <c r="D34" s="321"/>
      <c r="E34" s="321"/>
      <c r="F34" s="321"/>
      <c r="G34" s="321"/>
      <c r="H34" s="321"/>
      <c r="I34" s="982" t="s">
        <v>2018</v>
      </c>
      <c r="J34" s="982"/>
      <c r="K34" s="323"/>
    </row>
    <row r="35" spans="1:11">
      <c r="B35" s="321"/>
      <c r="C35" s="321"/>
      <c r="D35" s="321"/>
      <c r="E35" s="321"/>
      <c r="F35" s="321"/>
      <c r="G35" s="321"/>
      <c r="H35" s="321"/>
      <c r="I35" s="982" t="s">
        <v>2019</v>
      </c>
      <c r="J35" s="982"/>
      <c r="K35" s="982"/>
    </row>
    <row r="36" spans="1:11">
      <c r="B36" s="321"/>
      <c r="C36" s="321"/>
      <c r="D36" s="321"/>
      <c r="E36" s="321"/>
      <c r="F36" s="321"/>
      <c r="G36" s="321"/>
      <c r="H36" s="321"/>
      <c r="I36" s="982" t="s">
        <v>2020</v>
      </c>
      <c r="J36" s="982"/>
      <c r="K36" s="982"/>
    </row>
    <row r="37" spans="1:11">
      <c r="B37" s="321"/>
      <c r="C37" s="321"/>
      <c r="D37" s="321"/>
      <c r="E37" s="321"/>
      <c r="F37" s="321"/>
      <c r="G37" s="321"/>
      <c r="H37" s="321"/>
      <c r="I37" s="982" t="s">
        <v>2021</v>
      </c>
      <c r="J37" s="982"/>
      <c r="K37" s="982"/>
    </row>
    <row r="38" spans="1:11" ht="23.25" customHeight="1">
      <c r="B38" s="321"/>
      <c r="C38" s="321"/>
      <c r="D38" s="982" t="s">
        <v>2022</v>
      </c>
      <c r="E38" s="982"/>
      <c r="F38" s="325"/>
      <c r="G38" s="323" t="s">
        <v>2023</v>
      </c>
      <c r="H38" s="321"/>
      <c r="I38" s="321"/>
      <c r="J38" s="991" t="s">
        <v>2024</v>
      </c>
      <c r="K38" s="991"/>
    </row>
    <row r="39" spans="1:11" ht="13.5" customHeight="1">
      <c r="A39" s="326"/>
      <c r="B39" s="320"/>
      <c r="C39" s="320"/>
      <c r="D39" s="992" t="s">
        <v>2025</v>
      </c>
      <c r="E39" s="992"/>
      <c r="F39" s="992"/>
      <c r="G39" s="992"/>
      <c r="H39" s="992"/>
      <c r="I39" s="992"/>
      <c r="J39" s="320"/>
      <c r="K39" s="320"/>
    </row>
    <row r="40" spans="1:11" ht="22.5" customHeight="1">
      <c r="A40" s="332"/>
      <c r="B40" s="993" t="s">
        <v>2026</v>
      </c>
      <c r="C40" s="993"/>
      <c r="D40" s="993"/>
      <c r="E40" s="993"/>
      <c r="F40" s="993"/>
      <c r="G40" s="993"/>
      <c r="H40" s="993"/>
      <c r="I40" s="993"/>
      <c r="J40" s="993"/>
      <c r="K40" s="333"/>
    </row>
    <row r="41" spans="1:11" ht="18" customHeight="1">
      <c r="B41" s="321"/>
      <c r="C41" s="994" t="s">
        <v>2027</v>
      </c>
      <c r="D41" s="994"/>
      <c r="E41" s="994"/>
      <c r="F41" s="994"/>
      <c r="G41" s="994"/>
      <c r="H41" s="321"/>
      <c r="I41" s="321"/>
      <c r="J41" s="321"/>
      <c r="K41" s="321"/>
    </row>
    <row r="42" spans="1:11" ht="14.25" customHeight="1">
      <c r="B42" s="323"/>
      <c r="C42" s="982" t="s">
        <v>2028</v>
      </c>
      <c r="D42" s="982"/>
      <c r="E42" s="982"/>
      <c r="F42" s="982"/>
      <c r="G42" s="982"/>
      <c r="H42" s="982"/>
      <c r="I42" s="982"/>
      <c r="J42" s="982"/>
      <c r="K42" s="321"/>
    </row>
    <row r="43" spans="1:11" ht="12.75" customHeight="1">
      <c r="B43" s="982" t="s">
        <v>2029</v>
      </c>
      <c r="C43" s="982"/>
      <c r="D43" s="982"/>
      <c r="E43" s="982"/>
      <c r="F43" s="982"/>
      <c r="G43" s="982"/>
      <c r="H43" s="982"/>
      <c r="I43" s="982"/>
      <c r="J43" s="982"/>
      <c r="K43" s="321"/>
    </row>
    <row r="44" spans="1:11" ht="20.25" customHeight="1">
      <c r="B44" s="323"/>
      <c r="C44" s="982" t="s">
        <v>2030</v>
      </c>
      <c r="D44" s="982"/>
      <c r="E44" s="982"/>
      <c r="F44" s="982"/>
      <c r="G44" s="982"/>
      <c r="H44" s="982"/>
      <c r="I44" s="982"/>
      <c r="J44" s="982"/>
      <c r="K44" s="321"/>
    </row>
    <row r="45" spans="1:11" ht="23.25" customHeight="1">
      <c r="B45" s="995" t="s">
        <v>2031</v>
      </c>
      <c r="C45" s="995"/>
      <c r="D45" s="995"/>
      <c r="E45" s="995"/>
      <c r="F45" s="995"/>
      <c r="G45" s="995"/>
      <c r="H45" s="995"/>
      <c r="I45" s="995"/>
      <c r="J45" s="995"/>
      <c r="K45" s="321"/>
    </row>
    <row r="46" spans="1:11" ht="12.75" customHeight="1">
      <c r="B46" s="982" t="s">
        <v>2032</v>
      </c>
      <c r="C46" s="982"/>
      <c r="D46" s="982"/>
      <c r="E46" s="982"/>
      <c r="F46" s="982"/>
      <c r="G46" s="982"/>
      <c r="H46" s="982"/>
      <c r="I46" s="982"/>
      <c r="J46" s="982"/>
      <c r="K46" s="321"/>
    </row>
    <row r="47" spans="1:11" ht="18" customHeight="1">
      <c r="B47" s="323"/>
      <c r="C47" s="982" t="s">
        <v>2033</v>
      </c>
      <c r="D47" s="982"/>
      <c r="E47" s="982"/>
      <c r="F47" s="982"/>
      <c r="G47" s="982"/>
      <c r="H47" s="982"/>
      <c r="I47" s="982"/>
      <c r="J47" s="982"/>
      <c r="K47" s="321"/>
    </row>
    <row r="48" spans="1:11">
      <c r="B48" s="982" t="s">
        <v>2034</v>
      </c>
      <c r="C48" s="982"/>
      <c r="D48" s="982"/>
      <c r="E48" s="982"/>
      <c r="F48" s="982"/>
      <c r="G48" s="982"/>
      <c r="H48" s="982"/>
      <c r="I48" s="982"/>
      <c r="J48" s="982"/>
      <c r="K48" s="321"/>
    </row>
    <row r="49" spans="2:11" ht="18.75" customHeight="1">
      <c r="B49" s="323"/>
      <c r="C49" s="982" t="s">
        <v>2035</v>
      </c>
      <c r="D49" s="982"/>
      <c r="E49" s="982"/>
      <c r="F49" s="982"/>
      <c r="G49" s="982"/>
      <c r="H49" s="982"/>
      <c r="I49" s="982"/>
      <c r="J49" s="982"/>
      <c r="K49" s="321"/>
    </row>
    <row r="50" spans="2:11">
      <c r="B50" s="982" t="s">
        <v>2036</v>
      </c>
      <c r="C50" s="982"/>
      <c r="D50" s="982"/>
      <c r="E50" s="982"/>
      <c r="F50" s="982"/>
      <c r="G50" s="982"/>
      <c r="H50" s="982"/>
      <c r="I50" s="982"/>
      <c r="J50" s="982"/>
      <c r="K50" s="321"/>
    </row>
    <row r="51" spans="2:11" ht="19.5" customHeight="1">
      <c r="B51" s="323"/>
      <c r="C51" s="982" t="s">
        <v>2037</v>
      </c>
      <c r="D51" s="982"/>
      <c r="E51" s="982"/>
      <c r="F51" s="982"/>
      <c r="G51" s="982"/>
      <c r="H51" s="982"/>
      <c r="I51" s="982"/>
      <c r="J51" s="982"/>
      <c r="K51" s="321"/>
    </row>
    <row r="52" spans="2:11">
      <c r="B52" s="982" t="s">
        <v>2038</v>
      </c>
      <c r="C52" s="982"/>
      <c r="D52" s="982"/>
      <c r="E52" s="982"/>
      <c r="F52" s="982"/>
      <c r="G52" s="982"/>
      <c r="H52" s="982"/>
      <c r="I52" s="982"/>
      <c r="J52" s="982"/>
      <c r="K52" s="321"/>
    </row>
    <row r="53" spans="2:11" ht="19.5" customHeight="1">
      <c r="B53" s="323"/>
      <c r="C53" s="982" t="s">
        <v>2039</v>
      </c>
      <c r="D53" s="982"/>
      <c r="E53" s="982"/>
      <c r="F53" s="982"/>
      <c r="G53" s="982"/>
      <c r="H53" s="982"/>
      <c r="I53" s="982"/>
      <c r="J53" s="982"/>
      <c r="K53" s="321"/>
    </row>
    <row r="54" spans="2:11" ht="19.5" customHeight="1">
      <c r="B54" s="982" t="s">
        <v>2040</v>
      </c>
      <c r="C54" s="982"/>
      <c r="D54" s="982"/>
      <c r="E54" s="982"/>
      <c r="F54" s="982"/>
      <c r="G54" s="982"/>
      <c r="H54" s="982"/>
      <c r="I54" s="982"/>
      <c r="J54" s="982"/>
      <c r="K54" s="321"/>
    </row>
    <row r="55" spans="2:11" ht="14.25" customHeight="1">
      <c r="B55" s="323"/>
      <c r="C55" s="982" t="s">
        <v>2041</v>
      </c>
      <c r="D55" s="982"/>
      <c r="E55" s="982"/>
      <c r="F55" s="982"/>
      <c r="G55" s="982"/>
      <c r="H55" s="982"/>
      <c r="I55" s="982"/>
      <c r="J55" s="982"/>
      <c r="K55" s="321"/>
    </row>
    <row r="56" spans="2:11" ht="21" customHeight="1">
      <c r="B56" s="986" t="s">
        <v>2042</v>
      </c>
      <c r="C56" s="986"/>
      <c r="D56" s="986"/>
      <c r="E56" s="986"/>
      <c r="F56" s="986"/>
      <c r="G56" s="986"/>
      <c r="H56" s="986"/>
      <c r="I56" s="986"/>
      <c r="J56" s="986"/>
      <c r="K56" s="321"/>
    </row>
    <row r="57" spans="2:11" ht="21.75" customHeight="1">
      <c r="B57" s="982" t="s">
        <v>2043</v>
      </c>
      <c r="C57" s="982"/>
      <c r="D57" s="982"/>
      <c r="E57" s="982"/>
      <c r="F57" s="982"/>
      <c r="G57" s="982"/>
      <c r="H57" s="982"/>
      <c r="I57" s="982"/>
      <c r="J57" s="982"/>
      <c r="K57" s="321"/>
    </row>
    <row r="58" spans="2:11">
      <c r="B58" s="323"/>
      <c r="C58" s="982" t="s">
        <v>2044</v>
      </c>
      <c r="D58" s="982"/>
      <c r="E58" s="982"/>
      <c r="F58" s="982"/>
      <c r="G58" s="982"/>
      <c r="H58" s="982"/>
      <c r="I58" s="982"/>
      <c r="J58" s="982"/>
      <c r="K58" s="321"/>
    </row>
    <row r="59" spans="2:11" ht="21.75" customHeight="1">
      <c r="B59" s="986" t="s">
        <v>2045</v>
      </c>
      <c r="C59" s="986"/>
      <c r="D59" s="986"/>
      <c r="E59" s="986"/>
      <c r="F59" s="986"/>
      <c r="G59" s="986"/>
      <c r="H59" s="986"/>
      <c r="I59" s="986"/>
      <c r="J59" s="986"/>
      <c r="K59" s="321"/>
    </row>
    <row r="60" spans="2:11">
      <c r="B60" s="321"/>
      <c r="C60" s="321"/>
      <c r="D60" s="321"/>
      <c r="E60" s="321"/>
      <c r="F60" s="321"/>
      <c r="G60" s="321"/>
      <c r="H60" s="321"/>
      <c r="I60" s="321"/>
      <c r="J60" s="321"/>
      <c r="K60" s="321"/>
    </row>
    <row r="61" spans="2:11">
      <c r="B61" s="321"/>
      <c r="C61" s="321"/>
      <c r="D61" s="321"/>
      <c r="E61" s="321"/>
      <c r="F61" s="321"/>
      <c r="G61" s="321"/>
      <c r="H61" s="321"/>
      <c r="I61" s="321"/>
      <c r="J61" s="321"/>
      <c r="K61" s="321"/>
    </row>
    <row r="62" spans="2:11">
      <c r="B62" s="321"/>
      <c r="C62" s="321"/>
      <c r="D62" s="321"/>
      <c r="E62" s="321"/>
      <c r="F62" s="321"/>
      <c r="G62" s="321"/>
      <c r="H62" s="321"/>
      <c r="I62" s="321"/>
      <c r="J62" s="321"/>
      <c r="K62" s="321"/>
    </row>
    <row r="63" spans="2:11">
      <c r="B63" s="321"/>
      <c r="C63" s="321"/>
      <c r="D63" s="321"/>
      <c r="E63" s="321"/>
      <c r="F63" s="321"/>
      <c r="G63" s="321"/>
      <c r="H63" s="321"/>
      <c r="I63" s="321"/>
      <c r="J63" s="321"/>
      <c r="K63" s="321"/>
    </row>
    <row r="64" spans="2:11">
      <c r="B64" s="321"/>
      <c r="C64" s="321"/>
      <c r="D64" s="321"/>
      <c r="E64" s="321"/>
      <c r="F64" s="321"/>
      <c r="G64" s="321"/>
      <c r="H64" s="321"/>
      <c r="I64" s="321"/>
      <c r="J64" s="321"/>
      <c r="K64" s="321"/>
    </row>
    <row r="65" spans="2:11">
      <c r="B65" s="321"/>
      <c r="C65" s="321"/>
      <c r="D65" s="321"/>
      <c r="E65" s="321"/>
      <c r="F65" s="321"/>
      <c r="G65" s="321"/>
      <c r="H65" s="321"/>
      <c r="I65" s="321"/>
      <c r="J65" s="321"/>
      <c r="K65" s="321"/>
    </row>
    <row r="66" spans="2:11">
      <c r="B66" s="321"/>
      <c r="C66" s="321"/>
      <c r="D66" s="321"/>
      <c r="E66" s="321"/>
      <c r="F66" s="321"/>
      <c r="G66" s="321"/>
      <c r="H66" s="321"/>
      <c r="I66" s="321"/>
      <c r="J66" s="321"/>
      <c r="K66" s="321"/>
    </row>
    <row r="67" spans="2:11">
      <c r="B67" s="321"/>
      <c r="C67" s="321"/>
      <c r="D67" s="321"/>
      <c r="E67" s="321"/>
      <c r="F67" s="321"/>
      <c r="G67" s="321"/>
      <c r="H67" s="321"/>
      <c r="I67" s="321"/>
      <c r="J67" s="321"/>
      <c r="K67" s="321"/>
    </row>
    <row r="68" spans="2:11">
      <c r="B68" s="321"/>
      <c r="C68" s="321"/>
      <c r="D68" s="321"/>
      <c r="E68" s="321"/>
      <c r="F68" s="321"/>
      <c r="G68" s="321"/>
      <c r="H68" s="321"/>
      <c r="I68" s="321"/>
      <c r="J68" s="321"/>
      <c r="K68" s="321"/>
    </row>
    <row r="69" spans="2:11">
      <c r="B69" s="321"/>
      <c r="C69" s="321"/>
      <c r="D69" s="321"/>
      <c r="E69" s="321"/>
      <c r="F69" s="321"/>
      <c r="G69" s="321"/>
      <c r="H69" s="321"/>
      <c r="I69" s="321"/>
      <c r="J69" s="321"/>
      <c r="K69" s="321"/>
    </row>
    <row r="70" spans="2:11">
      <c r="B70" s="321"/>
      <c r="C70" s="321"/>
      <c r="D70" s="321"/>
      <c r="E70" s="321"/>
      <c r="F70" s="321"/>
      <c r="G70" s="321"/>
      <c r="H70" s="321"/>
      <c r="I70" s="321"/>
      <c r="J70" s="321"/>
      <c r="K70" s="321"/>
    </row>
    <row r="71" spans="2:11">
      <c r="B71" s="321"/>
      <c r="C71" s="321"/>
      <c r="D71" s="321"/>
      <c r="E71" s="321"/>
      <c r="F71" s="321"/>
      <c r="G71" s="321"/>
      <c r="H71" s="321"/>
      <c r="I71" s="321"/>
      <c r="J71" s="321"/>
      <c r="K71" s="321"/>
    </row>
    <row r="72" spans="2:11">
      <c r="B72" s="321"/>
      <c r="C72" s="321"/>
      <c r="D72" s="321"/>
      <c r="E72" s="321"/>
      <c r="F72" s="321"/>
      <c r="G72" s="321"/>
      <c r="H72" s="321"/>
      <c r="I72" s="321"/>
      <c r="J72" s="321"/>
      <c r="K72" s="321"/>
    </row>
    <row r="73" spans="2:11">
      <c r="B73" s="321"/>
      <c r="C73" s="321"/>
      <c r="D73" s="321"/>
      <c r="E73" s="321"/>
      <c r="F73" s="321"/>
      <c r="G73" s="321"/>
      <c r="H73" s="321"/>
      <c r="I73" s="321"/>
      <c r="J73" s="321"/>
      <c r="K73" s="321"/>
    </row>
    <row r="74" spans="2:11">
      <c r="B74" s="321"/>
      <c r="C74" s="321"/>
      <c r="D74" s="321"/>
      <c r="E74" s="321"/>
      <c r="F74" s="321"/>
      <c r="G74" s="321"/>
      <c r="H74" s="321"/>
      <c r="I74" s="321"/>
      <c r="J74" s="321"/>
      <c r="K74" s="321"/>
    </row>
    <row r="75" spans="2:11">
      <c r="B75" s="321"/>
      <c r="C75" s="321"/>
      <c r="D75" s="321"/>
      <c r="E75" s="321"/>
      <c r="F75" s="321"/>
      <c r="G75" s="321"/>
      <c r="H75" s="321"/>
      <c r="I75" s="321"/>
      <c r="J75" s="321"/>
      <c r="K75" s="321"/>
    </row>
    <row r="76" spans="2:11">
      <c r="B76" s="321"/>
      <c r="C76" s="321"/>
      <c r="D76" s="321"/>
      <c r="E76" s="321"/>
      <c r="F76" s="321"/>
      <c r="G76" s="321"/>
      <c r="H76" s="321"/>
      <c r="I76" s="321"/>
      <c r="J76" s="321"/>
      <c r="K76" s="321"/>
    </row>
    <row r="77" spans="2:11">
      <c r="B77" s="321"/>
      <c r="C77" s="321"/>
      <c r="D77" s="321"/>
      <c r="E77" s="321"/>
      <c r="F77" s="321"/>
      <c r="G77" s="321"/>
      <c r="H77" s="321"/>
      <c r="I77" s="321"/>
      <c r="J77" s="321"/>
      <c r="K77" s="321"/>
    </row>
    <row r="78" spans="2:11">
      <c r="B78" s="321"/>
      <c r="C78" s="321"/>
      <c r="D78" s="321"/>
      <c r="E78" s="321"/>
      <c r="F78" s="321"/>
      <c r="G78" s="321"/>
      <c r="H78" s="321"/>
      <c r="I78" s="321"/>
      <c r="J78" s="321"/>
      <c r="K78" s="321"/>
    </row>
    <row r="79" spans="2:11">
      <c r="B79" s="321"/>
      <c r="C79" s="321"/>
      <c r="D79" s="321"/>
      <c r="E79" s="321"/>
      <c r="F79" s="321"/>
      <c r="G79" s="321"/>
      <c r="H79" s="321"/>
      <c r="I79" s="321"/>
      <c r="J79" s="321"/>
      <c r="K79" s="321"/>
    </row>
    <row r="80" spans="2:11">
      <c r="B80" s="321"/>
      <c r="C80" s="321"/>
      <c r="D80" s="321"/>
      <c r="E80" s="321"/>
      <c r="F80" s="321"/>
      <c r="G80" s="321"/>
      <c r="H80" s="321"/>
      <c r="I80" s="321"/>
      <c r="J80" s="321"/>
      <c r="K80" s="321"/>
    </row>
    <row r="81" spans="2:11">
      <c r="B81" s="321"/>
      <c r="C81" s="321"/>
      <c r="D81" s="321"/>
      <c r="E81" s="321"/>
      <c r="F81" s="321"/>
      <c r="G81" s="321"/>
      <c r="H81" s="321"/>
      <c r="I81" s="321"/>
      <c r="J81" s="321"/>
      <c r="K81" s="321"/>
    </row>
    <row r="82" spans="2:11">
      <c r="B82" s="321"/>
      <c r="C82" s="321"/>
      <c r="D82" s="321"/>
      <c r="E82" s="321"/>
      <c r="F82" s="321"/>
      <c r="G82" s="321"/>
      <c r="H82" s="321"/>
      <c r="I82" s="321"/>
      <c r="J82" s="321"/>
      <c r="K82" s="321"/>
    </row>
    <row r="83" spans="2:11">
      <c r="B83" s="321"/>
      <c r="C83" s="321"/>
      <c r="D83" s="321"/>
      <c r="E83" s="321"/>
      <c r="F83" s="321"/>
      <c r="G83" s="321"/>
      <c r="H83" s="321"/>
      <c r="I83" s="321"/>
      <c r="J83" s="321"/>
      <c r="K83" s="321"/>
    </row>
    <row r="84" spans="2:11">
      <c r="B84" s="321"/>
      <c r="C84" s="321"/>
      <c r="D84" s="321"/>
      <c r="E84" s="321"/>
      <c r="F84" s="321"/>
      <c r="G84" s="321"/>
      <c r="H84" s="321"/>
      <c r="I84" s="321"/>
      <c r="J84" s="321"/>
      <c r="K84" s="321"/>
    </row>
    <row r="85" spans="2:11">
      <c r="B85" s="321"/>
      <c r="C85" s="321"/>
      <c r="D85" s="321"/>
      <c r="E85" s="321"/>
      <c r="F85" s="321"/>
      <c r="G85" s="321"/>
      <c r="H85" s="321"/>
      <c r="I85" s="321"/>
      <c r="J85" s="321"/>
      <c r="K85" s="321"/>
    </row>
    <row r="86" spans="2:11">
      <c r="B86" s="321"/>
      <c r="C86" s="321"/>
      <c r="D86" s="321"/>
      <c r="E86" s="321"/>
      <c r="F86" s="321"/>
      <c r="G86" s="321"/>
      <c r="H86" s="321"/>
      <c r="I86" s="321"/>
      <c r="J86" s="321"/>
      <c r="K86" s="321"/>
    </row>
    <row r="87" spans="2:11">
      <c r="B87" s="321"/>
      <c r="C87" s="321"/>
      <c r="D87" s="321"/>
      <c r="E87" s="321"/>
      <c r="F87" s="321"/>
      <c r="G87" s="321"/>
      <c r="H87" s="321"/>
      <c r="I87" s="321"/>
      <c r="J87" s="321"/>
      <c r="K87" s="321"/>
    </row>
    <row r="88" spans="2:11">
      <c r="B88" s="321"/>
      <c r="C88" s="321"/>
      <c r="D88" s="321"/>
      <c r="E88" s="321"/>
      <c r="F88" s="321"/>
      <c r="G88" s="321"/>
      <c r="H88" s="321"/>
      <c r="I88" s="321"/>
      <c r="J88" s="321"/>
      <c r="K88" s="321"/>
    </row>
    <row r="89" spans="2:11">
      <c r="B89" s="321"/>
      <c r="C89" s="321"/>
      <c r="D89" s="321"/>
      <c r="E89" s="321"/>
      <c r="F89" s="321"/>
      <c r="G89" s="321"/>
      <c r="H89" s="321"/>
      <c r="I89" s="321"/>
      <c r="J89" s="321"/>
      <c r="K89" s="321"/>
    </row>
    <row r="90" spans="2:11">
      <c r="B90" s="321"/>
      <c r="C90" s="321"/>
      <c r="D90" s="321"/>
      <c r="E90" s="321"/>
      <c r="F90" s="321"/>
      <c r="G90" s="321"/>
      <c r="H90" s="321"/>
      <c r="I90" s="321"/>
      <c r="J90" s="321"/>
      <c r="K90" s="321"/>
    </row>
    <row r="91" spans="2:11">
      <c r="B91" s="321"/>
      <c r="C91" s="321"/>
      <c r="D91" s="321"/>
      <c r="E91" s="321"/>
      <c r="F91" s="321"/>
      <c r="G91" s="321"/>
      <c r="H91" s="321"/>
      <c r="I91" s="321"/>
      <c r="J91" s="321"/>
      <c r="K91" s="321"/>
    </row>
    <row r="92" spans="2:11">
      <c r="B92" s="321"/>
      <c r="C92" s="321"/>
      <c r="D92" s="321"/>
      <c r="E92" s="321"/>
      <c r="F92" s="321"/>
      <c r="G92" s="321"/>
      <c r="H92" s="321"/>
      <c r="I92" s="321"/>
      <c r="J92" s="321"/>
      <c r="K92" s="321"/>
    </row>
    <row r="93" spans="2:11">
      <c r="B93" s="321"/>
      <c r="C93" s="321"/>
      <c r="D93" s="321"/>
      <c r="E93" s="321"/>
      <c r="F93" s="321"/>
      <c r="G93" s="321"/>
      <c r="H93" s="321"/>
      <c r="I93" s="321"/>
      <c r="J93" s="321"/>
      <c r="K93" s="321"/>
    </row>
    <row r="94" spans="2:11">
      <c r="B94" s="321"/>
      <c r="C94" s="321"/>
      <c r="D94" s="321"/>
      <c r="E94" s="321"/>
      <c r="F94" s="321"/>
      <c r="G94" s="321"/>
      <c r="H94" s="321"/>
      <c r="I94" s="321"/>
      <c r="J94" s="321"/>
      <c r="K94" s="321"/>
    </row>
    <row r="95" spans="2:11">
      <c r="B95" s="321"/>
      <c r="C95" s="321"/>
      <c r="D95" s="321"/>
      <c r="E95" s="321"/>
      <c r="F95" s="321"/>
      <c r="G95" s="321"/>
      <c r="H95" s="321"/>
      <c r="I95" s="321"/>
      <c r="J95" s="321"/>
      <c r="K95" s="321"/>
    </row>
    <row r="96" spans="2:11">
      <c r="B96" s="321"/>
      <c r="C96" s="321"/>
      <c r="D96" s="321"/>
      <c r="E96" s="321"/>
      <c r="F96" s="321"/>
      <c r="G96" s="321"/>
      <c r="H96" s="321"/>
      <c r="I96" s="321"/>
      <c r="J96" s="321"/>
      <c r="K96" s="321"/>
    </row>
    <row r="97" spans="2:11">
      <c r="B97" s="321"/>
      <c r="C97" s="321"/>
      <c r="D97" s="321"/>
      <c r="E97" s="321"/>
      <c r="F97" s="321"/>
      <c r="G97" s="321"/>
      <c r="H97" s="321"/>
      <c r="I97" s="321"/>
      <c r="J97" s="321"/>
      <c r="K97" s="321"/>
    </row>
    <row r="98" spans="2:11">
      <c r="B98" s="321"/>
      <c r="C98" s="321"/>
      <c r="D98" s="321"/>
      <c r="E98" s="321"/>
      <c r="F98" s="321"/>
      <c r="G98" s="321"/>
      <c r="H98" s="321"/>
      <c r="I98" s="321"/>
      <c r="J98" s="321"/>
      <c r="K98" s="321"/>
    </row>
    <row r="99" spans="2:11">
      <c r="B99" s="321"/>
      <c r="C99" s="321"/>
      <c r="D99" s="321"/>
      <c r="E99" s="321"/>
      <c r="F99" s="321"/>
      <c r="G99" s="321"/>
      <c r="H99" s="321"/>
      <c r="I99" s="321"/>
      <c r="J99" s="321"/>
      <c r="K99" s="321"/>
    </row>
    <row r="100" spans="2:11">
      <c r="B100" s="321"/>
      <c r="C100" s="321"/>
      <c r="D100" s="321"/>
      <c r="E100" s="321"/>
      <c r="F100" s="321"/>
      <c r="G100" s="321"/>
      <c r="H100" s="321"/>
      <c r="I100" s="321"/>
      <c r="J100" s="321"/>
      <c r="K100" s="321"/>
    </row>
    <row r="101" spans="2:11">
      <c r="B101" s="321"/>
      <c r="C101" s="321"/>
      <c r="D101" s="321"/>
      <c r="E101" s="321"/>
      <c r="F101" s="321"/>
      <c r="G101" s="321"/>
      <c r="H101" s="321"/>
      <c r="I101" s="321"/>
      <c r="J101" s="321"/>
      <c r="K101" s="321"/>
    </row>
    <row r="102" spans="2:11">
      <c r="B102" s="321"/>
      <c r="C102" s="321"/>
      <c r="D102" s="321"/>
      <c r="E102" s="321"/>
      <c r="F102" s="321"/>
      <c r="G102" s="321"/>
      <c r="H102" s="321"/>
      <c r="I102" s="321"/>
      <c r="J102" s="321"/>
      <c r="K102" s="321"/>
    </row>
    <row r="103" spans="2:11">
      <c r="B103" s="321"/>
      <c r="C103" s="321"/>
      <c r="D103" s="321"/>
      <c r="E103" s="321"/>
      <c r="F103" s="321"/>
      <c r="G103" s="321"/>
      <c r="H103" s="321"/>
      <c r="I103" s="321"/>
      <c r="J103" s="321"/>
      <c r="K103" s="321"/>
    </row>
    <row r="104" spans="2:11">
      <c r="B104" s="321"/>
      <c r="C104" s="321"/>
      <c r="D104" s="321"/>
      <c r="E104" s="321"/>
      <c r="F104" s="321"/>
      <c r="G104" s="321"/>
      <c r="H104" s="321"/>
      <c r="I104" s="321"/>
      <c r="J104" s="321"/>
      <c r="K104" s="321"/>
    </row>
    <row r="105" spans="2:11">
      <c r="B105" s="321"/>
      <c r="C105" s="321"/>
      <c r="D105" s="321"/>
      <c r="E105" s="321"/>
      <c r="F105" s="321"/>
      <c r="G105" s="321"/>
      <c r="H105" s="321"/>
      <c r="I105" s="321"/>
      <c r="J105" s="321"/>
      <c r="K105" s="321"/>
    </row>
    <row r="106" spans="2:11">
      <c r="B106" s="321"/>
      <c r="C106" s="321"/>
      <c r="D106" s="321"/>
      <c r="E106" s="321"/>
      <c r="F106" s="321"/>
      <c r="G106" s="321"/>
      <c r="H106" s="321"/>
      <c r="I106" s="321"/>
      <c r="J106" s="321"/>
      <c r="K106" s="321"/>
    </row>
    <row r="107" spans="2:11">
      <c r="B107" s="321"/>
      <c r="C107" s="321"/>
      <c r="D107" s="321"/>
      <c r="E107" s="321"/>
      <c r="F107" s="321"/>
      <c r="G107" s="321"/>
      <c r="H107" s="321"/>
      <c r="I107" s="321"/>
      <c r="J107" s="321"/>
      <c r="K107" s="321"/>
    </row>
    <row r="108" spans="2:11">
      <c r="B108" s="321"/>
      <c r="C108" s="321"/>
      <c r="D108" s="321"/>
      <c r="E108" s="321"/>
      <c r="F108" s="321"/>
      <c r="G108" s="321"/>
      <c r="H108" s="321"/>
      <c r="I108" s="321"/>
      <c r="J108" s="321"/>
      <c r="K108" s="321"/>
    </row>
    <row r="109" spans="2:11">
      <c r="B109" s="321"/>
      <c r="C109" s="321"/>
      <c r="D109" s="321"/>
      <c r="E109" s="321"/>
      <c r="F109" s="321"/>
      <c r="G109" s="321"/>
      <c r="H109" s="321"/>
      <c r="I109" s="321"/>
      <c r="J109" s="321"/>
      <c r="K109" s="321"/>
    </row>
    <row r="110" spans="2:11">
      <c r="B110" s="321"/>
      <c r="C110" s="321"/>
      <c r="D110" s="321"/>
      <c r="E110" s="321"/>
      <c r="F110" s="321"/>
      <c r="G110" s="321"/>
      <c r="H110" s="321"/>
      <c r="I110" s="321"/>
      <c r="J110" s="321"/>
      <c r="K110" s="321"/>
    </row>
    <row r="111" spans="2:11">
      <c r="B111" s="321"/>
      <c r="C111" s="321"/>
      <c r="D111" s="321"/>
      <c r="E111" s="321"/>
      <c r="F111" s="321"/>
      <c r="G111" s="321"/>
      <c r="H111" s="321"/>
      <c r="I111" s="321"/>
      <c r="J111" s="321"/>
      <c r="K111" s="321"/>
    </row>
    <row r="112" spans="2:11">
      <c r="B112" s="321"/>
      <c r="C112" s="321"/>
      <c r="D112" s="321"/>
      <c r="E112" s="321"/>
      <c r="F112" s="321"/>
      <c r="G112" s="321"/>
      <c r="H112" s="321"/>
      <c r="I112" s="321"/>
      <c r="J112" s="321"/>
      <c r="K112" s="321"/>
    </row>
    <row r="113" spans="2:11">
      <c r="B113" s="321"/>
      <c r="C113" s="321"/>
      <c r="D113" s="321"/>
      <c r="E113" s="321"/>
      <c r="F113" s="321"/>
      <c r="G113" s="321"/>
      <c r="H113" s="321"/>
      <c r="I113" s="321"/>
      <c r="J113" s="321"/>
      <c r="K113" s="321"/>
    </row>
    <row r="114" spans="2:11">
      <c r="B114" s="321"/>
      <c r="C114" s="321"/>
      <c r="D114" s="321"/>
      <c r="E114" s="321"/>
      <c r="F114" s="321"/>
      <c r="G114" s="321"/>
      <c r="H114" s="321"/>
      <c r="I114" s="321"/>
      <c r="J114" s="321"/>
      <c r="K114" s="321"/>
    </row>
    <row r="115" spans="2:11">
      <c r="B115" s="321"/>
      <c r="C115" s="321"/>
      <c r="D115" s="321"/>
      <c r="E115" s="321"/>
      <c r="F115" s="321"/>
      <c r="G115" s="321"/>
      <c r="H115" s="321"/>
      <c r="I115" s="321"/>
      <c r="J115" s="321"/>
      <c r="K115" s="321"/>
    </row>
    <row r="116" spans="2:11">
      <c r="B116" s="321"/>
      <c r="C116" s="321"/>
      <c r="D116" s="321"/>
      <c r="E116" s="321"/>
      <c r="F116" s="321"/>
      <c r="G116" s="321"/>
      <c r="H116" s="321"/>
      <c r="I116" s="321"/>
      <c r="J116" s="321"/>
      <c r="K116" s="321"/>
    </row>
    <row r="117" spans="2:11">
      <c r="B117" s="321"/>
      <c r="C117" s="321"/>
      <c r="D117" s="321"/>
      <c r="E117" s="321"/>
      <c r="F117" s="321"/>
      <c r="G117" s="321"/>
      <c r="H117" s="321"/>
      <c r="I117" s="321"/>
      <c r="J117" s="321"/>
      <c r="K117" s="321"/>
    </row>
    <row r="118" spans="2:11">
      <c r="B118" s="321"/>
      <c r="C118" s="321"/>
      <c r="D118" s="321"/>
      <c r="E118" s="321"/>
      <c r="F118" s="321"/>
      <c r="G118" s="321"/>
      <c r="H118" s="321"/>
      <c r="I118" s="321"/>
      <c r="J118" s="321"/>
      <c r="K118" s="321"/>
    </row>
    <row r="119" spans="2:11">
      <c r="B119" s="321"/>
      <c r="C119" s="321"/>
      <c r="D119" s="321"/>
      <c r="E119" s="321"/>
      <c r="F119" s="321"/>
      <c r="G119" s="321"/>
      <c r="H119" s="321"/>
      <c r="I119" s="321"/>
      <c r="J119" s="321"/>
      <c r="K119" s="321"/>
    </row>
    <row r="120" spans="2:11">
      <c r="B120" s="321"/>
      <c r="C120" s="321"/>
      <c r="D120" s="321"/>
      <c r="E120" s="321"/>
      <c r="F120" s="321"/>
      <c r="G120" s="321"/>
      <c r="H120" s="321"/>
      <c r="I120" s="321"/>
      <c r="J120" s="321"/>
      <c r="K120" s="321"/>
    </row>
    <row r="121" spans="2:11">
      <c r="B121" s="321"/>
      <c r="C121" s="321"/>
      <c r="D121" s="321"/>
      <c r="E121" s="321"/>
      <c r="F121" s="321"/>
      <c r="G121" s="321"/>
      <c r="H121" s="321"/>
      <c r="I121" s="321"/>
      <c r="J121" s="321"/>
      <c r="K121" s="321"/>
    </row>
    <row r="122" spans="2:11">
      <c r="B122" s="321"/>
      <c r="C122" s="321"/>
      <c r="D122" s="321"/>
      <c r="E122" s="321"/>
      <c r="F122" s="321"/>
      <c r="G122" s="321"/>
      <c r="H122" s="321"/>
      <c r="I122" s="321"/>
      <c r="J122" s="321"/>
      <c r="K122" s="321"/>
    </row>
    <row r="123" spans="2:11">
      <c r="B123" s="321"/>
      <c r="C123" s="321"/>
      <c r="D123" s="321"/>
      <c r="E123" s="321"/>
      <c r="F123" s="321"/>
      <c r="G123" s="321"/>
      <c r="H123" s="321"/>
      <c r="I123" s="321"/>
      <c r="J123" s="321"/>
      <c r="K123" s="321"/>
    </row>
    <row r="124" spans="2:11">
      <c r="B124" s="321"/>
      <c r="C124" s="321"/>
      <c r="D124" s="321"/>
      <c r="E124" s="321"/>
      <c r="F124" s="321"/>
      <c r="G124" s="321"/>
      <c r="H124" s="321"/>
      <c r="I124" s="321"/>
      <c r="J124" s="321"/>
      <c r="K124" s="321"/>
    </row>
    <row r="125" spans="2:11">
      <c r="B125" s="321"/>
      <c r="C125" s="321"/>
      <c r="D125" s="321"/>
      <c r="E125" s="321"/>
      <c r="F125" s="321"/>
      <c r="G125" s="321"/>
      <c r="H125" s="321"/>
      <c r="I125" s="321"/>
      <c r="J125" s="321"/>
      <c r="K125" s="321"/>
    </row>
    <row r="126" spans="2:11">
      <c r="B126" s="321"/>
      <c r="C126" s="321"/>
      <c r="D126" s="321"/>
      <c r="E126" s="321"/>
      <c r="F126" s="321"/>
      <c r="G126" s="321"/>
      <c r="H126" s="321"/>
      <c r="I126" s="321"/>
      <c r="J126" s="321"/>
      <c r="K126" s="321"/>
    </row>
    <row r="127" spans="2:11">
      <c r="B127" s="321"/>
      <c r="C127" s="321"/>
      <c r="D127" s="321"/>
      <c r="E127" s="321"/>
      <c r="F127" s="321"/>
      <c r="G127" s="321"/>
      <c r="H127" s="321"/>
      <c r="I127" s="321"/>
      <c r="J127" s="321"/>
      <c r="K127" s="321"/>
    </row>
    <row r="128" spans="2:11">
      <c r="B128" s="321"/>
      <c r="C128" s="321"/>
      <c r="D128" s="321"/>
      <c r="E128" s="321"/>
      <c r="F128" s="321"/>
      <c r="G128" s="321"/>
      <c r="H128" s="321"/>
      <c r="I128" s="321"/>
      <c r="J128" s="321"/>
      <c r="K128" s="321"/>
    </row>
    <row r="129" spans="2:11">
      <c r="B129" s="321"/>
      <c r="C129" s="321"/>
      <c r="D129" s="321"/>
      <c r="E129" s="321"/>
      <c r="F129" s="321"/>
      <c r="G129" s="321"/>
      <c r="H129" s="321"/>
      <c r="I129" s="321"/>
      <c r="J129" s="321"/>
      <c r="K129" s="321"/>
    </row>
    <row r="130" spans="2:11">
      <c r="B130" s="321"/>
      <c r="C130" s="321"/>
      <c r="D130" s="321"/>
      <c r="E130" s="321"/>
      <c r="F130" s="321"/>
      <c r="G130" s="321"/>
      <c r="H130" s="321"/>
      <c r="I130" s="321"/>
      <c r="J130" s="321"/>
      <c r="K130" s="321"/>
    </row>
    <row r="131" spans="2:11">
      <c r="B131" s="321"/>
      <c r="C131" s="321"/>
      <c r="D131" s="321"/>
      <c r="E131" s="321"/>
      <c r="F131" s="321"/>
      <c r="G131" s="321"/>
      <c r="H131" s="321"/>
      <c r="I131" s="321"/>
      <c r="J131" s="321"/>
      <c r="K131" s="321"/>
    </row>
    <row r="132" spans="2:11">
      <c r="B132" s="321"/>
      <c r="C132" s="321"/>
      <c r="D132" s="321"/>
      <c r="E132" s="321"/>
      <c r="F132" s="321"/>
      <c r="G132" s="321"/>
      <c r="H132" s="321"/>
      <c r="I132" s="321"/>
      <c r="J132" s="321"/>
      <c r="K132" s="321"/>
    </row>
    <row r="133" spans="2:11">
      <c r="B133" s="321"/>
      <c r="C133" s="321"/>
      <c r="D133" s="321"/>
      <c r="E133" s="321"/>
      <c r="F133" s="321"/>
      <c r="G133" s="321"/>
      <c r="H133" s="321"/>
      <c r="I133" s="321"/>
      <c r="J133" s="321"/>
      <c r="K133" s="321"/>
    </row>
    <row r="134" spans="2:11">
      <c r="B134" s="321"/>
      <c r="C134" s="321"/>
      <c r="D134" s="321"/>
      <c r="E134" s="321"/>
      <c r="F134" s="321"/>
      <c r="G134" s="321"/>
      <c r="H134" s="321"/>
      <c r="I134" s="321"/>
      <c r="J134" s="321"/>
      <c r="K134" s="321"/>
    </row>
    <row r="135" spans="2:11">
      <c r="B135" s="321"/>
      <c r="C135" s="321"/>
      <c r="D135" s="321"/>
      <c r="E135" s="321"/>
      <c r="F135" s="321"/>
      <c r="G135" s="321"/>
      <c r="H135" s="321"/>
      <c r="I135" s="321"/>
      <c r="J135" s="321"/>
      <c r="K135" s="321"/>
    </row>
    <row r="136" spans="2:11">
      <c r="B136" s="321"/>
      <c r="C136" s="321"/>
      <c r="D136" s="321"/>
      <c r="E136" s="321"/>
      <c r="F136" s="321"/>
      <c r="G136" s="321"/>
      <c r="H136" s="321"/>
      <c r="I136" s="321"/>
      <c r="J136" s="321"/>
      <c r="K136" s="321"/>
    </row>
    <row r="137" spans="2:11">
      <c r="B137" s="321"/>
      <c r="C137" s="321"/>
      <c r="D137" s="321"/>
      <c r="E137" s="321"/>
      <c r="F137" s="321"/>
      <c r="G137" s="321"/>
      <c r="H137" s="321"/>
      <c r="I137" s="321"/>
      <c r="J137" s="321"/>
      <c r="K137" s="321"/>
    </row>
    <row r="138" spans="2:11">
      <c r="B138" s="321"/>
      <c r="C138" s="321"/>
      <c r="D138" s="321"/>
      <c r="E138" s="321"/>
      <c r="F138" s="321"/>
      <c r="G138" s="321"/>
      <c r="H138" s="321"/>
      <c r="I138" s="321"/>
      <c r="J138" s="321"/>
      <c r="K138" s="321"/>
    </row>
    <row r="139" spans="2:11">
      <c r="B139" s="321"/>
      <c r="C139" s="321"/>
      <c r="D139" s="321"/>
      <c r="E139" s="321"/>
      <c r="F139" s="321"/>
      <c r="G139" s="321"/>
      <c r="H139" s="321"/>
      <c r="I139" s="321"/>
      <c r="J139" s="321"/>
      <c r="K139" s="321"/>
    </row>
    <row r="140" spans="2:11">
      <c r="B140" s="321"/>
      <c r="C140" s="321"/>
      <c r="D140" s="321"/>
      <c r="E140" s="321"/>
      <c r="F140" s="321"/>
      <c r="G140" s="321"/>
      <c r="H140" s="321"/>
      <c r="I140" s="321"/>
      <c r="J140" s="321"/>
      <c r="K140" s="321"/>
    </row>
    <row r="141" spans="2:11">
      <c r="B141" s="321"/>
      <c r="C141" s="321"/>
      <c r="D141" s="321"/>
      <c r="E141" s="321"/>
      <c r="F141" s="321"/>
      <c r="G141" s="321"/>
      <c r="H141" s="321"/>
      <c r="I141" s="321"/>
      <c r="J141" s="321"/>
      <c r="K141" s="321"/>
    </row>
    <row r="142" spans="2:11">
      <c r="B142" s="321"/>
      <c r="C142" s="321"/>
      <c r="D142" s="321"/>
      <c r="E142" s="321"/>
      <c r="F142" s="321"/>
      <c r="G142" s="321"/>
      <c r="H142" s="321"/>
      <c r="I142" s="321"/>
      <c r="J142" s="321"/>
      <c r="K142" s="321"/>
    </row>
    <row r="143" spans="2:11">
      <c r="B143" s="321"/>
      <c r="C143" s="321"/>
      <c r="D143" s="321"/>
      <c r="E143" s="321"/>
      <c r="F143" s="321"/>
      <c r="G143" s="321"/>
      <c r="H143" s="321"/>
      <c r="I143" s="321"/>
      <c r="J143" s="321"/>
      <c r="K143" s="321"/>
    </row>
    <row r="144" spans="2:11">
      <c r="B144" s="321"/>
      <c r="C144" s="321"/>
      <c r="D144" s="321"/>
      <c r="E144" s="321"/>
      <c r="F144" s="321"/>
      <c r="G144" s="321"/>
      <c r="H144" s="321"/>
      <c r="I144" s="321"/>
      <c r="J144" s="321"/>
      <c r="K144" s="321"/>
    </row>
    <row r="145" spans="2:11">
      <c r="B145" s="321"/>
      <c r="C145" s="321"/>
      <c r="D145" s="321"/>
      <c r="E145" s="321"/>
      <c r="F145" s="321"/>
      <c r="G145" s="321"/>
      <c r="H145" s="321"/>
      <c r="I145" s="321"/>
      <c r="J145" s="321"/>
      <c r="K145" s="321"/>
    </row>
    <row r="146" spans="2:11">
      <c r="B146" s="321"/>
      <c r="C146" s="321"/>
      <c r="D146" s="321"/>
      <c r="E146" s="321"/>
      <c r="F146" s="321"/>
      <c r="G146" s="321"/>
      <c r="H146" s="321"/>
      <c r="I146" s="321"/>
      <c r="J146" s="321"/>
      <c r="K146" s="321"/>
    </row>
    <row r="147" spans="2:11">
      <c r="B147" s="321"/>
      <c r="C147" s="321"/>
      <c r="D147" s="321"/>
      <c r="E147" s="321"/>
      <c r="F147" s="321"/>
      <c r="G147" s="321"/>
      <c r="H147" s="321"/>
      <c r="I147" s="321"/>
      <c r="J147" s="321"/>
      <c r="K147" s="321"/>
    </row>
    <row r="148" spans="2:11">
      <c r="B148" s="321"/>
      <c r="C148" s="321"/>
      <c r="D148" s="321"/>
      <c r="E148" s="321"/>
      <c r="F148" s="321"/>
      <c r="G148" s="321"/>
      <c r="H148" s="321"/>
      <c r="I148" s="321"/>
      <c r="J148" s="321"/>
      <c r="K148" s="321"/>
    </row>
    <row r="149" spans="2:11">
      <c r="B149" s="321"/>
      <c r="C149" s="321"/>
      <c r="D149" s="321"/>
      <c r="E149" s="321"/>
      <c r="F149" s="321"/>
      <c r="G149" s="321"/>
      <c r="H149" s="321"/>
      <c r="I149" s="321"/>
      <c r="J149" s="321"/>
      <c r="K149" s="321"/>
    </row>
    <row r="150" spans="2:11">
      <c r="B150" s="321"/>
      <c r="C150" s="321"/>
      <c r="D150" s="321"/>
      <c r="E150" s="321"/>
      <c r="F150" s="321"/>
      <c r="G150" s="321"/>
      <c r="H150" s="321"/>
      <c r="I150" s="321"/>
      <c r="J150" s="321"/>
      <c r="K150" s="321"/>
    </row>
    <row r="151" spans="2:11">
      <c r="B151" s="321"/>
      <c r="C151" s="321"/>
      <c r="D151" s="321"/>
      <c r="E151" s="321"/>
      <c r="F151" s="321"/>
      <c r="G151" s="321"/>
      <c r="H151" s="321"/>
      <c r="I151" s="321"/>
      <c r="J151" s="321"/>
      <c r="K151" s="321"/>
    </row>
    <row r="152" spans="2:11">
      <c r="B152" s="321"/>
      <c r="C152" s="321"/>
      <c r="D152" s="321"/>
      <c r="E152" s="321"/>
      <c r="F152" s="321"/>
      <c r="G152" s="321"/>
      <c r="H152" s="321"/>
      <c r="I152" s="321"/>
      <c r="J152" s="321"/>
      <c r="K152" s="321"/>
    </row>
    <row r="153" spans="2:11">
      <c r="B153" s="321"/>
      <c r="C153" s="321"/>
      <c r="D153" s="321"/>
      <c r="E153" s="321"/>
      <c r="F153" s="321"/>
      <c r="G153" s="321"/>
      <c r="H153" s="321"/>
      <c r="I153" s="321"/>
      <c r="J153" s="321"/>
      <c r="K153" s="321"/>
    </row>
    <row r="154" spans="2:11">
      <c r="B154" s="321"/>
      <c r="C154" s="321"/>
      <c r="D154" s="321"/>
      <c r="E154" s="321"/>
      <c r="F154" s="321"/>
      <c r="G154" s="321"/>
      <c r="H154" s="321"/>
      <c r="I154" s="321"/>
      <c r="J154" s="321"/>
      <c r="K154" s="321"/>
    </row>
    <row r="155" spans="2:11">
      <c r="B155" s="321"/>
      <c r="C155" s="321"/>
      <c r="D155" s="321"/>
      <c r="E155" s="321"/>
      <c r="F155" s="321"/>
      <c r="G155" s="321"/>
      <c r="H155" s="321"/>
      <c r="I155" s="321"/>
      <c r="J155" s="321"/>
      <c r="K155" s="321"/>
    </row>
    <row r="156" spans="2:11">
      <c r="B156" s="321"/>
      <c r="C156" s="321"/>
      <c r="D156" s="321"/>
      <c r="E156" s="321"/>
      <c r="F156" s="321"/>
      <c r="G156" s="321"/>
      <c r="H156" s="321"/>
      <c r="I156" s="321"/>
      <c r="J156" s="321"/>
      <c r="K156" s="321"/>
    </row>
    <row r="157" spans="2:11">
      <c r="B157" s="321"/>
      <c r="C157" s="321"/>
      <c r="D157" s="321"/>
      <c r="E157" s="321"/>
      <c r="F157" s="321"/>
      <c r="G157" s="321"/>
      <c r="H157" s="321"/>
      <c r="I157" s="321"/>
      <c r="J157" s="321"/>
      <c r="K157" s="321"/>
    </row>
    <row r="158" spans="2:11">
      <c r="B158" s="321"/>
      <c r="C158" s="321"/>
      <c r="D158" s="321"/>
      <c r="E158" s="321"/>
      <c r="F158" s="321"/>
      <c r="G158" s="321"/>
      <c r="H158" s="321"/>
      <c r="I158" s="321"/>
      <c r="J158" s="321"/>
      <c r="K158" s="321"/>
    </row>
    <row r="159" spans="2:11">
      <c r="B159" s="321"/>
      <c r="C159" s="321"/>
      <c r="D159" s="321"/>
      <c r="E159" s="321"/>
      <c r="F159" s="321"/>
      <c r="G159" s="321"/>
      <c r="H159" s="321"/>
      <c r="I159" s="321"/>
      <c r="J159" s="321"/>
      <c r="K159" s="321"/>
    </row>
    <row r="160" spans="2:11">
      <c r="B160" s="321"/>
      <c r="C160" s="321"/>
      <c r="D160" s="321"/>
      <c r="E160" s="321"/>
      <c r="F160" s="321"/>
      <c r="G160" s="321"/>
      <c r="H160" s="321"/>
      <c r="I160" s="321"/>
      <c r="J160" s="321"/>
      <c r="K160" s="321"/>
    </row>
    <row r="161" spans="2:11">
      <c r="B161" s="321"/>
      <c r="C161" s="321"/>
      <c r="D161" s="321"/>
      <c r="E161" s="321"/>
      <c r="F161" s="321"/>
      <c r="G161" s="321"/>
      <c r="H161" s="321"/>
      <c r="I161" s="321"/>
      <c r="J161" s="321"/>
      <c r="K161" s="321"/>
    </row>
    <row r="162" spans="2:11">
      <c r="B162" s="321"/>
      <c r="C162" s="321"/>
      <c r="D162" s="321"/>
      <c r="E162" s="321"/>
      <c r="F162" s="321"/>
      <c r="G162" s="321"/>
      <c r="H162" s="321"/>
      <c r="I162" s="321"/>
      <c r="J162" s="321"/>
      <c r="K162" s="321"/>
    </row>
    <row r="163" spans="2:11">
      <c r="B163" s="321"/>
      <c r="C163" s="321"/>
      <c r="D163" s="321"/>
      <c r="E163" s="321"/>
      <c r="F163" s="321"/>
      <c r="G163" s="321"/>
      <c r="H163" s="321"/>
      <c r="I163" s="321"/>
      <c r="J163" s="321"/>
      <c r="K163" s="321"/>
    </row>
    <row r="164" spans="2:11">
      <c r="B164" s="321"/>
      <c r="C164" s="321"/>
      <c r="D164" s="321"/>
      <c r="E164" s="321"/>
      <c r="F164" s="321"/>
      <c r="G164" s="321"/>
      <c r="H164" s="321"/>
      <c r="I164" s="321"/>
      <c r="J164" s="321"/>
      <c r="K164" s="321"/>
    </row>
    <row r="165" spans="2:11">
      <c r="B165" s="321"/>
      <c r="C165" s="321"/>
      <c r="D165" s="321"/>
      <c r="E165" s="321"/>
      <c r="F165" s="321"/>
      <c r="G165" s="321"/>
      <c r="H165" s="321"/>
      <c r="I165" s="321"/>
      <c r="J165" s="321"/>
      <c r="K165" s="321"/>
    </row>
    <row r="166" spans="2:11">
      <c r="B166" s="321"/>
      <c r="C166" s="321"/>
      <c r="D166" s="321"/>
      <c r="E166" s="321"/>
      <c r="F166" s="321"/>
      <c r="G166" s="321"/>
      <c r="H166" s="321"/>
      <c r="I166" s="321"/>
      <c r="J166" s="321"/>
      <c r="K166" s="321"/>
    </row>
    <row r="167" spans="2:11">
      <c r="B167" s="321"/>
      <c r="C167" s="321"/>
      <c r="D167" s="321"/>
      <c r="E167" s="321"/>
      <c r="F167" s="321"/>
      <c r="G167" s="321"/>
      <c r="H167" s="321"/>
      <c r="I167" s="321"/>
      <c r="J167" s="321"/>
      <c r="K167" s="321"/>
    </row>
    <row r="168" spans="2:11">
      <c r="B168" s="321"/>
      <c r="C168" s="321"/>
      <c r="D168" s="321"/>
      <c r="E168" s="321"/>
      <c r="F168" s="321"/>
      <c r="G168" s="321"/>
      <c r="H168" s="321"/>
      <c r="I168" s="321"/>
      <c r="J168" s="321"/>
      <c r="K168" s="321"/>
    </row>
    <row r="169" spans="2:11">
      <c r="B169" s="321"/>
      <c r="C169" s="321"/>
      <c r="D169" s="321"/>
      <c r="E169" s="321"/>
      <c r="F169" s="321"/>
      <c r="G169" s="321"/>
      <c r="H169" s="321"/>
      <c r="I169" s="321"/>
      <c r="J169" s="321"/>
      <c r="K169" s="321"/>
    </row>
    <row r="170" spans="2:11">
      <c r="B170" s="321"/>
      <c r="C170" s="321"/>
      <c r="D170" s="321"/>
      <c r="E170" s="321"/>
      <c r="F170" s="321"/>
      <c r="G170" s="321"/>
      <c r="H170" s="321"/>
      <c r="I170" s="321"/>
      <c r="J170" s="321"/>
      <c r="K170" s="321"/>
    </row>
    <row r="171" spans="2:11">
      <c r="B171" s="321"/>
      <c r="C171" s="321"/>
      <c r="D171" s="321"/>
      <c r="E171" s="321"/>
      <c r="F171" s="321"/>
      <c r="G171" s="321"/>
      <c r="H171" s="321"/>
      <c r="I171" s="321"/>
      <c r="J171" s="321"/>
      <c r="K171" s="321"/>
    </row>
    <row r="172" spans="2:11">
      <c r="B172" s="321"/>
      <c r="C172" s="321"/>
      <c r="D172" s="321"/>
      <c r="E172" s="321"/>
      <c r="F172" s="321"/>
      <c r="G172" s="321"/>
      <c r="H172" s="321"/>
      <c r="I172" s="321"/>
      <c r="J172" s="321"/>
      <c r="K172" s="321"/>
    </row>
    <row r="173" spans="2:11">
      <c r="B173" s="321"/>
      <c r="C173" s="321"/>
      <c r="D173" s="321"/>
      <c r="E173" s="321"/>
      <c r="F173" s="321"/>
      <c r="G173" s="321"/>
      <c r="H173" s="321"/>
      <c r="I173" s="321"/>
      <c r="J173" s="321"/>
      <c r="K173" s="321"/>
    </row>
    <row r="174" spans="2:11">
      <c r="B174" s="321"/>
      <c r="C174" s="321"/>
      <c r="D174" s="321"/>
      <c r="E174" s="321"/>
      <c r="F174" s="321"/>
      <c r="G174" s="321"/>
      <c r="H174" s="321"/>
      <c r="I174" s="321"/>
      <c r="J174" s="321"/>
      <c r="K174" s="321"/>
    </row>
    <row r="175" spans="2:11">
      <c r="B175" s="321"/>
      <c r="C175" s="321"/>
      <c r="D175" s="321"/>
      <c r="E175" s="321"/>
      <c r="F175" s="321"/>
      <c r="G175" s="321"/>
      <c r="H175" s="321"/>
      <c r="I175" s="321"/>
      <c r="J175" s="321"/>
      <c r="K175" s="321"/>
    </row>
    <row r="176" spans="2:11">
      <c r="B176" s="321"/>
      <c r="C176" s="321"/>
      <c r="D176" s="321"/>
      <c r="E176" s="321"/>
      <c r="F176" s="321"/>
      <c r="G176" s="321"/>
      <c r="H176" s="321"/>
      <c r="I176" s="321"/>
      <c r="J176" s="321"/>
      <c r="K176" s="321"/>
    </row>
    <row r="177" spans="2:11">
      <c r="B177" s="321"/>
      <c r="C177" s="321"/>
      <c r="D177" s="321"/>
      <c r="E177" s="321"/>
      <c r="F177" s="321"/>
      <c r="G177" s="321"/>
      <c r="H177" s="321"/>
      <c r="I177" s="321"/>
      <c r="J177" s="321"/>
      <c r="K177" s="321"/>
    </row>
    <row r="178" spans="2:11">
      <c r="B178" s="321"/>
      <c r="C178" s="321"/>
      <c r="D178" s="321"/>
      <c r="E178" s="321"/>
      <c r="F178" s="321"/>
      <c r="G178" s="321"/>
      <c r="H178" s="321"/>
      <c r="I178" s="321"/>
      <c r="J178" s="321"/>
      <c r="K178" s="321"/>
    </row>
    <row r="179" spans="2:11">
      <c r="B179" s="321"/>
      <c r="C179" s="321"/>
      <c r="D179" s="321"/>
      <c r="E179" s="321"/>
      <c r="F179" s="321"/>
      <c r="G179" s="321"/>
      <c r="H179" s="321"/>
      <c r="I179" s="321"/>
      <c r="J179" s="321"/>
      <c r="K179" s="321"/>
    </row>
    <row r="180" spans="2:11">
      <c r="B180" s="321"/>
      <c r="C180" s="321"/>
      <c r="D180" s="321"/>
      <c r="E180" s="321"/>
      <c r="F180" s="321"/>
      <c r="G180" s="321"/>
      <c r="H180" s="321"/>
      <c r="I180" s="321"/>
      <c r="J180" s="321"/>
      <c r="K180" s="321"/>
    </row>
    <row r="181" spans="2:11">
      <c r="B181" s="321"/>
      <c r="C181" s="321"/>
      <c r="D181" s="321"/>
      <c r="E181" s="321"/>
      <c r="F181" s="321"/>
      <c r="G181" s="321"/>
      <c r="H181" s="321"/>
      <c r="I181" s="321"/>
      <c r="J181" s="321"/>
      <c r="K181" s="321"/>
    </row>
    <row r="182" spans="2:11">
      <c r="B182" s="321"/>
      <c r="C182" s="321"/>
      <c r="D182" s="321"/>
      <c r="E182" s="321"/>
      <c r="F182" s="321"/>
      <c r="G182" s="321"/>
      <c r="H182" s="321"/>
      <c r="I182" s="321"/>
      <c r="J182" s="321"/>
      <c r="K182" s="321"/>
    </row>
    <row r="183" spans="2:11">
      <c r="B183" s="321"/>
      <c r="C183" s="321"/>
      <c r="D183" s="321"/>
      <c r="E183" s="321"/>
      <c r="F183" s="321"/>
      <c r="G183" s="321"/>
      <c r="H183" s="321"/>
      <c r="I183" s="321"/>
      <c r="J183" s="321"/>
      <c r="K183" s="321"/>
    </row>
    <row r="184" spans="2:11">
      <c r="B184" s="321"/>
      <c r="C184" s="321"/>
      <c r="D184" s="321"/>
      <c r="E184" s="321"/>
      <c r="F184" s="321"/>
      <c r="G184" s="321"/>
      <c r="H184" s="321"/>
      <c r="I184" s="321"/>
      <c r="J184" s="321"/>
      <c r="K184" s="321"/>
    </row>
    <row r="185" spans="2:11">
      <c r="B185" s="321"/>
      <c r="C185" s="321"/>
      <c r="D185" s="321"/>
      <c r="E185" s="321"/>
      <c r="F185" s="321"/>
      <c r="G185" s="321"/>
      <c r="H185" s="321"/>
      <c r="I185" s="321"/>
      <c r="J185" s="321"/>
      <c r="K185" s="321"/>
    </row>
    <row r="186" spans="2:11">
      <c r="B186" s="321"/>
      <c r="C186" s="321"/>
      <c r="D186" s="321"/>
      <c r="E186" s="321"/>
      <c r="F186" s="321"/>
      <c r="G186" s="321"/>
      <c r="H186" s="321"/>
      <c r="I186" s="321"/>
      <c r="J186" s="321"/>
      <c r="K186" s="321"/>
    </row>
    <row r="187" spans="2:11">
      <c r="B187" s="321"/>
      <c r="C187" s="321"/>
      <c r="D187" s="321"/>
      <c r="E187" s="321"/>
      <c r="F187" s="321"/>
      <c r="G187" s="321"/>
      <c r="H187" s="321"/>
      <c r="I187" s="321"/>
      <c r="J187" s="321"/>
      <c r="K187" s="321"/>
    </row>
    <row r="188" spans="2:11">
      <c r="B188" s="321"/>
      <c r="C188" s="321"/>
      <c r="D188" s="321"/>
      <c r="E188" s="321"/>
      <c r="F188" s="321"/>
      <c r="G188" s="321"/>
      <c r="H188" s="321"/>
      <c r="I188" s="321"/>
      <c r="J188" s="321"/>
      <c r="K188" s="321"/>
    </row>
    <row r="189" spans="2:11">
      <c r="B189" s="321"/>
      <c r="C189" s="321"/>
      <c r="D189" s="321"/>
      <c r="E189" s="321"/>
      <c r="F189" s="321"/>
      <c r="G189" s="321"/>
      <c r="H189" s="321"/>
      <c r="I189" s="321"/>
      <c r="J189" s="321"/>
      <c r="K189" s="321"/>
    </row>
    <row r="190" spans="2:11">
      <c r="B190" s="321"/>
      <c r="C190" s="321"/>
      <c r="D190" s="321"/>
      <c r="E190" s="321"/>
      <c r="F190" s="321"/>
      <c r="G190" s="321"/>
      <c r="H190" s="321"/>
      <c r="I190" s="321"/>
      <c r="J190" s="321"/>
      <c r="K190" s="321"/>
    </row>
    <row r="191" spans="2:11">
      <c r="B191" s="321"/>
      <c r="C191" s="321"/>
      <c r="D191" s="321"/>
      <c r="E191" s="321"/>
      <c r="F191" s="321"/>
      <c r="G191" s="321"/>
      <c r="H191" s="321"/>
      <c r="I191" s="321"/>
      <c r="J191" s="321"/>
      <c r="K191" s="321"/>
    </row>
    <row r="192" spans="2:11">
      <c r="B192" s="321"/>
      <c r="C192" s="321"/>
      <c r="D192" s="321"/>
      <c r="E192" s="321"/>
      <c r="F192" s="321"/>
      <c r="G192" s="321"/>
      <c r="H192" s="321"/>
      <c r="I192" s="321"/>
      <c r="J192" s="321"/>
      <c r="K192" s="321"/>
    </row>
    <row r="193" spans="2:11">
      <c r="B193" s="321"/>
      <c r="C193" s="321"/>
      <c r="D193" s="321"/>
      <c r="E193" s="321"/>
      <c r="F193" s="321"/>
      <c r="G193" s="321"/>
      <c r="H193" s="321"/>
      <c r="I193" s="321"/>
      <c r="J193" s="321"/>
      <c r="K193" s="321"/>
    </row>
    <row r="194" spans="2:11">
      <c r="B194" s="321"/>
      <c r="C194" s="321"/>
      <c r="D194" s="321"/>
      <c r="E194" s="321"/>
      <c r="F194" s="321"/>
      <c r="G194" s="321"/>
      <c r="H194" s="321"/>
      <c r="I194" s="321"/>
      <c r="J194" s="321"/>
      <c r="K194" s="321"/>
    </row>
    <row r="195" spans="2:11">
      <c r="B195" s="321"/>
      <c r="C195" s="321"/>
      <c r="D195" s="321"/>
      <c r="E195" s="321"/>
      <c r="F195" s="321"/>
      <c r="G195" s="321"/>
      <c r="H195" s="321"/>
      <c r="I195" s="321"/>
      <c r="J195" s="321"/>
      <c r="K195" s="321"/>
    </row>
    <row r="196" spans="2:11">
      <c r="B196" s="321"/>
      <c r="C196" s="321"/>
      <c r="D196" s="321"/>
      <c r="E196" s="321"/>
      <c r="F196" s="321"/>
      <c r="G196" s="321"/>
      <c r="H196" s="321"/>
      <c r="I196" s="321"/>
      <c r="J196" s="321"/>
      <c r="K196" s="321"/>
    </row>
    <row r="197" spans="2:11">
      <c r="B197" s="321"/>
      <c r="C197" s="321"/>
      <c r="D197" s="321"/>
      <c r="E197" s="321"/>
      <c r="F197" s="321"/>
      <c r="G197" s="321"/>
      <c r="H197" s="321"/>
      <c r="I197" s="321"/>
      <c r="J197" s="321"/>
      <c r="K197" s="321"/>
    </row>
    <row r="198" spans="2:11">
      <c r="B198" s="321"/>
      <c r="C198" s="321"/>
      <c r="D198" s="321"/>
      <c r="E198" s="321"/>
      <c r="F198" s="321"/>
      <c r="G198" s="321"/>
      <c r="H198" s="321"/>
      <c r="I198" s="321"/>
      <c r="J198" s="321"/>
      <c r="K198" s="321"/>
    </row>
    <row r="199" spans="2:11">
      <c r="B199" s="321"/>
      <c r="C199" s="321"/>
      <c r="D199" s="321"/>
      <c r="E199" s="321"/>
      <c r="F199" s="321"/>
      <c r="G199" s="321"/>
      <c r="H199" s="321"/>
      <c r="I199" s="321"/>
      <c r="J199" s="321"/>
      <c r="K199" s="321"/>
    </row>
    <row r="200" spans="2:11">
      <c r="B200" s="321"/>
      <c r="C200" s="321"/>
      <c r="D200" s="321"/>
      <c r="E200" s="321"/>
      <c r="F200" s="321"/>
      <c r="G200" s="321"/>
      <c r="H200" s="321"/>
      <c r="I200" s="321"/>
      <c r="J200" s="321"/>
      <c r="K200" s="321"/>
    </row>
    <row r="201" spans="2:11">
      <c r="B201" s="321"/>
      <c r="C201" s="321"/>
      <c r="D201" s="321"/>
      <c r="E201" s="321"/>
      <c r="F201" s="321"/>
      <c r="G201" s="321"/>
      <c r="H201" s="321"/>
      <c r="I201" s="321"/>
      <c r="J201" s="321"/>
      <c r="K201" s="321"/>
    </row>
    <row r="202" spans="2:11">
      <c r="B202" s="321"/>
      <c r="C202" s="321"/>
      <c r="D202" s="321"/>
      <c r="E202" s="321"/>
      <c r="F202" s="321"/>
      <c r="G202" s="321"/>
      <c r="H202" s="321"/>
      <c r="I202" s="321"/>
      <c r="J202" s="321"/>
      <c r="K202" s="321"/>
    </row>
    <row r="203" spans="2:11">
      <c r="B203" s="321"/>
      <c r="C203" s="321"/>
      <c r="D203" s="321"/>
      <c r="E203" s="321"/>
      <c r="F203" s="321"/>
      <c r="G203" s="321"/>
      <c r="H203" s="321"/>
      <c r="I203" s="321"/>
      <c r="J203" s="321"/>
      <c r="K203" s="321"/>
    </row>
    <row r="204" spans="2:11">
      <c r="B204" s="321"/>
      <c r="C204" s="321"/>
      <c r="D204" s="321"/>
      <c r="E204" s="321"/>
      <c r="F204" s="321"/>
      <c r="G204" s="321"/>
      <c r="H204" s="321"/>
      <c r="I204" s="321"/>
      <c r="J204" s="321"/>
      <c r="K204" s="321"/>
    </row>
    <row r="205" spans="2:11">
      <c r="B205" s="321"/>
      <c r="C205" s="321"/>
      <c r="D205" s="321"/>
      <c r="E205" s="321"/>
      <c r="F205" s="321"/>
      <c r="G205" s="321"/>
      <c r="H205" s="321"/>
      <c r="I205" s="321"/>
      <c r="J205" s="321"/>
      <c r="K205" s="321"/>
    </row>
    <row r="206" spans="2:11">
      <c r="B206" s="321"/>
      <c r="C206" s="321"/>
      <c r="D206" s="321"/>
      <c r="E206" s="321"/>
      <c r="F206" s="321"/>
      <c r="G206" s="321"/>
      <c r="H206" s="321"/>
      <c r="I206" s="321"/>
      <c r="J206" s="321"/>
      <c r="K206" s="321"/>
    </row>
    <row r="207" spans="2:11">
      <c r="B207" s="321"/>
      <c r="C207" s="321"/>
      <c r="D207" s="321"/>
      <c r="E207" s="321"/>
      <c r="F207" s="321"/>
      <c r="G207" s="321"/>
      <c r="H207" s="321"/>
      <c r="I207" s="321"/>
      <c r="J207" s="321"/>
      <c r="K207" s="321"/>
    </row>
    <row r="208" spans="2:11">
      <c r="B208" s="321"/>
      <c r="C208" s="321"/>
      <c r="D208" s="321"/>
      <c r="E208" s="321"/>
      <c r="F208" s="321"/>
      <c r="G208" s="321"/>
      <c r="H208" s="321"/>
      <c r="I208" s="321"/>
      <c r="J208" s="321"/>
      <c r="K208" s="321"/>
    </row>
    <row r="209" spans="2:11">
      <c r="B209" s="321"/>
      <c r="C209" s="321"/>
      <c r="D209" s="321"/>
      <c r="E209" s="321"/>
      <c r="F209" s="321"/>
      <c r="G209" s="321"/>
      <c r="H209" s="321"/>
      <c r="I209" s="321"/>
      <c r="J209" s="321"/>
      <c r="K209" s="321"/>
    </row>
    <row r="210" spans="2:11">
      <c r="B210" s="321"/>
      <c r="C210" s="321"/>
      <c r="D210" s="321"/>
      <c r="E210" s="321"/>
      <c r="F210" s="321"/>
      <c r="G210" s="321"/>
      <c r="H210" s="321"/>
      <c r="I210" s="321"/>
      <c r="J210" s="321"/>
      <c r="K210" s="321"/>
    </row>
    <row r="211" spans="2:11">
      <c r="B211" s="321"/>
      <c r="C211" s="321"/>
      <c r="D211" s="321"/>
      <c r="E211" s="321"/>
      <c r="F211" s="321"/>
      <c r="G211" s="321"/>
      <c r="H211" s="321"/>
      <c r="I211" s="321"/>
      <c r="J211" s="321"/>
      <c r="K211" s="321"/>
    </row>
    <row r="212" spans="2:11">
      <c r="B212" s="321"/>
      <c r="C212" s="321"/>
      <c r="D212" s="321"/>
      <c r="E212" s="321"/>
      <c r="F212" s="321"/>
      <c r="G212" s="321"/>
      <c r="H212" s="321"/>
      <c r="I212" s="321"/>
      <c r="J212" s="321"/>
      <c r="K212" s="321"/>
    </row>
    <row r="213" spans="2:11">
      <c r="B213" s="321"/>
      <c r="C213" s="321"/>
      <c r="D213" s="321"/>
      <c r="E213" s="321"/>
      <c r="F213" s="321"/>
      <c r="G213" s="321"/>
      <c r="H213" s="321"/>
      <c r="I213" s="321"/>
      <c r="J213" s="321"/>
      <c r="K213" s="321"/>
    </row>
    <row r="214" spans="2:11">
      <c r="B214" s="321"/>
      <c r="C214" s="321"/>
      <c r="D214" s="321"/>
      <c r="E214" s="321"/>
      <c r="F214" s="321"/>
      <c r="G214" s="321"/>
      <c r="H214" s="321"/>
      <c r="I214" s="321"/>
      <c r="J214" s="321"/>
      <c r="K214" s="321"/>
    </row>
    <row r="215" spans="2:11">
      <c r="B215" s="321"/>
      <c r="C215" s="321"/>
      <c r="D215" s="321"/>
      <c r="E215" s="321"/>
      <c r="F215" s="321"/>
      <c r="G215" s="321"/>
      <c r="H215" s="321"/>
      <c r="I215" s="321"/>
      <c r="J215" s="321"/>
      <c r="K215" s="321"/>
    </row>
    <row r="216" spans="2:11">
      <c r="B216" s="321"/>
      <c r="C216" s="321"/>
      <c r="D216" s="321"/>
      <c r="E216" s="321"/>
      <c r="F216" s="321"/>
      <c r="G216" s="321"/>
      <c r="H216" s="321"/>
      <c r="I216" s="321"/>
      <c r="J216" s="321"/>
      <c r="K216" s="321"/>
    </row>
    <row r="217" spans="2:11">
      <c r="B217" s="321"/>
      <c r="C217" s="321"/>
      <c r="D217" s="321"/>
      <c r="E217" s="321"/>
      <c r="F217" s="321"/>
      <c r="G217" s="321"/>
      <c r="H217" s="321"/>
      <c r="I217" s="321"/>
      <c r="J217" s="321"/>
      <c r="K217" s="321"/>
    </row>
    <row r="218" spans="2:11">
      <c r="B218" s="321"/>
      <c r="C218" s="321"/>
      <c r="D218" s="321"/>
      <c r="E218" s="321"/>
      <c r="F218" s="321"/>
      <c r="G218" s="321"/>
      <c r="H218" s="321"/>
      <c r="I218" s="321"/>
      <c r="J218" s="321"/>
      <c r="K218" s="321"/>
    </row>
    <row r="219" spans="2:11">
      <c r="B219" s="321"/>
      <c r="C219" s="321"/>
      <c r="D219" s="321"/>
      <c r="E219" s="321"/>
      <c r="F219" s="321"/>
      <c r="G219" s="321"/>
      <c r="H219" s="321"/>
      <c r="I219" s="321"/>
      <c r="J219" s="321"/>
      <c r="K219" s="321"/>
    </row>
    <row r="220" spans="2:11">
      <c r="B220" s="321"/>
      <c r="C220" s="321"/>
      <c r="D220" s="321"/>
      <c r="E220" s="321"/>
      <c r="F220" s="321"/>
      <c r="G220" s="321"/>
      <c r="H220" s="321"/>
      <c r="I220" s="321"/>
      <c r="J220" s="321"/>
      <c r="K220" s="321"/>
    </row>
    <row r="221" spans="2:11">
      <c r="B221" s="321"/>
      <c r="C221" s="321"/>
      <c r="D221" s="321"/>
      <c r="E221" s="321"/>
      <c r="F221" s="321"/>
      <c r="G221" s="321"/>
      <c r="H221" s="321"/>
      <c r="I221" s="321"/>
      <c r="J221" s="321"/>
      <c r="K221" s="321"/>
    </row>
    <row r="222" spans="2:11">
      <c r="B222" s="321"/>
      <c r="C222" s="321"/>
      <c r="D222" s="321"/>
      <c r="E222" s="321"/>
      <c r="F222" s="321"/>
      <c r="G222" s="321"/>
      <c r="H222" s="321"/>
      <c r="I222" s="321"/>
      <c r="J222" s="321"/>
      <c r="K222" s="321"/>
    </row>
    <row r="223" spans="2:11">
      <c r="B223" s="321"/>
      <c r="C223" s="321"/>
      <c r="D223" s="321"/>
      <c r="E223" s="321"/>
      <c r="F223" s="321"/>
      <c r="G223" s="321"/>
      <c r="H223" s="321"/>
      <c r="I223" s="321"/>
      <c r="J223" s="321"/>
      <c r="K223" s="321"/>
    </row>
    <row r="224" spans="2:11">
      <c r="B224" s="321"/>
      <c r="C224" s="321"/>
      <c r="D224" s="321"/>
      <c r="E224" s="321"/>
      <c r="F224" s="321"/>
      <c r="G224" s="321"/>
      <c r="H224" s="321"/>
      <c r="I224" s="321"/>
      <c r="J224" s="321"/>
      <c r="K224" s="321"/>
    </row>
    <row r="225" spans="2:11">
      <c r="B225" s="321"/>
      <c r="C225" s="321"/>
      <c r="D225" s="321"/>
      <c r="E225" s="321"/>
      <c r="F225" s="321"/>
      <c r="G225" s="321"/>
      <c r="H225" s="321"/>
      <c r="I225" s="321"/>
      <c r="J225" s="321"/>
      <c r="K225" s="321"/>
    </row>
    <row r="226" spans="2:11">
      <c r="B226" s="321"/>
      <c r="C226" s="321"/>
      <c r="D226" s="321"/>
      <c r="E226" s="321"/>
      <c r="F226" s="321"/>
      <c r="G226" s="321"/>
      <c r="H226" s="321"/>
      <c r="I226" s="321"/>
      <c r="J226" s="321"/>
      <c r="K226" s="321"/>
    </row>
    <row r="227" spans="2:11">
      <c r="B227" s="321"/>
      <c r="C227" s="321"/>
      <c r="D227" s="321"/>
      <c r="E227" s="321"/>
      <c r="F227" s="321"/>
      <c r="G227" s="321"/>
      <c r="H227" s="321"/>
      <c r="I227" s="321"/>
      <c r="J227" s="321"/>
      <c r="K227" s="321"/>
    </row>
    <row r="228" spans="2:11">
      <c r="B228" s="321"/>
      <c r="C228" s="321"/>
      <c r="D228" s="321"/>
      <c r="E228" s="321"/>
      <c r="F228" s="321"/>
      <c r="G228" s="321"/>
      <c r="H228" s="321"/>
      <c r="I228" s="321"/>
      <c r="J228" s="321"/>
      <c r="K228" s="321"/>
    </row>
    <row r="229" spans="2:11">
      <c r="B229" s="321"/>
      <c r="C229" s="321"/>
      <c r="D229" s="321"/>
      <c r="E229" s="321"/>
      <c r="F229" s="321"/>
      <c r="G229" s="321"/>
      <c r="H229" s="321"/>
      <c r="I229" s="321"/>
      <c r="J229" s="321"/>
      <c r="K229" s="321"/>
    </row>
    <row r="230" spans="2:11">
      <c r="B230" s="321"/>
      <c r="C230" s="321"/>
      <c r="D230" s="321"/>
      <c r="E230" s="321"/>
      <c r="F230" s="321"/>
      <c r="G230" s="321"/>
      <c r="H230" s="321"/>
      <c r="I230" s="321"/>
      <c r="J230" s="321"/>
      <c r="K230" s="321"/>
    </row>
    <row r="231" spans="2:11">
      <c r="B231" s="321"/>
      <c r="C231" s="321"/>
      <c r="D231" s="321"/>
      <c r="E231" s="321"/>
      <c r="F231" s="321"/>
      <c r="G231" s="321"/>
      <c r="H231" s="321"/>
      <c r="I231" s="321"/>
      <c r="J231" s="321"/>
      <c r="K231" s="321"/>
    </row>
    <row r="232" spans="2:11">
      <c r="B232" s="321"/>
      <c r="C232" s="321"/>
      <c r="D232" s="321"/>
      <c r="E232" s="321"/>
      <c r="F232" s="321"/>
      <c r="G232" s="321"/>
      <c r="H232" s="321"/>
      <c r="I232" s="321"/>
      <c r="J232" s="321"/>
      <c r="K232" s="321"/>
    </row>
    <row r="233" spans="2:11">
      <c r="B233" s="321"/>
      <c r="C233" s="321"/>
      <c r="D233" s="321"/>
      <c r="E233" s="321"/>
      <c r="F233" s="321"/>
      <c r="G233" s="321"/>
      <c r="H233" s="321"/>
      <c r="I233" s="321"/>
      <c r="J233" s="321"/>
      <c r="K233" s="321"/>
    </row>
    <row r="234" spans="2:11">
      <c r="B234" s="321"/>
      <c r="C234" s="321"/>
      <c r="D234" s="321"/>
      <c r="E234" s="321"/>
      <c r="F234" s="321"/>
      <c r="G234" s="321"/>
      <c r="H234" s="321"/>
      <c r="I234" s="321"/>
      <c r="J234" s="321"/>
      <c r="K234" s="321"/>
    </row>
    <row r="235" spans="2:11">
      <c r="B235" s="321"/>
      <c r="C235" s="321"/>
      <c r="D235" s="321"/>
      <c r="E235" s="321"/>
      <c r="F235" s="321"/>
      <c r="G235" s="321"/>
      <c r="H235" s="321"/>
      <c r="I235" s="321"/>
      <c r="J235" s="321"/>
      <c r="K235" s="321"/>
    </row>
    <row r="236" spans="2:11">
      <c r="B236" s="321"/>
      <c r="C236" s="321"/>
      <c r="D236" s="321"/>
      <c r="E236" s="321"/>
      <c r="F236" s="321"/>
      <c r="G236" s="321"/>
      <c r="H236" s="321"/>
      <c r="I236" s="321"/>
      <c r="J236" s="321"/>
      <c r="K236" s="321"/>
    </row>
    <row r="237" spans="2:11">
      <c r="B237" s="321"/>
      <c r="C237" s="321"/>
      <c r="D237" s="321"/>
      <c r="E237" s="321"/>
      <c r="F237" s="321"/>
      <c r="G237" s="321"/>
      <c r="H237" s="321"/>
      <c r="I237" s="321"/>
      <c r="J237" s="321"/>
      <c r="K237" s="321"/>
    </row>
    <row r="238" spans="2:11">
      <c r="B238" s="321"/>
      <c r="C238" s="321"/>
      <c r="D238" s="321"/>
      <c r="E238" s="321"/>
      <c r="F238" s="321"/>
      <c r="G238" s="321"/>
      <c r="H238" s="321"/>
      <c r="I238" s="321"/>
      <c r="J238" s="321"/>
      <c r="K238" s="321"/>
    </row>
    <row r="239" spans="2:11">
      <c r="B239" s="321"/>
      <c r="C239" s="321"/>
      <c r="D239" s="321"/>
      <c r="E239" s="321"/>
      <c r="F239" s="321"/>
      <c r="G239" s="321"/>
      <c r="H239" s="321"/>
      <c r="I239" s="321"/>
      <c r="J239" s="321"/>
      <c r="K239" s="321"/>
    </row>
    <row r="240" spans="2:11">
      <c r="B240" s="321"/>
      <c r="C240" s="321"/>
      <c r="D240" s="321"/>
      <c r="E240" s="321"/>
      <c r="F240" s="321"/>
      <c r="G240" s="321"/>
      <c r="H240" s="321"/>
      <c r="I240" s="321"/>
      <c r="J240" s="321"/>
      <c r="K240" s="321"/>
    </row>
    <row r="241" spans="2:11">
      <c r="B241" s="321"/>
      <c r="C241" s="321"/>
      <c r="D241" s="321"/>
      <c r="E241" s="321"/>
      <c r="F241" s="321"/>
      <c r="G241" s="321"/>
      <c r="H241" s="321"/>
      <c r="I241" s="321"/>
      <c r="J241" s="321"/>
      <c r="K241" s="321"/>
    </row>
    <row r="242" spans="2:11">
      <c r="B242" s="321"/>
      <c r="C242" s="321"/>
      <c r="D242" s="321"/>
      <c r="E242" s="321"/>
      <c r="F242" s="321"/>
      <c r="G242" s="321"/>
      <c r="H242" s="321"/>
      <c r="I242" s="321"/>
      <c r="J242" s="321"/>
      <c r="K242" s="321"/>
    </row>
    <row r="243" spans="2:11">
      <c r="B243" s="321"/>
      <c r="C243" s="321"/>
      <c r="D243" s="321"/>
      <c r="E243" s="321"/>
      <c r="F243" s="321"/>
      <c r="G243" s="321"/>
      <c r="H243" s="321"/>
      <c r="I243" s="321"/>
      <c r="J243" s="321"/>
      <c r="K243" s="321"/>
    </row>
    <row r="244" spans="2:11">
      <c r="B244" s="321"/>
      <c r="C244" s="321"/>
      <c r="D244" s="321"/>
      <c r="E244" s="321"/>
      <c r="F244" s="321"/>
      <c r="G244" s="321"/>
      <c r="H244" s="321"/>
      <c r="I244" s="321"/>
      <c r="J244" s="321"/>
      <c r="K244" s="321"/>
    </row>
    <row r="245" spans="2:11">
      <c r="B245" s="321"/>
      <c r="C245" s="321"/>
      <c r="D245" s="321"/>
      <c r="E245" s="321"/>
      <c r="F245" s="321"/>
      <c r="G245" s="321"/>
      <c r="H245" s="321"/>
      <c r="I245" s="321"/>
      <c r="J245" s="321"/>
      <c r="K245" s="321"/>
    </row>
    <row r="246" spans="2:11">
      <c r="B246" s="321"/>
      <c r="C246" s="321"/>
      <c r="D246" s="321"/>
      <c r="E246" s="321"/>
      <c r="F246" s="321"/>
      <c r="G246" s="321"/>
      <c r="H246" s="321"/>
      <c r="I246" s="321"/>
      <c r="J246" s="321"/>
      <c r="K246" s="321"/>
    </row>
    <row r="247" spans="2:11">
      <c r="B247" s="321"/>
      <c r="C247" s="321"/>
      <c r="D247" s="321"/>
      <c r="E247" s="321"/>
      <c r="F247" s="321"/>
      <c r="G247" s="321"/>
      <c r="H247" s="321"/>
      <c r="I247" s="321"/>
      <c r="J247" s="321"/>
      <c r="K247" s="321"/>
    </row>
    <row r="248" spans="2:11">
      <c r="B248" s="321"/>
      <c r="C248" s="321"/>
      <c r="D248" s="321"/>
      <c r="E248" s="321"/>
      <c r="F248" s="321"/>
      <c r="G248" s="321"/>
      <c r="H248" s="321"/>
      <c r="I248" s="321"/>
      <c r="J248" s="321"/>
      <c r="K248" s="321"/>
    </row>
    <row r="249" spans="2:11">
      <c r="B249" s="321"/>
      <c r="C249" s="321"/>
      <c r="D249" s="321"/>
      <c r="E249" s="321"/>
      <c r="F249" s="321"/>
      <c r="G249" s="321"/>
      <c r="H249" s="321"/>
      <c r="I249" s="321"/>
      <c r="J249" s="321"/>
      <c r="K249" s="321"/>
    </row>
    <row r="250" spans="2:11">
      <c r="B250" s="321"/>
      <c r="C250" s="321"/>
      <c r="D250" s="321"/>
      <c r="E250" s="321"/>
      <c r="F250" s="321"/>
      <c r="G250" s="321"/>
      <c r="H250" s="321"/>
      <c r="I250" s="321"/>
      <c r="J250" s="321"/>
      <c r="K250" s="321"/>
    </row>
    <row r="251" spans="2:11">
      <c r="B251" s="321"/>
      <c r="C251" s="321"/>
      <c r="D251" s="321"/>
      <c r="E251" s="321"/>
      <c r="F251" s="321"/>
      <c r="G251" s="321"/>
      <c r="H251" s="321"/>
      <c r="I251" s="321"/>
      <c r="J251" s="321"/>
      <c r="K251" s="321"/>
    </row>
    <row r="252" spans="2:11">
      <c r="B252" s="321"/>
      <c r="C252" s="321"/>
      <c r="D252" s="321"/>
      <c r="E252" s="321"/>
      <c r="F252" s="321"/>
      <c r="G252" s="321"/>
      <c r="H252" s="321"/>
      <c r="I252" s="321"/>
      <c r="J252" s="321"/>
      <c r="K252" s="321"/>
    </row>
    <row r="253" spans="2:11">
      <c r="B253" s="321"/>
      <c r="C253" s="321"/>
      <c r="D253" s="321"/>
      <c r="E253" s="321"/>
      <c r="F253" s="321"/>
      <c r="G253" s="321"/>
      <c r="H253" s="321"/>
      <c r="I253" s="321"/>
      <c r="J253" s="321"/>
      <c r="K253" s="321"/>
    </row>
    <row r="254" spans="2:11">
      <c r="B254" s="321"/>
      <c r="C254" s="321"/>
      <c r="D254" s="321"/>
      <c r="E254" s="321"/>
      <c r="F254" s="321"/>
      <c r="G254" s="321"/>
      <c r="H254" s="321"/>
      <c r="I254" s="321"/>
      <c r="J254" s="321"/>
      <c r="K254" s="321"/>
    </row>
    <row r="255" spans="2:11">
      <c r="B255" s="321"/>
      <c r="C255" s="321"/>
      <c r="D255" s="321"/>
      <c r="E255" s="321"/>
      <c r="F255" s="321"/>
      <c r="G255" s="321"/>
      <c r="H255" s="321"/>
      <c r="I255" s="321"/>
      <c r="J255" s="321"/>
      <c r="K255" s="321"/>
    </row>
    <row r="256" spans="2:11">
      <c r="B256" s="321"/>
      <c r="C256" s="321"/>
      <c r="D256" s="321"/>
      <c r="E256" s="321"/>
      <c r="F256" s="321"/>
      <c r="G256" s="321"/>
      <c r="H256" s="321"/>
      <c r="I256" s="321"/>
      <c r="J256" s="321"/>
      <c r="K256" s="321"/>
    </row>
    <row r="257" spans="2:11">
      <c r="B257" s="321"/>
      <c r="C257" s="321"/>
      <c r="D257" s="321"/>
      <c r="E257" s="321"/>
      <c r="F257" s="321"/>
      <c r="G257" s="321"/>
      <c r="H257" s="321"/>
      <c r="I257" s="321"/>
      <c r="J257" s="321"/>
      <c r="K257" s="321"/>
    </row>
    <row r="258" spans="2:11">
      <c r="B258" s="321"/>
      <c r="C258" s="321"/>
      <c r="D258" s="321"/>
      <c r="E258" s="321"/>
      <c r="F258" s="321"/>
      <c r="G258" s="321"/>
      <c r="H258" s="321"/>
      <c r="I258" s="321"/>
      <c r="J258" s="321"/>
      <c r="K258" s="321"/>
    </row>
    <row r="259" spans="2:11">
      <c r="B259" s="321"/>
      <c r="C259" s="321"/>
      <c r="D259" s="321"/>
      <c r="E259" s="321"/>
      <c r="F259" s="321"/>
      <c r="G259" s="321"/>
      <c r="H259" s="321"/>
      <c r="I259" s="321"/>
      <c r="J259" s="321"/>
      <c r="K259" s="321"/>
    </row>
    <row r="260" spans="2:11">
      <c r="B260" s="321"/>
      <c r="C260" s="321"/>
      <c r="D260" s="321"/>
      <c r="E260" s="321"/>
      <c r="F260" s="321"/>
      <c r="G260" s="321"/>
      <c r="H260" s="321"/>
      <c r="I260" s="321"/>
      <c r="J260" s="321"/>
      <c r="K260" s="321"/>
    </row>
    <row r="261" spans="2:11">
      <c r="B261" s="321"/>
      <c r="C261" s="321"/>
      <c r="D261" s="321"/>
      <c r="E261" s="321"/>
      <c r="F261" s="321"/>
      <c r="G261" s="321"/>
      <c r="H261" s="321"/>
      <c r="I261" s="321"/>
      <c r="J261" s="321"/>
      <c r="K261" s="321"/>
    </row>
    <row r="262" spans="2:11">
      <c r="B262" s="321"/>
      <c r="C262" s="321"/>
      <c r="D262" s="321"/>
      <c r="E262" s="321"/>
      <c r="F262" s="321"/>
      <c r="G262" s="321"/>
      <c r="H262" s="321"/>
      <c r="I262" s="321"/>
      <c r="J262" s="321"/>
      <c r="K262" s="321"/>
    </row>
    <row r="263" spans="2:11">
      <c r="B263" s="321"/>
      <c r="C263" s="321"/>
      <c r="D263" s="321"/>
      <c r="E263" s="321"/>
      <c r="F263" s="321"/>
      <c r="G263" s="321"/>
      <c r="H263" s="321"/>
      <c r="I263" s="321"/>
      <c r="J263" s="321"/>
      <c r="K263" s="321"/>
    </row>
    <row r="264" spans="2:11">
      <c r="B264" s="321"/>
      <c r="C264" s="321"/>
      <c r="D264" s="321"/>
      <c r="E264" s="321"/>
      <c r="F264" s="321"/>
      <c r="G264" s="321"/>
      <c r="H264" s="321"/>
      <c r="I264" s="321"/>
      <c r="J264" s="321"/>
      <c r="K264" s="321"/>
    </row>
    <row r="265" spans="2:11">
      <c r="B265" s="321"/>
      <c r="C265" s="321"/>
      <c r="D265" s="321"/>
      <c r="E265" s="321"/>
      <c r="F265" s="321"/>
      <c r="G265" s="321"/>
      <c r="H265" s="321"/>
      <c r="I265" s="321"/>
      <c r="J265" s="321"/>
      <c r="K265" s="321"/>
    </row>
    <row r="266" spans="2:11">
      <c r="B266" s="321"/>
      <c r="C266" s="321"/>
      <c r="D266" s="321"/>
      <c r="E266" s="321"/>
      <c r="F266" s="321"/>
      <c r="G266" s="321"/>
      <c r="H266" s="321"/>
      <c r="I266" s="321"/>
      <c r="J266" s="321"/>
      <c r="K266" s="321"/>
    </row>
    <row r="267" spans="2:11">
      <c r="B267" s="321"/>
      <c r="C267" s="321"/>
      <c r="D267" s="321"/>
      <c r="E267" s="321"/>
      <c r="F267" s="321"/>
      <c r="G267" s="321"/>
      <c r="H267" s="321"/>
      <c r="I267" s="321"/>
      <c r="J267" s="321"/>
      <c r="K267" s="321"/>
    </row>
    <row r="268" spans="2:11">
      <c r="B268" s="321"/>
      <c r="C268" s="321"/>
      <c r="D268" s="321"/>
      <c r="E268" s="321"/>
      <c r="F268" s="321"/>
      <c r="G268" s="321"/>
      <c r="H268" s="321"/>
      <c r="I268" s="321"/>
      <c r="J268" s="321"/>
      <c r="K268" s="321"/>
    </row>
    <row r="269" spans="2:11">
      <c r="B269" s="321"/>
      <c r="C269" s="321"/>
      <c r="D269" s="321"/>
      <c r="E269" s="321"/>
      <c r="F269" s="321"/>
      <c r="G269" s="321"/>
      <c r="H269" s="321"/>
      <c r="I269" s="321"/>
      <c r="J269" s="321"/>
      <c r="K269" s="321"/>
    </row>
    <row r="270" spans="2:11">
      <c r="B270" s="321"/>
      <c r="C270" s="321"/>
      <c r="D270" s="321"/>
      <c r="E270" s="321"/>
      <c r="F270" s="321"/>
      <c r="G270" s="321"/>
      <c r="H270" s="321"/>
      <c r="I270" s="321"/>
      <c r="J270" s="321"/>
      <c r="K270" s="321"/>
    </row>
    <row r="271" spans="2:11">
      <c r="B271" s="321"/>
      <c r="C271" s="321"/>
      <c r="D271" s="321"/>
      <c r="E271" s="321"/>
      <c r="F271" s="321"/>
      <c r="G271" s="321"/>
      <c r="H271" s="321"/>
      <c r="I271" s="321"/>
      <c r="J271" s="321"/>
      <c r="K271" s="321"/>
    </row>
    <row r="272" spans="2:11">
      <c r="B272" s="321"/>
      <c r="C272" s="321"/>
      <c r="D272" s="321"/>
      <c r="E272" s="321"/>
      <c r="F272" s="321"/>
      <c r="G272" s="321"/>
      <c r="H272" s="321"/>
      <c r="I272" s="321"/>
      <c r="J272" s="321"/>
      <c r="K272" s="321"/>
    </row>
    <row r="273" spans="2:11">
      <c r="B273" s="321"/>
      <c r="C273" s="321"/>
      <c r="D273" s="321"/>
      <c r="E273" s="321"/>
      <c r="F273" s="321"/>
      <c r="G273" s="321"/>
      <c r="H273" s="321"/>
      <c r="I273" s="321"/>
      <c r="J273" s="321"/>
      <c r="K273" s="321"/>
    </row>
    <row r="274" spans="2:11">
      <c r="B274" s="321"/>
      <c r="C274" s="321"/>
      <c r="D274" s="321"/>
      <c r="E274" s="321"/>
      <c r="F274" s="321"/>
      <c r="G274" s="321"/>
      <c r="H274" s="321"/>
      <c r="I274" s="321"/>
      <c r="J274" s="321"/>
      <c r="K274" s="321"/>
    </row>
    <row r="275" spans="2:11">
      <c r="B275" s="321"/>
      <c r="C275" s="321"/>
      <c r="D275" s="321"/>
      <c r="E275" s="321"/>
      <c r="F275" s="321"/>
      <c r="G275" s="321"/>
      <c r="H275" s="321"/>
      <c r="I275" s="321"/>
      <c r="J275" s="321"/>
      <c r="K275" s="321"/>
    </row>
    <row r="276" spans="2:11">
      <c r="B276" s="334"/>
      <c r="C276" s="334"/>
      <c r="D276" s="334"/>
      <c r="E276" s="334"/>
      <c r="F276" s="334"/>
      <c r="G276" s="334"/>
      <c r="H276" s="334"/>
      <c r="I276" s="334"/>
      <c r="J276" s="334"/>
      <c r="K276" s="334"/>
    </row>
    <row r="277" spans="2:11">
      <c r="B277" s="334"/>
      <c r="C277" s="334"/>
      <c r="D277" s="334"/>
      <c r="E277" s="334"/>
      <c r="F277" s="334"/>
      <c r="G277" s="334"/>
      <c r="H277" s="334"/>
      <c r="I277" s="334"/>
      <c r="J277" s="334"/>
      <c r="K277" s="334"/>
    </row>
    <row r="278" spans="2:11">
      <c r="B278" s="334"/>
      <c r="C278" s="334"/>
      <c r="D278" s="334"/>
      <c r="E278" s="334"/>
      <c r="F278" s="334"/>
      <c r="G278" s="334"/>
      <c r="H278" s="334"/>
      <c r="I278" s="334"/>
      <c r="J278" s="334"/>
      <c r="K278" s="334"/>
    </row>
    <row r="279" spans="2:11">
      <c r="B279" s="334"/>
      <c r="C279" s="334"/>
      <c r="D279" s="334"/>
      <c r="E279" s="334"/>
      <c r="F279" s="334"/>
      <c r="G279" s="334"/>
      <c r="H279" s="334"/>
      <c r="I279" s="334"/>
      <c r="J279" s="334"/>
      <c r="K279" s="334"/>
    </row>
    <row r="280" spans="2:11">
      <c r="B280" s="334"/>
      <c r="C280" s="334"/>
      <c r="D280" s="334"/>
      <c r="E280" s="334"/>
      <c r="F280" s="334"/>
      <c r="G280" s="334"/>
      <c r="H280" s="334"/>
      <c r="I280" s="334"/>
      <c r="J280" s="334"/>
      <c r="K280" s="334"/>
    </row>
    <row r="281" spans="2:11">
      <c r="B281" s="334"/>
      <c r="C281" s="334"/>
      <c r="D281" s="334"/>
      <c r="E281" s="334"/>
      <c r="F281" s="334"/>
      <c r="G281" s="334"/>
      <c r="H281" s="334"/>
      <c r="I281" s="334"/>
      <c r="J281" s="334"/>
      <c r="K281" s="334"/>
    </row>
    <row r="282" spans="2:11">
      <c r="B282" s="334"/>
      <c r="C282" s="334"/>
      <c r="D282" s="334"/>
      <c r="E282" s="334"/>
      <c r="F282" s="334"/>
      <c r="G282" s="334"/>
      <c r="H282" s="334"/>
      <c r="I282" s="334"/>
      <c r="J282" s="334"/>
      <c r="K282" s="334"/>
    </row>
    <row r="283" spans="2:11">
      <c r="B283" s="334"/>
      <c r="C283" s="334"/>
      <c r="D283" s="334"/>
      <c r="E283" s="334"/>
      <c r="F283" s="334"/>
      <c r="G283" s="334"/>
      <c r="H283" s="334"/>
      <c r="I283" s="334"/>
      <c r="J283" s="334"/>
      <c r="K283" s="334"/>
    </row>
    <row r="284" spans="2:11">
      <c r="B284" s="334"/>
      <c r="C284" s="334"/>
      <c r="D284" s="334"/>
      <c r="E284" s="334"/>
      <c r="F284" s="334"/>
      <c r="G284" s="334"/>
      <c r="H284" s="334"/>
      <c r="I284" s="334"/>
      <c r="J284" s="334"/>
      <c r="K284" s="334"/>
    </row>
    <row r="285" spans="2:11">
      <c r="B285" s="334"/>
      <c r="C285" s="334"/>
      <c r="D285" s="334"/>
      <c r="E285" s="334"/>
      <c r="F285" s="334"/>
      <c r="G285" s="334"/>
      <c r="H285" s="334"/>
      <c r="I285" s="334"/>
      <c r="J285" s="334"/>
      <c r="K285" s="334"/>
    </row>
    <row r="286" spans="2:11">
      <c r="B286" s="334"/>
      <c r="C286" s="334"/>
      <c r="D286" s="334"/>
      <c r="E286" s="334"/>
      <c r="F286" s="334"/>
      <c r="G286" s="334"/>
      <c r="H286" s="334"/>
      <c r="I286" s="334"/>
      <c r="J286" s="334"/>
      <c r="K286" s="334"/>
    </row>
    <row r="287" spans="2:11">
      <c r="B287" s="334"/>
      <c r="C287" s="334"/>
      <c r="D287" s="334"/>
      <c r="E287" s="334"/>
      <c r="F287" s="334"/>
      <c r="G287" s="334"/>
      <c r="H287" s="334"/>
      <c r="I287" s="334"/>
      <c r="J287" s="334"/>
      <c r="K287" s="334"/>
    </row>
    <row r="288" spans="2:11">
      <c r="B288" s="334"/>
      <c r="C288" s="334"/>
      <c r="D288" s="334"/>
      <c r="E288" s="334"/>
      <c r="F288" s="334"/>
      <c r="G288" s="334"/>
      <c r="H288" s="334"/>
      <c r="I288" s="334"/>
      <c r="J288" s="334"/>
      <c r="K288" s="334"/>
    </row>
    <row r="289" spans="2:11">
      <c r="B289" s="334"/>
      <c r="C289" s="334"/>
      <c r="D289" s="334"/>
      <c r="E289" s="334"/>
      <c r="F289" s="334"/>
      <c r="G289" s="334"/>
      <c r="H289" s="334"/>
      <c r="I289" s="334"/>
      <c r="J289" s="334"/>
      <c r="K289" s="334"/>
    </row>
    <row r="290" spans="2:11">
      <c r="B290" s="334"/>
      <c r="C290" s="334"/>
      <c r="D290" s="334"/>
      <c r="E290" s="334"/>
      <c r="F290" s="334"/>
      <c r="G290" s="334"/>
      <c r="H290" s="334"/>
      <c r="I290" s="334"/>
      <c r="J290" s="334"/>
      <c r="K290" s="334"/>
    </row>
    <row r="291" spans="2:11">
      <c r="B291" s="334"/>
      <c r="C291" s="334"/>
      <c r="D291" s="334"/>
      <c r="E291" s="334"/>
      <c r="F291" s="334"/>
      <c r="G291" s="334"/>
      <c r="H291" s="334"/>
      <c r="I291" s="334"/>
      <c r="J291" s="334"/>
      <c r="K291" s="334"/>
    </row>
    <row r="292" spans="2:11">
      <c r="B292" s="334"/>
      <c r="C292" s="334"/>
      <c r="D292" s="334"/>
      <c r="E292" s="334"/>
      <c r="F292" s="334"/>
      <c r="G292" s="334"/>
      <c r="H292" s="334"/>
      <c r="I292" s="334"/>
      <c r="J292" s="334"/>
      <c r="K292" s="334"/>
    </row>
    <row r="293" spans="2:11">
      <c r="B293" s="334"/>
      <c r="C293" s="334"/>
      <c r="D293" s="334"/>
      <c r="E293" s="334"/>
      <c r="F293" s="334"/>
      <c r="G293" s="334"/>
      <c r="H293" s="334"/>
      <c r="I293" s="334"/>
      <c r="J293" s="334"/>
      <c r="K293" s="334"/>
    </row>
    <row r="294" spans="2:11">
      <c r="B294" s="334"/>
      <c r="C294" s="334"/>
      <c r="D294" s="334"/>
      <c r="E294" s="334"/>
      <c r="F294" s="334"/>
      <c r="G294" s="334"/>
      <c r="H294" s="334"/>
      <c r="I294" s="334"/>
      <c r="J294" s="334"/>
      <c r="K294" s="334"/>
    </row>
    <row r="295" spans="2:11">
      <c r="B295" s="334"/>
      <c r="C295" s="334"/>
      <c r="D295" s="334"/>
      <c r="E295" s="334"/>
      <c r="F295" s="334"/>
      <c r="G295" s="334"/>
      <c r="H295" s="334"/>
      <c r="I295" s="334"/>
      <c r="J295" s="334"/>
      <c r="K295" s="334"/>
    </row>
    <row r="296" spans="2:11">
      <c r="B296" s="334"/>
      <c r="C296" s="334"/>
      <c r="D296" s="334"/>
      <c r="E296" s="334"/>
      <c r="F296" s="334"/>
      <c r="G296" s="334"/>
      <c r="H296" s="334"/>
      <c r="I296" s="334"/>
      <c r="J296" s="334"/>
      <c r="K296" s="334"/>
    </row>
    <row r="297" spans="2:11">
      <c r="B297" s="334"/>
      <c r="C297" s="334"/>
      <c r="D297" s="334"/>
      <c r="E297" s="334"/>
      <c r="F297" s="334"/>
      <c r="G297" s="334"/>
      <c r="H297" s="334"/>
      <c r="I297" s="334"/>
      <c r="J297" s="334"/>
      <c r="K297" s="334"/>
    </row>
    <row r="298" spans="2:11">
      <c r="B298" s="334"/>
      <c r="C298" s="334"/>
      <c r="D298" s="334"/>
      <c r="E298" s="334"/>
      <c r="F298" s="334"/>
      <c r="G298" s="334"/>
      <c r="H298" s="334"/>
      <c r="I298" s="334"/>
      <c r="J298" s="334"/>
      <c r="K298" s="334"/>
    </row>
    <row r="299" spans="2:11">
      <c r="B299" s="334"/>
      <c r="C299" s="334"/>
      <c r="D299" s="334"/>
      <c r="E299" s="334"/>
      <c r="F299" s="334"/>
      <c r="G299" s="334"/>
      <c r="H299" s="334"/>
      <c r="I299" s="334"/>
      <c r="J299" s="334"/>
      <c r="K299" s="334"/>
    </row>
    <row r="300" spans="2:11">
      <c r="B300" s="334"/>
      <c r="C300" s="334"/>
      <c r="D300" s="334"/>
      <c r="E300" s="334"/>
      <c r="F300" s="334"/>
      <c r="G300" s="334"/>
      <c r="H300" s="334"/>
      <c r="I300" s="334"/>
      <c r="J300" s="334"/>
      <c r="K300" s="334"/>
    </row>
    <row r="301" spans="2:11">
      <c r="B301" s="334"/>
      <c r="C301" s="334"/>
      <c r="D301" s="334"/>
      <c r="E301" s="334"/>
      <c r="F301" s="334"/>
      <c r="G301" s="334"/>
      <c r="H301" s="334"/>
      <c r="I301" s="334"/>
      <c r="J301" s="334"/>
      <c r="K301" s="334"/>
    </row>
    <row r="302" spans="2:11">
      <c r="B302" s="334"/>
      <c r="C302" s="334"/>
      <c r="D302" s="334"/>
      <c r="E302" s="334"/>
      <c r="F302" s="334"/>
      <c r="G302" s="334"/>
      <c r="H302" s="334"/>
      <c r="I302" s="334"/>
      <c r="J302" s="334"/>
      <c r="K302" s="334"/>
    </row>
    <row r="303" spans="2:11">
      <c r="B303" s="334"/>
      <c r="C303" s="334"/>
      <c r="D303" s="334"/>
      <c r="E303" s="334"/>
      <c r="F303" s="334"/>
      <c r="G303" s="334"/>
      <c r="H303" s="334"/>
      <c r="I303" s="334"/>
      <c r="J303" s="334"/>
      <c r="K303" s="334"/>
    </row>
    <row r="304" spans="2:11">
      <c r="B304" s="334"/>
      <c r="C304" s="334"/>
      <c r="D304" s="334"/>
      <c r="E304" s="334"/>
      <c r="F304" s="334"/>
      <c r="G304" s="334"/>
      <c r="H304" s="334"/>
      <c r="I304" s="334"/>
      <c r="J304" s="334"/>
      <c r="K304" s="334"/>
    </row>
    <row r="305" spans="2:11">
      <c r="B305" s="334"/>
      <c r="C305" s="334"/>
      <c r="D305" s="334"/>
      <c r="E305" s="334"/>
      <c r="F305" s="334"/>
      <c r="G305" s="334"/>
      <c r="H305" s="334"/>
      <c r="I305" s="334"/>
      <c r="J305" s="334"/>
      <c r="K305" s="334"/>
    </row>
    <row r="306" spans="2:11">
      <c r="B306" s="334"/>
      <c r="C306" s="334"/>
      <c r="D306" s="334"/>
      <c r="E306" s="334"/>
      <c r="F306" s="334"/>
      <c r="G306" s="334"/>
      <c r="H306" s="334"/>
      <c r="I306" s="334"/>
      <c r="J306" s="334"/>
      <c r="K306" s="334"/>
    </row>
    <row r="307" spans="2:11">
      <c r="B307" s="334"/>
      <c r="C307" s="334"/>
      <c r="D307" s="334"/>
      <c r="E307" s="334"/>
      <c r="F307" s="334"/>
      <c r="G307" s="334"/>
      <c r="H307" s="334"/>
      <c r="I307" s="334"/>
      <c r="J307" s="334"/>
      <c r="K307" s="334"/>
    </row>
    <row r="308" spans="2:11">
      <c r="B308" s="334"/>
      <c r="C308" s="334"/>
      <c r="D308" s="334"/>
      <c r="E308" s="334"/>
      <c r="F308" s="334"/>
      <c r="G308" s="334"/>
      <c r="H308" s="334"/>
      <c r="I308" s="334"/>
      <c r="J308" s="334"/>
      <c r="K308" s="334"/>
    </row>
    <row r="309" spans="2:11">
      <c r="B309" s="334"/>
      <c r="C309" s="334"/>
      <c r="D309" s="334"/>
      <c r="E309" s="334"/>
      <c r="F309" s="334"/>
      <c r="G309" s="334"/>
      <c r="H309" s="334"/>
      <c r="I309" s="334"/>
      <c r="J309" s="334"/>
      <c r="K309" s="334"/>
    </row>
    <row r="310" spans="2:11">
      <c r="B310" s="334"/>
      <c r="C310" s="334"/>
      <c r="D310" s="334"/>
      <c r="E310" s="334"/>
      <c r="F310" s="334"/>
      <c r="G310" s="334"/>
      <c r="H310" s="334"/>
      <c r="I310" s="334"/>
      <c r="J310" s="334"/>
      <c r="K310" s="334"/>
    </row>
    <row r="311" spans="2:11">
      <c r="B311" s="334"/>
      <c r="C311" s="334"/>
      <c r="D311" s="334"/>
      <c r="E311" s="334"/>
      <c r="F311" s="334"/>
      <c r="G311" s="334"/>
      <c r="H311" s="334"/>
      <c r="I311" s="334"/>
      <c r="J311" s="334"/>
      <c r="K311" s="334"/>
    </row>
    <row r="312" spans="2:11">
      <c r="B312" s="334"/>
      <c r="C312" s="334"/>
      <c r="D312" s="334"/>
      <c r="E312" s="334"/>
      <c r="F312" s="334"/>
      <c r="G312" s="334"/>
      <c r="H312" s="334"/>
      <c r="I312" s="334"/>
      <c r="J312" s="334"/>
      <c r="K312" s="334"/>
    </row>
    <row r="313" spans="2:11">
      <c r="B313" s="334"/>
      <c r="C313" s="334"/>
      <c r="D313" s="334"/>
      <c r="E313" s="334"/>
      <c r="F313" s="334"/>
      <c r="G313" s="334"/>
      <c r="H313" s="334"/>
      <c r="I313" s="334"/>
      <c r="J313" s="334"/>
      <c r="K313" s="334"/>
    </row>
    <row r="314" spans="2:11">
      <c r="B314" s="334"/>
      <c r="C314" s="334"/>
      <c r="D314" s="334"/>
      <c r="E314" s="334"/>
      <c r="F314" s="334"/>
      <c r="G314" s="334"/>
      <c r="H314" s="334"/>
      <c r="I314" s="334"/>
      <c r="J314" s="334"/>
      <c r="K314" s="334"/>
    </row>
    <row r="315" spans="2:11">
      <c r="B315" s="334"/>
      <c r="C315" s="334"/>
      <c r="D315" s="334"/>
      <c r="E315" s="334"/>
      <c r="F315" s="334"/>
      <c r="G315" s="334"/>
      <c r="H315" s="334"/>
      <c r="I315" s="334"/>
      <c r="J315" s="334"/>
      <c r="K315" s="334"/>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63" right="0.35" top="0.17" bottom="0.31" header="0.17" footer="0.16"/>
  <pageSetup paperSize="9" scale="90"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55"/>
  <sheetViews>
    <sheetView view="pageBreakPreview" topLeftCell="A133" zoomScale="85" zoomScaleNormal="115" zoomScaleSheetLayoutView="85" workbookViewId="0">
      <selection activeCell="A142" sqref="A142"/>
    </sheetView>
  </sheetViews>
  <sheetFormatPr defaultRowHeight="12.75"/>
  <cols>
    <col min="1" max="1" width="22.28515625" style="132" customWidth="1"/>
    <col min="2" max="2" width="11.5703125" style="136" customWidth="1"/>
    <col min="3" max="3" width="10.42578125" style="136" bestFit="1" customWidth="1"/>
    <col min="4" max="4" width="10.7109375" style="136" customWidth="1"/>
    <col min="5" max="5" width="11.85546875" style="471" customWidth="1"/>
    <col min="6" max="6" width="17.42578125" style="132" customWidth="1"/>
    <col min="7" max="7" width="10.140625" style="136" customWidth="1"/>
    <col min="8" max="8" width="9.28515625" style="472" bestFit="1" customWidth="1"/>
    <col min="9" max="16384" width="9.140625" style="132"/>
  </cols>
  <sheetData>
    <row r="1" spans="1:8" ht="18.75">
      <c r="A1" s="996" t="s">
        <v>2232</v>
      </c>
      <c r="B1" s="996"/>
      <c r="C1" s="996"/>
      <c r="D1" s="996"/>
      <c r="E1" s="996"/>
      <c r="F1" s="996"/>
      <c r="G1" s="996"/>
      <c r="H1" s="996"/>
    </row>
    <row r="2" spans="1:8">
      <c r="A2" s="127"/>
      <c r="B2" s="128"/>
      <c r="C2" s="128"/>
      <c r="D2" s="128"/>
      <c r="E2" s="262"/>
      <c r="F2" s="127" t="s">
        <v>1469</v>
      </c>
      <c r="G2" s="128" t="s">
        <v>1470</v>
      </c>
      <c r="H2" s="208" t="s">
        <v>8</v>
      </c>
    </row>
    <row r="3" spans="1:8">
      <c r="A3" s="127"/>
      <c r="B3" s="128" t="s">
        <v>1445</v>
      </c>
      <c r="C3" s="128" t="s">
        <v>8</v>
      </c>
      <c r="D3" s="128"/>
      <c r="E3" s="262"/>
      <c r="F3" s="127" t="s">
        <v>1471</v>
      </c>
      <c r="G3" s="128" t="s">
        <v>1478</v>
      </c>
      <c r="H3" s="208">
        <v>710</v>
      </c>
    </row>
    <row r="4" spans="1:8">
      <c r="A4" s="259" t="s">
        <v>800</v>
      </c>
      <c r="B4" s="128" t="s">
        <v>1446</v>
      </c>
      <c r="C4" s="208">
        <v>4218.8</v>
      </c>
      <c r="D4" s="128"/>
      <c r="E4" s="262"/>
      <c r="F4" s="127" t="s">
        <v>1472</v>
      </c>
      <c r="G4" s="128" t="s">
        <v>1479</v>
      </c>
      <c r="H4" s="208">
        <v>640</v>
      </c>
    </row>
    <row r="5" spans="1:8">
      <c r="A5" s="174" t="s">
        <v>1447</v>
      </c>
      <c r="B5" s="128"/>
      <c r="C5" s="208">
        <v>60000</v>
      </c>
      <c r="D5" s="128"/>
      <c r="E5" s="262"/>
      <c r="F5" s="127" t="s">
        <v>1473</v>
      </c>
      <c r="G5" s="128" t="s">
        <v>1480</v>
      </c>
      <c r="H5" s="208">
        <v>595</v>
      </c>
    </row>
    <row r="6" spans="1:8">
      <c r="A6" s="174" t="s">
        <v>1448</v>
      </c>
      <c r="B6" s="128"/>
      <c r="C6" s="208">
        <v>59000</v>
      </c>
      <c r="D6" s="128"/>
      <c r="E6" s="262"/>
      <c r="F6" s="127" t="s">
        <v>1498</v>
      </c>
      <c r="G6" s="128" t="s">
        <v>1499</v>
      </c>
      <c r="H6" s="208">
        <v>850</v>
      </c>
    </row>
    <row r="7" spans="1:8">
      <c r="A7" s="174" t="s">
        <v>801</v>
      </c>
      <c r="B7" s="128"/>
      <c r="C7" s="208">
        <v>61000</v>
      </c>
      <c r="D7" s="128"/>
      <c r="E7" s="262"/>
      <c r="F7" s="127"/>
      <c r="G7" s="128"/>
      <c r="H7" s="208"/>
    </row>
    <row r="8" spans="1:8">
      <c r="A8" s="174" t="s">
        <v>802</v>
      </c>
      <c r="B8" s="128"/>
      <c r="C8" s="208">
        <v>57000</v>
      </c>
      <c r="D8" s="128"/>
      <c r="E8" s="262"/>
      <c r="F8" s="127" t="s">
        <v>1474</v>
      </c>
      <c r="G8" s="128" t="s">
        <v>1554</v>
      </c>
      <c r="H8" s="208">
        <v>795</v>
      </c>
    </row>
    <row r="9" spans="1:8" ht="25.5">
      <c r="A9" s="174" t="s">
        <v>803</v>
      </c>
      <c r="B9" s="128" t="s">
        <v>1451</v>
      </c>
      <c r="C9" s="260">
        <v>728</v>
      </c>
      <c r="D9" s="128"/>
      <c r="E9" s="262"/>
      <c r="F9" s="127" t="s">
        <v>1475</v>
      </c>
      <c r="G9" s="128" t="s">
        <v>1556</v>
      </c>
      <c r="H9" s="208">
        <v>640</v>
      </c>
    </row>
    <row r="10" spans="1:8" ht="25.5">
      <c r="A10" s="174" t="s">
        <v>804</v>
      </c>
      <c r="B10" s="128" t="s">
        <v>1449</v>
      </c>
      <c r="C10" s="260">
        <v>605</v>
      </c>
      <c r="D10" s="128"/>
      <c r="E10" s="262"/>
      <c r="F10" s="127" t="s">
        <v>1128</v>
      </c>
      <c r="G10" s="128" t="s">
        <v>1502</v>
      </c>
      <c r="H10" s="208">
        <v>695</v>
      </c>
    </row>
    <row r="11" spans="1:8">
      <c r="A11" s="174" t="s">
        <v>731</v>
      </c>
      <c r="B11" s="128" t="s">
        <v>1450</v>
      </c>
      <c r="C11" s="260">
        <v>460</v>
      </c>
      <c r="D11" s="128" t="s">
        <v>810</v>
      </c>
      <c r="E11" s="262" t="s">
        <v>811</v>
      </c>
      <c r="F11" s="127" t="s">
        <v>1129</v>
      </c>
      <c r="G11" s="128" t="s">
        <v>1503</v>
      </c>
      <c r="H11" s="208">
        <v>670</v>
      </c>
    </row>
    <row r="12" spans="1:8">
      <c r="A12" s="174" t="s">
        <v>1476</v>
      </c>
      <c r="B12" s="128" t="s">
        <v>1452</v>
      </c>
      <c r="C12" s="260">
        <v>8480</v>
      </c>
      <c r="D12" s="128">
        <v>77.58</v>
      </c>
      <c r="E12" s="128">
        <v>77.58</v>
      </c>
      <c r="F12" s="127"/>
      <c r="G12" s="128"/>
      <c r="H12" s="208"/>
    </row>
    <row r="13" spans="1:8">
      <c r="A13" s="174" t="s">
        <v>806</v>
      </c>
      <c r="B13" s="128" t="s">
        <v>1456</v>
      </c>
      <c r="C13" s="260">
        <v>770</v>
      </c>
      <c r="D13" s="128"/>
      <c r="E13" s="262"/>
      <c r="F13" s="127" t="s">
        <v>1623</v>
      </c>
      <c r="G13" s="128" t="s">
        <v>1626</v>
      </c>
      <c r="H13" s="208">
        <v>795</v>
      </c>
    </row>
    <row r="14" spans="1:8" ht="25.5">
      <c r="A14" s="174" t="s">
        <v>807</v>
      </c>
      <c r="B14" s="128" t="s">
        <v>1457</v>
      </c>
      <c r="C14" s="260">
        <v>1285</v>
      </c>
      <c r="D14" s="128"/>
      <c r="E14" s="262"/>
      <c r="F14" s="127" t="s">
        <v>1624</v>
      </c>
      <c r="G14" s="128"/>
      <c r="H14" s="208">
        <v>640</v>
      </c>
    </row>
    <row r="15" spans="1:8">
      <c r="A15" s="174" t="s">
        <v>1453</v>
      </c>
      <c r="B15" s="128" t="s">
        <v>1458</v>
      </c>
      <c r="C15" s="260">
        <v>1024</v>
      </c>
      <c r="D15" s="128"/>
      <c r="E15" s="262"/>
      <c r="F15" s="127"/>
      <c r="G15" s="128"/>
      <c r="H15" s="208"/>
    </row>
    <row r="16" spans="1:8">
      <c r="A16" s="174" t="s">
        <v>1454</v>
      </c>
      <c r="B16" s="128" t="s">
        <v>1459</v>
      </c>
      <c r="C16" s="260">
        <v>860</v>
      </c>
      <c r="D16" s="128"/>
      <c r="E16" s="262"/>
      <c r="F16" s="127" t="s">
        <v>149</v>
      </c>
      <c r="G16" s="128" t="s">
        <v>1651</v>
      </c>
      <c r="H16" s="208">
        <v>790</v>
      </c>
    </row>
    <row r="17" spans="1:8" ht="25.5">
      <c r="A17" s="174" t="s">
        <v>1455</v>
      </c>
      <c r="B17" s="128" t="s">
        <v>1460</v>
      </c>
      <c r="C17" s="260">
        <v>684</v>
      </c>
      <c r="D17" s="128"/>
      <c r="E17" s="262"/>
      <c r="F17" s="127" t="s">
        <v>1260</v>
      </c>
      <c r="G17" s="128" t="s">
        <v>1652</v>
      </c>
      <c r="H17" s="208">
        <v>640</v>
      </c>
    </row>
    <row r="18" spans="1:8">
      <c r="A18" s="174" t="s">
        <v>960</v>
      </c>
      <c r="B18" s="128" t="s">
        <v>1461</v>
      </c>
      <c r="C18" s="208">
        <v>315</v>
      </c>
      <c r="D18" s="128"/>
      <c r="E18" s="262"/>
      <c r="F18" s="127"/>
      <c r="G18" s="128"/>
      <c r="H18" s="208"/>
    </row>
    <row r="19" spans="1:8">
      <c r="A19" s="177" t="s">
        <v>1477</v>
      </c>
      <c r="B19" s="128" t="s">
        <v>2233</v>
      </c>
      <c r="C19" s="260">
        <v>2152</v>
      </c>
      <c r="D19" s="128"/>
      <c r="E19" s="262"/>
      <c r="F19" s="127"/>
      <c r="G19" s="128"/>
      <c r="H19" s="208"/>
    </row>
    <row r="20" spans="1:8">
      <c r="A20" s="177" t="s">
        <v>1544</v>
      </c>
      <c r="B20" s="128" t="s">
        <v>1545</v>
      </c>
      <c r="C20" s="260">
        <v>315</v>
      </c>
      <c r="D20" s="128"/>
      <c r="E20" s="262"/>
      <c r="F20" s="127"/>
      <c r="G20" s="128"/>
      <c r="H20" s="208"/>
    </row>
    <row r="21" spans="1:8">
      <c r="A21" s="177" t="s">
        <v>1546</v>
      </c>
      <c r="B21" s="128" t="s">
        <v>1547</v>
      </c>
      <c r="C21" s="260">
        <v>625</v>
      </c>
      <c r="D21" s="128"/>
      <c r="E21" s="262"/>
      <c r="F21" s="127"/>
      <c r="G21" s="128"/>
      <c r="H21" s="208"/>
    </row>
    <row r="22" spans="1:8">
      <c r="A22" s="177" t="s">
        <v>1548</v>
      </c>
      <c r="B22" s="128" t="s">
        <v>1549</v>
      </c>
      <c r="C22" s="260">
        <v>396.4</v>
      </c>
      <c r="D22" s="128"/>
      <c r="E22" s="262"/>
      <c r="F22" s="127"/>
      <c r="G22" s="128"/>
      <c r="H22" s="208"/>
    </row>
    <row r="23" spans="1:8">
      <c r="A23" s="177" t="s">
        <v>1551</v>
      </c>
      <c r="B23" s="128" t="s">
        <v>1552</v>
      </c>
      <c r="C23" s="260">
        <v>330</v>
      </c>
      <c r="D23" s="128"/>
      <c r="E23" s="262"/>
      <c r="F23" s="127"/>
      <c r="G23" s="128"/>
      <c r="H23" s="208"/>
    </row>
    <row r="24" spans="1:8">
      <c r="A24" s="174" t="s">
        <v>975</v>
      </c>
      <c r="B24" s="128" t="s">
        <v>1462</v>
      </c>
      <c r="C24" s="208">
        <v>30000</v>
      </c>
      <c r="D24" s="128"/>
      <c r="E24" s="262"/>
      <c r="F24" s="289" t="s">
        <v>1481</v>
      </c>
      <c r="G24" s="290"/>
      <c r="H24" s="291"/>
    </row>
    <row r="25" spans="1:8">
      <c r="A25" s="174" t="s">
        <v>1824</v>
      </c>
      <c r="B25" s="128" t="s">
        <v>2101</v>
      </c>
      <c r="C25" s="208">
        <v>144</v>
      </c>
      <c r="D25" s="128"/>
      <c r="E25" s="262"/>
      <c r="F25" s="289" t="s">
        <v>1219</v>
      </c>
      <c r="G25" s="290"/>
      <c r="H25" s="291">
        <v>6.06</v>
      </c>
    </row>
    <row r="26" spans="1:8">
      <c r="A26" s="174" t="s">
        <v>649</v>
      </c>
      <c r="B26" s="128" t="s">
        <v>1820</v>
      </c>
      <c r="C26" s="208">
        <v>165</v>
      </c>
      <c r="D26" s="128"/>
      <c r="E26" s="262"/>
      <c r="F26" s="289" t="s">
        <v>1220</v>
      </c>
      <c r="G26" s="290"/>
      <c r="H26" s="291">
        <v>144.26</v>
      </c>
    </row>
    <row r="27" spans="1:8">
      <c r="A27" s="174" t="s">
        <v>1530</v>
      </c>
      <c r="B27" s="128" t="s">
        <v>1531</v>
      </c>
      <c r="C27" s="208">
        <v>30</v>
      </c>
      <c r="D27" s="128"/>
      <c r="E27" s="262"/>
      <c r="F27" s="127"/>
      <c r="G27" s="128"/>
      <c r="H27" s="208"/>
    </row>
    <row r="28" spans="1:8">
      <c r="A28" s="127"/>
      <c r="B28" s="128"/>
      <c r="C28" s="128"/>
      <c r="D28" s="128"/>
      <c r="E28" s="997" t="s">
        <v>1522</v>
      </c>
      <c r="F28" s="997"/>
      <c r="G28" s="997"/>
      <c r="H28" s="997"/>
    </row>
    <row r="29" spans="1:8">
      <c r="A29" s="174" t="s">
        <v>1482</v>
      </c>
      <c r="B29" s="128" t="s">
        <v>1483</v>
      </c>
      <c r="C29" s="208">
        <v>105</v>
      </c>
      <c r="D29" s="128"/>
      <c r="E29" s="470" t="s">
        <v>1487</v>
      </c>
      <c r="F29" s="261" t="s">
        <v>1523</v>
      </c>
      <c r="G29" s="207" t="s">
        <v>1524</v>
      </c>
      <c r="H29" s="207" t="s">
        <v>1525</v>
      </c>
    </row>
    <row r="30" spans="1:8">
      <c r="A30" s="174" t="s">
        <v>1484</v>
      </c>
      <c r="B30" s="128" t="s">
        <v>1485</v>
      </c>
      <c r="C30" s="208">
        <v>708.08</v>
      </c>
      <c r="D30" s="128"/>
      <c r="E30" s="470">
        <v>10.78</v>
      </c>
      <c r="F30" s="207">
        <v>84.62</v>
      </c>
      <c r="G30" s="207">
        <v>121.18</v>
      </c>
      <c r="H30" s="210">
        <v>157.72</v>
      </c>
    </row>
    <row r="31" spans="1:8" ht="25.5">
      <c r="A31" s="174" t="s">
        <v>1486</v>
      </c>
      <c r="B31" s="128" t="s">
        <v>2102</v>
      </c>
      <c r="C31" s="208">
        <v>288.39</v>
      </c>
      <c r="D31" s="128"/>
      <c r="E31" s="997" t="s">
        <v>1534</v>
      </c>
      <c r="F31" s="997"/>
      <c r="G31" s="997"/>
      <c r="H31" s="997"/>
    </row>
    <row r="32" spans="1:8">
      <c r="A32" s="174" t="s">
        <v>38</v>
      </c>
      <c r="B32" s="128" t="s">
        <v>1497</v>
      </c>
      <c r="C32" s="208">
        <v>64</v>
      </c>
      <c r="D32" s="128"/>
      <c r="E32" s="470" t="s">
        <v>1487</v>
      </c>
      <c r="F32" s="261" t="s">
        <v>1523</v>
      </c>
      <c r="G32" s="207" t="s">
        <v>1524</v>
      </c>
      <c r="H32" s="207" t="s">
        <v>1525</v>
      </c>
    </row>
    <row r="33" spans="1:8">
      <c r="A33" s="174" t="s">
        <v>1500</v>
      </c>
      <c r="B33" s="128" t="s">
        <v>1501</v>
      </c>
      <c r="C33" s="208">
        <v>17</v>
      </c>
      <c r="D33" s="128"/>
      <c r="E33" s="470">
        <v>2.57</v>
      </c>
      <c r="F33" s="207">
        <v>16.940000000000001</v>
      </c>
      <c r="G33" s="207">
        <v>24.04</v>
      </c>
      <c r="H33" s="210">
        <v>31.13</v>
      </c>
    </row>
    <row r="34" spans="1:8" ht="25.5">
      <c r="A34" s="174" t="s">
        <v>1504</v>
      </c>
      <c r="B34" s="128" t="s">
        <v>1505</v>
      </c>
      <c r="C34" s="208">
        <v>118.81</v>
      </c>
      <c r="D34" s="128"/>
      <c r="E34" s="997" t="s">
        <v>1533</v>
      </c>
      <c r="F34" s="997"/>
      <c r="G34" s="997"/>
      <c r="H34" s="997"/>
    </row>
    <row r="35" spans="1:8">
      <c r="A35" s="174" t="s">
        <v>1510</v>
      </c>
      <c r="B35" s="128" t="s">
        <v>1506</v>
      </c>
      <c r="C35" s="208">
        <v>35</v>
      </c>
      <c r="D35" s="128"/>
      <c r="E35" s="470" t="s">
        <v>1487</v>
      </c>
      <c r="F35" s="261" t="s">
        <v>1523</v>
      </c>
      <c r="G35" s="207" t="s">
        <v>1524</v>
      </c>
      <c r="H35" s="207" t="s">
        <v>1525</v>
      </c>
    </row>
    <row r="36" spans="1:8">
      <c r="A36" s="174" t="s">
        <v>1511</v>
      </c>
      <c r="B36" s="128" t="s">
        <v>1507</v>
      </c>
      <c r="C36" s="208">
        <v>6</v>
      </c>
      <c r="D36" s="128"/>
      <c r="E36" s="470">
        <v>1.08</v>
      </c>
      <c r="F36" s="207">
        <v>8.4700000000000006</v>
      </c>
      <c r="G36" s="207">
        <v>12.12</v>
      </c>
      <c r="H36" s="210">
        <v>15.77</v>
      </c>
    </row>
    <row r="37" spans="1:8">
      <c r="A37" s="174" t="s">
        <v>1508</v>
      </c>
      <c r="B37" s="128" t="s">
        <v>1509</v>
      </c>
      <c r="C37" s="208">
        <v>87</v>
      </c>
      <c r="D37" s="128"/>
      <c r="E37" s="262"/>
      <c r="F37" s="128"/>
      <c r="G37" s="128"/>
      <c r="H37" s="208"/>
    </row>
    <row r="38" spans="1:8">
      <c r="A38" s="174" t="s">
        <v>1512</v>
      </c>
      <c r="B38" s="128" t="s">
        <v>1514</v>
      </c>
      <c r="C38" s="208">
        <v>31</v>
      </c>
      <c r="D38" s="128"/>
      <c r="E38" s="262"/>
      <c r="F38" s="128"/>
      <c r="G38" s="128"/>
      <c r="H38" s="208"/>
    </row>
    <row r="39" spans="1:8">
      <c r="A39" s="174" t="s">
        <v>1513</v>
      </c>
      <c r="B39" s="128" t="s">
        <v>1515</v>
      </c>
      <c r="C39" s="208">
        <v>26</v>
      </c>
      <c r="D39" s="128"/>
      <c r="E39" s="262"/>
      <c r="F39" s="127"/>
      <c r="G39" s="128"/>
      <c r="H39" s="208"/>
    </row>
    <row r="40" spans="1:8">
      <c r="A40" s="174" t="s">
        <v>1315</v>
      </c>
      <c r="B40" s="128" t="s">
        <v>1516</v>
      </c>
      <c r="C40" s="208">
        <v>462</v>
      </c>
      <c r="D40" s="128"/>
      <c r="E40" s="174" t="s">
        <v>1555</v>
      </c>
      <c r="F40" s="128" t="s">
        <v>1553</v>
      </c>
      <c r="G40" s="208">
        <v>607</v>
      </c>
      <c r="H40" s="208"/>
    </row>
    <row r="41" spans="1:8" ht="25.5">
      <c r="A41" s="174" t="s">
        <v>1518</v>
      </c>
      <c r="B41" s="128" t="s">
        <v>1517</v>
      </c>
      <c r="C41" s="208">
        <v>169</v>
      </c>
      <c r="D41" s="128"/>
      <c r="E41" s="262" t="s">
        <v>1558</v>
      </c>
      <c r="F41" s="128" t="s">
        <v>1559</v>
      </c>
      <c r="G41" s="208">
        <v>175</v>
      </c>
      <c r="H41" s="208"/>
    </row>
    <row r="42" spans="1:8" ht="25.5">
      <c r="A42" s="174" t="s">
        <v>1520</v>
      </c>
      <c r="B42" s="128" t="s">
        <v>1521</v>
      </c>
      <c r="C42" s="208">
        <v>229</v>
      </c>
      <c r="D42" s="128"/>
      <c r="E42" s="262" t="s">
        <v>1558</v>
      </c>
      <c r="F42" s="128" t="s">
        <v>1560</v>
      </c>
      <c r="G42" s="208">
        <v>205</v>
      </c>
      <c r="H42" s="208"/>
    </row>
    <row r="43" spans="1:8" ht="38.25">
      <c r="A43" s="174" t="s">
        <v>1535</v>
      </c>
      <c r="B43" s="128" t="s">
        <v>1536</v>
      </c>
      <c r="C43" s="208">
        <v>23</v>
      </c>
      <c r="D43" s="128"/>
      <c r="E43" s="262" t="s">
        <v>1163</v>
      </c>
      <c r="F43" s="128" t="s">
        <v>1562</v>
      </c>
      <c r="G43" s="208">
        <v>200</v>
      </c>
      <c r="H43" s="208"/>
    </row>
    <row r="44" spans="1:8" ht="38.25">
      <c r="A44" s="174" t="s">
        <v>1539</v>
      </c>
      <c r="B44" s="128" t="s">
        <v>2234</v>
      </c>
      <c r="C44" s="208">
        <v>86</v>
      </c>
      <c r="D44" s="128"/>
      <c r="E44" s="262" t="s">
        <v>1163</v>
      </c>
      <c r="F44" s="128" t="s">
        <v>1563</v>
      </c>
      <c r="G44" s="208">
        <v>235</v>
      </c>
      <c r="H44" s="208"/>
    </row>
    <row r="45" spans="1:8">
      <c r="A45" s="174" t="s">
        <v>655</v>
      </c>
      <c r="B45" s="128" t="s">
        <v>1541</v>
      </c>
      <c r="C45" s="208">
        <v>27.95</v>
      </c>
      <c r="D45" s="128"/>
      <c r="E45" s="262" t="s">
        <v>1564</v>
      </c>
      <c r="F45" s="128" t="s">
        <v>1565</v>
      </c>
      <c r="G45" s="208">
        <v>180</v>
      </c>
      <c r="H45" s="208"/>
    </row>
    <row r="46" spans="1:8">
      <c r="A46" s="174" t="s">
        <v>1542</v>
      </c>
      <c r="B46" s="128" t="s">
        <v>1543</v>
      </c>
      <c r="C46" s="208">
        <v>529</v>
      </c>
      <c r="D46" s="128"/>
      <c r="E46" s="262" t="s">
        <v>1566</v>
      </c>
      <c r="F46" s="128" t="s">
        <v>1567</v>
      </c>
      <c r="G46" s="208">
        <v>285</v>
      </c>
      <c r="H46" s="208"/>
    </row>
    <row r="47" spans="1:8" ht="38.25">
      <c r="A47" s="127" t="s">
        <v>1570</v>
      </c>
      <c r="B47" s="128" t="s">
        <v>1164</v>
      </c>
      <c r="C47" s="128">
        <v>4481</v>
      </c>
      <c r="D47" s="128"/>
      <c r="E47" s="262" t="s">
        <v>1568</v>
      </c>
      <c r="F47" s="128" t="s">
        <v>1569</v>
      </c>
      <c r="G47" s="208">
        <v>880</v>
      </c>
      <c r="H47" s="208"/>
    </row>
    <row r="48" spans="1:8" ht="38.25">
      <c r="A48" s="174" t="s">
        <v>1571</v>
      </c>
      <c r="B48" s="128" t="s">
        <v>1216</v>
      </c>
      <c r="C48" s="208">
        <v>390</v>
      </c>
      <c r="D48" s="128"/>
      <c r="E48" s="262" t="s">
        <v>1214</v>
      </c>
      <c r="F48" s="128" t="s">
        <v>1213</v>
      </c>
      <c r="G48" s="208">
        <v>260</v>
      </c>
      <c r="H48" s="208"/>
    </row>
    <row r="49" spans="1:8">
      <c r="A49" s="174" t="s">
        <v>1572</v>
      </c>
      <c r="B49" s="128" t="s">
        <v>1218</v>
      </c>
      <c r="C49" s="208">
        <v>250</v>
      </c>
      <c r="D49" s="128"/>
      <c r="E49" s="262"/>
      <c r="F49" s="127"/>
      <c r="G49" s="128"/>
      <c r="H49" s="208"/>
    </row>
    <row r="50" spans="1:8">
      <c r="A50" s="174"/>
      <c r="B50" s="128"/>
      <c r="C50" s="208"/>
      <c r="D50" s="128"/>
      <c r="E50" s="262"/>
      <c r="F50" s="127"/>
      <c r="G50" s="128"/>
      <c r="H50" s="208"/>
    </row>
    <row r="51" spans="1:8">
      <c r="A51" s="127"/>
      <c r="B51" s="128"/>
      <c r="C51" s="128" t="s">
        <v>1487</v>
      </c>
      <c r="D51" s="128" t="s">
        <v>1488</v>
      </c>
      <c r="E51" s="262"/>
      <c r="F51" s="127"/>
      <c r="G51" s="128"/>
      <c r="H51" s="208"/>
    </row>
    <row r="52" spans="1:8">
      <c r="A52" s="174" t="s">
        <v>145</v>
      </c>
      <c r="B52" s="128"/>
      <c r="C52" s="128">
        <v>301</v>
      </c>
      <c r="D52" s="128">
        <v>672</v>
      </c>
      <c r="E52" s="262"/>
      <c r="F52" s="127"/>
      <c r="G52" s="128"/>
      <c r="H52" s="208"/>
    </row>
    <row r="53" spans="1:8">
      <c r="A53" s="174" t="s">
        <v>1489</v>
      </c>
      <c r="B53" s="128"/>
      <c r="C53" s="128">
        <v>67</v>
      </c>
      <c r="D53" s="128">
        <v>363</v>
      </c>
      <c r="E53" s="262"/>
      <c r="F53" s="127"/>
      <c r="G53" s="128"/>
      <c r="H53" s="208"/>
    </row>
    <row r="54" spans="1:8">
      <c r="A54" s="174" t="s">
        <v>1490</v>
      </c>
      <c r="B54" s="128"/>
      <c r="C54" s="128">
        <v>343</v>
      </c>
      <c r="D54" s="128">
        <v>1069</v>
      </c>
      <c r="E54" s="262"/>
      <c r="F54" s="127"/>
      <c r="G54" s="128"/>
      <c r="H54" s="208"/>
    </row>
    <row r="55" spans="1:8">
      <c r="A55" s="174" t="s">
        <v>1222</v>
      </c>
      <c r="B55" s="128"/>
      <c r="C55" s="128">
        <v>1453</v>
      </c>
      <c r="D55" s="128">
        <v>1620</v>
      </c>
      <c r="E55" s="262"/>
      <c r="F55" s="127"/>
      <c r="G55" s="128"/>
      <c r="H55" s="208"/>
    </row>
    <row r="56" spans="1:8">
      <c r="A56" s="127"/>
      <c r="B56" s="128"/>
      <c r="C56" s="128"/>
      <c r="D56" s="128" t="s">
        <v>163</v>
      </c>
      <c r="E56" s="128" t="s">
        <v>164</v>
      </c>
      <c r="F56" s="128" t="s">
        <v>165</v>
      </c>
      <c r="G56" s="128"/>
      <c r="H56" s="208"/>
    </row>
    <row r="57" spans="1:8">
      <c r="A57" s="174" t="s">
        <v>1221</v>
      </c>
      <c r="B57" s="128"/>
      <c r="C57" s="128">
        <v>371</v>
      </c>
      <c r="D57" s="128">
        <v>2415</v>
      </c>
      <c r="E57" s="128">
        <v>2657</v>
      </c>
      <c r="F57" s="128">
        <v>2898</v>
      </c>
      <c r="G57" s="128"/>
      <c r="H57" s="208"/>
    </row>
    <row r="58" spans="1:8">
      <c r="A58" s="174" t="s">
        <v>815</v>
      </c>
      <c r="B58" s="128"/>
      <c r="C58" s="128">
        <v>1233</v>
      </c>
      <c r="D58" s="128">
        <v>1720</v>
      </c>
      <c r="E58" s="128">
        <v>1892</v>
      </c>
      <c r="F58" s="128">
        <v>2064</v>
      </c>
      <c r="G58" s="128"/>
      <c r="H58" s="208"/>
    </row>
    <row r="59" spans="1:8">
      <c r="A59" s="174" t="s">
        <v>1491</v>
      </c>
      <c r="B59" s="128"/>
      <c r="C59" s="128">
        <v>243</v>
      </c>
      <c r="D59" s="128">
        <v>264</v>
      </c>
      <c r="E59" s="128">
        <v>290</v>
      </c>
      <c r="F59" s="128">
        <v>317</v>
      </c>
      <c r="G59" s="128"/>
      <c r="H59" s="208"/>
    </row>
    <row r="60" spans="1:8">
      <c r="A60" s="174" t="s">
        <v>1492</v>
      </c>
      <c r="B60" s="128"/>
      <c r="C60" s="128">
        <v>2179</v>
      </c>
      <c r="D60" s="128">
        <v>2027</v>
      </c>
      <c r="E60" s="128">
        <v>2230</v>
      </c>
      <c r="F60" s="128">
        <v>2432</v>
      </c>
      <c r="G60" s="128"/>
      <c r="H60" s="208"/>
    </row>
    <row r="61" spans="1:8">
      <c r="A61" s="174" t="s">
        <v>1493</v>
      </c>
      <c r="B61" s="128"/>
      <c r="C61" s="128">
        <v>247</v>
      </c>
      <c r="D61" s="128">
        <v>241</v>
      </c>
      <c r="E61" s="128">
        <v>265</v>
      </c>
      <c r="F61" s="128">
        <v>289</v>
      </c>
      <c r="G61" s="128"/>
      <c r="H61" s="208"/>
    </row>
    <row r="62" spans="1:8">
      <c r="A62" s="174" t="s">
        <v>1494</v>
      </c>
      <c r="B62" s="128"/>
      <c r="C62" s="128">
        <v>254</v>
      </c>
      <c r="D62" s="128">
        <v>248</v>
      </c>
      <c r="E62" s="128">
        <v>273</v>
      </c>
      <c r="F62" s="128">
        <v>298</v>
      </c>
      <c r="G62" s="128"/>
      <c r="H62" s="208"/>
    </row>
    <row r="63" spans="1:8">
      <c r="A63" s="127"/>
      <c r="B63" s="128"/>
      <c r="C63" s="128"/>
      <c r="D63" s="128"/>
      <c r="E63" s="262"/>
      <c r="F63" s="128"/>
      <c r="G63" s="128"/>
      <c r="H63" s="208"/>
    </row>
    <row r="64" spans="1:8">
      <c r="A64" s="127"/>
      <c r="B64" s="128"/>
      <c r="C64" s="128"/>
      <c r="D64" s="128"/>
      <c r="E64" s="262"/>
      <c r="F64" s="128"/>
      <c r="G64" s="128"/>
      <c r="H64" s="208"/>
    </row>
    <row r="65" spans="1:8">
      <c r="A65" s="127"/>
      <c r="B65" s="128"/>
      <c r="C65" s="128"/>
      <c r="D65" s="128"/>
      <c r="E65" s="262"/>
      <c r="F65" s="127"/>
      <c r="G65" s="128"/>
      <c r="H65" s="208"/>
    </row>
    <row r="66" spans="1:8" ht="24">
      <c r="A66" s="36" t="s">
        <v>1573</v>
      </c>
      <c r="B66" s="128" t="s">
        <v>1574</v>
      </c>
      <c r="C66" s="208">
        <v>1979</v>
      </c>
      <c r="D66" s="128"/>
      <c r="E66" s="262"/>
      <c r="F66" s="127" t="s">
        <v>1605</v>
      </c>
      <c r="G66" s="128" t="s">
        <v>2103</v>
      </c>
      <c r="H66" s="208">
        <v>8.5</v>
      </c>
    </row>
    <row r="67" spans="1:8" ht="24">
      <c r="A67" s="36" t="s">
        <v>1575</v>
      </c>
      <c r="B67" s="128" t="s">
        <v>1576</v>
      </c>
      <c r="C67" s="208">
        <v>2468</v>
      </c>
      <c r="D67" s="128"/>
      <c r="E67" s="262"/>
      <c r="F67" s="127" t="s">
        <v>1606</v>
      </c>
      <c r="G67" s="128" t="s">
        <v>2104</v>
      </c>
      <c r="H67" s="208">
        <v>1</v>
      </c>
    </row>
    <row r="68" spans="1:8">
      <c r="A68" s="36" t="s">
        <v>1577</v>
      </c>
      <c r="B68" s="128" t="s">
        <v>1578</v>
      </c>
      <c r="C68" s="208">
        <v>850</v>
      </c>
      <c r="D68" s="128"/>
      <c r="E68" s="262"/>
      <c r="F68" s="36" t="s">
        <v>1610</v>
      </c>
      <c r="G68" s="128" t="s">
        <v>1607</v>
      </c>
      <c r="H68" s="208">
        <v>157</v>
      </c>
    </row>
    <row r="69" spans="1:8">
      <c r="A69" s="127" t="s">
        <v>1579</v>
      </c>
      <c r="B69" s="128" t="s">
        <v>1580</v>
      </c>
      <c r="C69" s="208">
        <v>1036</v>
      </c>
      <c r="D69" s="128"/>
      <c r="E69" s="262"/>
      <c r="F69" s="36" t="s">
        <v>1611</v>
      </c>
      <c r="G69" s="128" t="s">
        <v>1608</v>
      </c>
      <c r="H69" s="208">
        <v>184</v>
      </c>
    </row>
    <row r="70" spans="1:8">
      <c r="A70" s="127" t="s">
        <v>1582</v>
      </c>
      <c r="B70" s="128" t="s">
        <v>1581</v>
      </c>
      <c r="C70" s="208">
        <v>2644</v>
      </c>
      <c r="D70" s="128"/>
      <c r="E70" s="262"/>
      <c r="F70" s="36" t="s">
        <v>1612</v>
      </c>
      <c r="G70" s="128" t="s">
        <v>1821</v>
      </c>
      <c r="H70" s="208">
        <v>222</v>
      </c>
    </row>
    <row r="71" spans="1:8">
      <c r="A71" s="127" t="s">
        <v>1583</v>
      </c>
      <c r="B71" s="128" t="s">
        <v>1584</v>
      </c>
      <c r="C71" s="208">
        <v>1519</v>
      </c>
      <c r="D71" s="128"/>
      <c r="E71" s="262"/>
      <c r="F71" s="36" t="s">
        <v>1613</v>
      </c>
      <c r="G71" s="128" t="s">
        <v>1609</v>
      </c>
      <c r="H71" s="208">
        <v>288</v>
      </c>
    </row>
    <row r="72" spans="1:8">
      <c r="A72" s="127" t="s">
        <v>1602</v>
      </c>
      <c r="B72" s="128" t="s">
        <v>1585</v>
      </c>
      <c r="C72" s="208">
        <v>387</v>
      </c>
      <c r="D72" s="128"/>
      <c r="E72" s="262"/>
      <c r="F72" s="36" t="s">
        <v>1614</v>
      </c>
      <c r="G72" s="128" t="s">
        <v>1625</v>
      </c>
      <c r="H72" s="208">
        <v>25</v>
      </c>
    </row>
    <row r="73" spans="1:8">
      <c r="A73" s="127" t="s">
        <v>1587</v>
      </c>
      <c r="B73" s="128" t="s">
        <v>1586</v>
      </c>
      <c r="C73" s="208">
        <v>95</v>
      </c>
      <c r="D73" s="128"/>
      <c r="E73" s="262"/>
      <c r="F73" s="127" t="s">
        <v>1615</v>
      </c>
      <c r="G73" s="128" t="s">
        <v>1616</v>
      </c>
      <c r="H73" s="208">
        <v>35</v>
      </c>
    </row>
    <row r="74" spans="1:8">
      <c r="A74" s="127" t="s">
        <v>1589</v>
      </c>
      <c r="B74" s="128" t="s">
        <v>1588</v>
      </c>
      <c r="C74" s="208">
        <v>24</v>
      </c>
      <c r="D74" s="128"/>
      <c r="E74" s="262"/>
      <c r="F74" s="127" t="s">
        <v>1617</v>
      </c>
      <c r="G74" s="128" t="s">
        <v>1618</v>
      </c>
      <c r="H74" s="208">
        <v>1165</v>
      </c>
    </row>
    <row r="75" spans="1:8">
      <c r="A75" s="127" t="s">
        <v>1230</v>
      </c>
      <c r="B75" s="128" t="s">
        <v>1590</v>
      </c>
      <c r="C75" s="208">
        <v>93</v>
      </c>
      <c r="D75" s="128"/>
      <c r="E75" s="262"/>
      <c r="F75" s="127" t="s">
        <v>1620</v>
      </c>
      <c r="G75" s="128" t="s">
        <v>1619</v>
      </c>
      <c r="H75" s="208">
        <v>77</v>
      </c>
    </row>
    <row r="76" spans="1:8" ht="25.5">
      <c r="A76" s="127" t="s">
        <v>1592</v>
      </c>
      <c r="B76" s="128" t="s">
        <v>1591</v>
      </c>
      <c r="C76" s="208">
        <v>32</v>
      </c>
      <c r="D76" s="128"/>
      <c r="E76" s="262"/>
      <c r="F76" s="127" t="s">
        <v>1621</v>
      </c>
      <c r="G76" s="128" t="s">
        <v>1622</v>
      </c>
      <c r="H76" s="208">
        <v>17</v>
      </c>
    </row>
    <row r="77" spans="1:8" ht="25.5">
      <c r="A77" s="127" t="s">
        <v>1593</v>
      </c>
      <c r="B77" s="128" t="s">
        <v>1594</v>
      </c>
      <c r="C77" s="208">
        <v>128</v>
      </c>
      <c r="D77" s="128"/>
      <c r="E77" s="262"/>
      <c r="F77" s="127"/>
      <c r="G77" s="128"/>
      <c r="H77" s="208"/>
    </row>
    <row r="78" spans="1:8">
      <c r="A78" s="127" t="s">
        <v>1227</v>
      </c>
      <c r="B78" s="128" t="s">
        <v>1595</v>
      </c>
      <c r="C78" s="208">
        <v>447</v>
      </c>
      <c r="D78" s="128"/>
      <c r="E78" s="262"/>
      <c r="F78" s="127"/>
      <c r="G78" s="128"/>
      <c r="H78" s="208"/>
    </row>
    <row r="79" spans="1:8">
      <c r="A79" s="127" t="s">
        <v>1228</v>
      </c>
      <c r="B79" s="128" t="s">
        <v>1596</v>
      </c>
      <c r="C79" s="208">
        <v>425</v>
      </c>
      <c r="D79" s="128"/>
      <c r="E79" s="262"/>
      <c r="F79" s="127"/>
      <c r="G79" s="128"/>
      <c r="H79" s="208"/>
    </row>
    <row r="80" spans="1:8">
      <c r="A80" s="127" t="s">
        <v>1229</v>
      </c>
      <c r="B80" s="128" t="s">
        <v>1597</v>
      </c>
      <c r="C80" s="208">
        <v>267</v>
      </c>
      <c r="D80" s="128"/>
      <c r="E80" s="262"/>
      <c r="F80" s="127"/>
      <c r="G80" s="128"/>
      <c r="H80" s="208"/>
    </row>
    <row r="81" spans="1:8">
      <c r="A81" s="127" t="s">
        <v>1598</v>
      </c>
      <c r="B81" s="128" t="s">
        <v>1599</v>
      </c>
      <c r="C81" s="208">
        <v>84</v>
      </c>
      <c r="D81" s="128"/>
      <c r="E81" s="262"/>
      <c r="F81" s="127"/>
      <c r="G81" s="128"/>
      <c r="H81" s="208"/>
    </row>
    <row r="82" spans="1:8">
      <c r="A82" s="127" t="s">
        <v>1600</v>
      </c>
      <c r="B82" s="128" t="s">
        <v>1601</v>
      </c>
      <c r="C82" s="208">
        <v>1644</v>
      </c>
      <c r="D82" s="128"/>
      <c r="E82" s="262"/>
      <c r="F82" s="127"/>
      <c r="G82" s="128"/>
      <c r="H82" s="208"/>
    </row>
    <row r="83" spans="1:8">
      <c r="A83" s="127" t="s">
        <v>1603</v>
      </c>
      <c r="B83" s="128" t="s">
        <v>1604</v>
      </c>
      <c r="C83" s="208">
        <v>4166</v>
      </c>
      <c r="D83" s="128"/>
      <c r="E83" s="262"/>
      <c r="F83" s="127"/>
      <c r="G83" s="128"/>
      <c r="H83" s="208"/>
    </row>
    <row r="84" spans="1:8">
      <c r="A84" s="127"/>
      <c r="B84" s="128"/>
      <c r="C84" s="128"/>
      <c r="D84" s="128"/>
      <c r="E84" s="262"/>
      <c r="F84" s="127"/>
      <c r="G84" s="128"/>
      <c r="H84" s="208"/>
    </row>
    <row r="85" spans="1:8">
      <c r="A85" s="127"/>
      <c r="B85" s="128"/>
      <c r="C85" s="128"/>
      <c r="D85" s="128"/>
      <c r="E85" s="262"/>
      <c r="F85" s="127"/>
      <c r="G85" s="128"/>
      <c r="H85" s="208"/>
    </row>
    <row r="86" spans="1:8">
      <c r="A86" s="127" t="s">
        <v>1627</v>
      </c>
      <c r="B86" s="128" t="s">
        <v>2235</v>
      </c>
      <c r="C86" s="208">
        <v>492.16</v>
      </c>
      <c r="D86" s="128"/>
      <c r="E86" s="262"/>
      <c r="F86" s="127"/>
      <c r="G86" s="128"/>
      <c r="H86" s="208"/>
    </row>
    <row r="87" spans="1:8">
      <c r="A87" s="127" t="s">
        <v>1628</v>
      </c>
      <c r="B87" s="128" t="s">
        <v>2235</v>
      </c>
      <c r="C87" s="208">
        <v>526.54999999999995</v>
      </c>
      <c r="D87" s="128"/>
      <c r="E87" s="262"/>
      <c r="F87" s="127"/>
      <c r="G87" s="128"/>
      <c r="H87" s="208"/>
    </row>
    <row r="88" spans="1:8">
      <c r="A88" s="127" t="s">
        <v>1629</v>
      </c>
      <c r="B88" s="128" t="s">
        <v>2235</v>
      </c>
      <c r="C88" s="208">
        <v>590.61</v>
      </c>
      <c r="D88" s="128"/>
      <c r="E88" s="262"/>
      <c r="F88" s="127"/>
      <c r="G88" s="128"/>
      <c r="H88" s="208"/>
    </row>
    <row r="89" spans="1:8">
      <c r="A89" s="127" t="s">
        <v>1630</v>
      </c>
      <c r="B89" s="128" t="s">
        <v>1631</v>
      </c>
      <c r="C89" s="208">
        <v>29403</v>
      </c>
      <c r="D89" s="128"/>
      <c r="E89" s="262"/>
      <c r="F89" s="127"/>
      <c r="G89" s="128"/>
      <c r="H89" s="208"/>
    </row>
    <row r="90" spans="1:8">
      <c r="A90" s="127" t="s">
        <v>2105</v>
      </c>
      <c r="B90" s="128" t="s">
        <v>1632</v>
      </c>
      <c r="C90" s="208">
        <v>20207</v>
      </c>
      <c r="D90" s="128"/>
      <c r="E90" s="262"/>
      <c r="F90" s="127"/>
      <c r="G90" s="128"/>
      <c r="H90" s="208"/>
    </row>
    <row r="91" spans="1:8">
      <c r="A91" s="127" t="s">
        <v>1633</v>
      </c>
      <c r="B91" s="128" t="s">
        <v>2236</v>
      </c>
      <c r="C91" s="208">
        <v>358.31</v>
      </c>
      <c r="D91" s="128"/>
      <c r="E91" s="262"/>
      <c r="F91" s="127"/>
      <c r="G91" s="128"/>
      <c r="H91" s="208"/>
    </row>
    <row r="92" spans="1:8">
      <c r="A92" s="127" t="s">
        <v>1634</v>
      </c>
      <c r="B92" s="128" t="s">
        <v>1642</v>
      </c>
      <c r="C92" s="208">
        <v>80</v>
      </c>
      <c r="D92" s="128"/>
      <c r="E92" s="262"/>
      <c r="F92" s="127"/>
      <c r="G92" s="128"/>
      <c r="H92" s="208"/>
    </row>
    <row r="93" spans="1:8">
      <c r="A93" s="127" t="s">
        <v>1635</v>
      </c>
      <c r="B93" s="128" t="s">
        <v>1636</v>
      </c>
      <c r="C93" s="208">
        <v>185</v>
      </c>
      <c r="D93" s="128"/>
      <c r="E93" s="262"/>
      <c r="F93" s="127"/>
      <c r="G93" s="128"/>
      <c r="H93" s="208"/>
    </row>
    <row r="94" spans="1:8">
      <c r="A94" s="127" t="s">
        <v>1231</v>
      </c>
      <c r="B94" s="128" t="s">
        <v>2236</v>
      </c>
      <c r="C94" s="208">
        <v>330.75</v>
      </c>
      <c r="D94" s="128"/>
      <c r="E94" s="262"/>
      <c r="F94" s="127"/>
      <c r="G94" s="128"/>
      <c r="H94" s="208"/>
    </row>
    <row r="95" spans="1:8">
      <c r="A95" s="127" t="s">
        <v>1637</v>
      </c>
      <c r="B95" s="128" t="s">
        <v>2236</v>
      </c>
      <c r="C95" s="208">
        <v>400</v>
      </c>
      <c r="D95" s="128"/>
      <c r="E95" s="262"/>
      <c r="F95" s="127"/>
      <c r="G95" s="128"/>
      <c r="H95" s="208"/>
    </row>
    <row r="96" spans="1:8">
      <c r="A96" s="127" t="s">
        <v>1638</v>
      </c>
      <c r="B96" s="128" t="s">
        <v>1643</v>
      </c>
      <c r="C96" s="208">
        <v>77</v>
      </c>
      <c r="D96" s="128"/>
      <c r="E96" s="262"/>
      <c r="F96" s="127"/>
      <c r="G96" s="128"/>
      <c r="H96" s="208"/>
    </row>
    <row r="97" spans="1:8">
      <c r="A97" s="127" t="s">
        <v>1639</v>
      </c>
      <c r="B97" s="128" t="s">
        <v>2237</v>
      </c>
      <c r="C97" s="208">
        <v>109</v>
      </c>
      <c r="D97" s="128"/>
      <c r="E97" s="262"/>
      <c r="F97" s="127"/>
      <c r="G97" s="128"/>
      <c r="H97" s="208"/>
    </row>
    <row r="98" spans="1:8">
      <c r="A98" s="127" t="s">
        <v>1641</v>
      </c>
      <c r="B98" s="128" t="s">
        <v>1640</v>
      </c>
      <c r="C98" s="208">
        <v>5445</v>
      </c>
      <c r="D98" s="128"/>
      <c r="E98" s="262"/>
      <c r="F98" s="127"/>
      <c r="G98" s="128"/>
      <c r="H98" s="208"/>
    </row>
    <row r="99" spans="1:8">
      <c r="A99" s="127"/>
      <c r="B99" s="128"/>
      <c r="C99" s="128"/>
      <c r="D99" s="128"/>
      <c r="E99" s="262"/>
      <c r="F99" s="127"/>
      <c r="G99" s="128"/>
      <c r="H99" s="208"/>
    </row>
    <row r="100" spans="1:8" ht="22.5">
      <c r="A100" s="255" t="s">
        <v>1258</v>
      </c>
      <c r="B100" s="263" t="s">
        <v>1262</v>
      </c>
      <c r="C100" s="208">
        <v>28</v>
      </c>
      <c r="D100" s="128"/>
      <c r="E100" s="262"/>
      <c r="F100" s="127"/>
      <c r="G100" s="128"/>
      <c r="H100" s="208"/>
    </row>
    <row r="101" spans="1:8">
      <c r="A101" s="255" t="s">
        <v>1259</v>
      </c>
      <c r="B101" s="263" t="s">
        <v>1263</v>
      </c>
      <c r="C101" s="208">
        <v>12</v>
      </c>
      <c r="D101" s="128"/>
      <c r="E101" s="262"/>
      <c r="F101" s="127"/>
      <c r="G101" s="128"/>
      <c r="H101" s="208"/>
    </row>
    <row r="102" spans="1:8" ht="22.5">
      <c r="A102" s="255" t="s">
        <v>1268</v>
      </c>
      <c r="B102" s="263" t="s">
        <v>1264</v>
      </c>
      <c r="C102" s="208">
        <v>36</v>
      </c>
      <c r="D102" s="128"/>
      <c r="E102" s="262"/>
      <c r="F102" s="127"/>
      <c r="G102" s="128"/>
      <c r="H102" s="208"/>
    </row>
    <row r="103" spans="1:8">
      <c r="A103" s="256" t="s">
        <v>1266</v>
      </c>
      <c r="B103" s="263" t="s">
        <v>1270</v>
      </c>
      <c r="C103" s="208">
        <v>39</v>
      </c>
      <c r="D103" s="128"/>
      <c r="E103" s="262"/>
      <c r="F103" s="127"/>
      <c r="G103" s="128"/>
      <c r="H103" s="208"/>
    </row>
    <row r="104" spans="1:8">
      <c r="A104" s="127" t="s">
        <v>1653</v>
      </c>
      <c r="B104" s="128" t="s">
        <v>1654</v>
      </c>
      <c r="C104" s="208">
        <v>74</v>
      </c>
      <c r="D104" s="128"/>
      <c r="E104" s="262"/>
      <c r="F104" s="127"/>
      <c r="G104" s="128"/>
      <c r="H104" s="208"/>
    </row>
    <row r="105" spans="1:8">
      <c r="A105" s="127"/>
      <c r="B105" s="128"/>
      <c r="C105" s="128" t="s">
        <v>1658</v>
      </c>
      <c r="D105" s="127"/>
      <c r="E105" s="128" t="s">
        <v>1659</v>
      </c>
      <c r="F105" s="127"/>
      <c r="G105" s="128"/>
      <c r="H105" s="208"/>
    </row>
    <row r="106" spans="1:8">
      <c r="A106" s="127" t="s">
        <v>1232</v>
      </c>
      <c r="B106" s="128" t="s">
        <v>1660</v>
      </c>
      <c r="C106" s="208">
        <v>245</v>
      </c>
      <c r="D106" s="128" t="s">
        <v>1665</v>
      </c>
      <c r="E106" s="208">
        <v>240</v>
      </c>
      <c r="F106" s="127"/>
      <c r="G106" s="128"/>
      <c r="H106" s="208"/>
    </row>
    <row r="107" spans="1:8">
      <c r="A107" s="127" t="s">
        <v>1233</v>
      </c>
      <c r="B107" s="128" t="s">
        <v>1661</v>
      </c>
      <c r="C107" s="208">
        <v>203</v>
      </c>
      <c r="D107" s="128" t="s">
        <v>1666</v>
      </c>
      <c r="E107" s="208">
        <v>197</v>
      </c>
      <c r="F107" s="127"/>
      <c r="G107" s="128"/>
      <c r="H107" s="208"/>
    </row>
    <row r="108" spans="1:8">
      <c r="A108" s="127" t="s">
        <v>1234</v>
      </c>
      <c r="B108" s="128" t="s">
        <v>1662</v>
      </c>
      <c r="C108" s="208">
        <v>155</v>
      </c>
      <c r="D108" s="128" t="s">
        <v>1667</v>
      </c>
      <c r="E108" s="208">
        <v>152</v>
      </c>
      <c r="F108" s="127"/>
      <c r="G108" s="128"/>
      <c r="H108" s="208"/>
    </row>
    <row r="109" spans="1:8">
      <c r="A109" s="127" t="s">
        <v>1235</v>
      </c>
      <c r="B109" s="128" t="s">
        <v>1663</v>
      </c>
      <c r="C109" s="208">
        <v>114</v>
      </c>
      <c r="D109" s="128" t="s">
        <v>1668</v>
      </c>
      <c r="E109" s="208">
        <v>101</v>
      </c>
      <c r="F109" s="127"/>
      <c r="G109" s="128"/>
      <c r="H109" s="208"/>
    </row>
    <row r="110" spans="1:8">
      <c r="A110" s="127" t="s">
        <v>1655</v>
      </c>
      <c r="B110" s="128"/>
      <c r="C110" s="208">
        <f>C106+C108</f>
        <v>400</v>
      </c>
      <c r="D110" s="128"/>
      <c r="E110" s="208">
        <f>E106+E108</f>
        <v>392</v>
      </c>
      <c r="F110" s="127"/>
      <c r="G110" s="128"/>
      <c r="H110" s="208"/>
    </row>
    <row r="111" spans="1:8">
      <c r="A111" s="127" t="s">
        <v>1656</v>
      </c>
      <c r="B111" s="128"/>
      <c r="C111" s="208">
        <f>C106+C109</f>
        <v>359</v>
      </c>
      <c r="D111" s="128"/>
      <c r="E111" s="208">
        <f>E106+E109</f>
        <v>341</v>
      </c>
      <c r="F111" s="127"/>
      <c r="G111" s="128"/>
      <c r="H111" s="208"/>
    </row>
    <row r="112" spans="1:8">
      <c r="A112" s="127" t="s">
        <v>1657</v>
      </c>
      <c r="B112" s="128" t="s">
        <v>1664</v>
      </c>
      <c r="C112" s="208">
        <v>68</v>
      </c>
      <c r="D112" s="128" t="s">
        <v>1669</v>
      </c>
      <c r="E112" s="208">
        <v>76</v>
      </c>
      <c r="F112" s="127"/>
      <c r="G112" s="128"/>
      <c r="H112" s="208"/>
    </row>
    <row r="113" spans="1:8">
      <c r="A113" s="127"/>
      <c r="B113" s="128"/>
      <c r="C113" s="128"/>
      <c r="D113" s="128"/>
      <c r="E113" s="262"/>
      <c r="F113" s="127"/>
      <c r="G113" s="128"/>
      <c r="H113" s="208"/>
    </row>
    <row r="114" spans="1:8" ht="25.5">
      <c r="A114" s="127" t="s">
        <v>1670</v>
      </c>
      <c r="B114" s="128" t="s">
        <v>1671</v>
      </c>
      <c r="C114" s="208">
        <v>21</v>
      </c>
      <c r="D114" s="128"/>
      <c r="E114" s="262" t="s">
        <v>1703</v>
      </c>
      <c r="F114" s="127" t="s">
        <v>1704</v>
      </c>
      <c r="G114" s="208">
        <v>21</v>
      </c>
      <c r="H114" s="208"/>
    </row>
    <row r="115" spans="1:8" ht="25.5">
      <c r="A115" s="127" t="s">
        <v>1236</v>
      </c>
      <c r="B115" s="128" t="s">
        <v>1672</v>
      </c>
      <c r="C115" s="208">
        <v>1552</v>
      </c>
      <c r="D115" s="128"/>
      <c r="E115" s="262" t="s">
        <v>1705</v>
      </c>
      <c r="F115" s="127" t="s">
        <v>1706</v>
      </c>
      <c r="G115" s="208">
        <v>46</v>
      </c>
      <c r="H115" s="208"/>
    </row>
    <row r="116" spans="1:8" ht="25.5">
      <c r="A116" s="127" t="s">
        <v>1673</v>
      </c>
      <c r="B116" s="128" t="s">
        <v>1674</v>
      </c>
      <c r="C116" s="208">
        <v>18</v>
      </c>
      <c r="D116" s="128"/>
      <c r="E116" s="262" t="s">
        <v>1707</v>
      </c>
      <c r="F116" s="127" t="s">
        <v>2240</v>
      </c>
      <c r="G116" s="208">
        <v>1288</v>
      </c>
      <c r="H116" s="208"/>
    </row>
    <row r="117" spans="1:8" ht="25.5">
      <c r="A117" s="127" t="s">
        <v>1751</v>
      </c>
      <c r="B117" s="128" t="s">
        <v>1750</v>
      </c>
      <c r="C117" s="208">
        <v>21</v>
      </c>
      <c r="D117" s="128"/>
      <c r="E117" s="262" t="s">
        <v>1708</v>
      </c>
      <c r="F117" s="127" t="s">
        <v>1709</v>
      </c>
      <c r="G117" s="208">
        <v>208</v>
      </c>
      <c r="H117" s="208"/>
    </row>
    <row r="118" spans="1:8">
      <c r="A118" s="127" t="s">
        <v>1752</v>
      </c>
      <c r="B118" s="128" t="s">
        <v>1679</v>
      </c>
      <c r="C118" s="208">
        <v>27</v>
      </c>
      <c r="D118" s="128"/>
      <c r="E118" s="262" t="s">
        <v>1710</v>
      </c>
      <c r="F118" s="127" t="s">
        <v>1711</v>
      </c>
      <c r="G118" s="208">
        <v>2904</v>
      </c>
      <c r="H118" s="208"/>
    </row>
    <row r="119" spans="1:8" ht="38.25">
      <c r="A119" s="127" t="s">
        <v>1675</v>
      </c>
      <c r="B119" s="128" t="s">
        <v>1676</v>
      </c>
      <c r="C119" s="208">
        <v>1238</v>
      </c>
      <c r="D119" s="128"/>
      <c r="E119" s="262" t="s">
        <v>1712</v>
      </c>
      <c r="F119" s="127" t="s">
        <v>1744</v>
      </c>
      <c r="G119" s="208">
        <v>119</v>
      </c>
      <c r="H119" s="208"/>
    </row>
    <row r="120" spans="1:8">
      <c r="A120" s="127" t="s">
        <v>1677</v>
      </c>
      <c r="B120" s="128" t="s">
        <v>1678</v>
      </c>
      <c r="C120" s="208">
        <v>22</v>
      </c>
      <c r="D120" s="128"/>
      <c r="E120" s="262" t="s">
        <v>1319</v>
      </c>
      <c r="F120" s="127" t="s">
        <v>1761</v>
      </c>
      <c r="G120" s="208">
        <v>42</v>
      </c>
      <c r="H120" s="208"/>
    </row>
    <row r="121" spans="1:8" ht="51">
      <c r="A121" s="127" t="s">
        <v>1680</v>
      </c>
      <c r="B121" s="128" t="s">
        <v>2238</v>
      </c>
      <c r="C121" s="208">
        <v>51</v>
      </c>
      <c r="D121" s="128"/>
      <c r="E121" s="262" t="s">
        <v>1713</v>
      </c>
      <c r="F121" s="127" t="s">
        <v>1743</v>
      </c>
      <c r="G121" s="208">
        <v>248</v>
      </c>
      <c r="H121" s="208"/>
    </row>
    <row r="122" spans="1:8" ht="22.5">
      <c r="A122" s="127" t="s">
        <v>1681</v>
      </c>
      <c r="B122" s="128" t="s">
        <v>1682</v>
      </c>
      <c r="C122" s="208">
        <v>124</v>
      </c>
      <c r="D122" s="128"/>
      <c r="E122" s="255" t="s">
        <v>1763</v>
      </c>
      <c r="F122" s="127" t="s">
        <v>1714</v>
      </c>
      <c r="G122" s="208">
        <v>1105</v>
      </c>
      <c r="H122" s="208"/>
    </row>
    <row r="123" spans="1:8" ht="38.25">
      <c r="A123" s="127" t="s">
        <v>1683</v>
      </c>
      <c r="B123" s="128" t="s">
        <v>1684</v>
      </c>
      <c r="C123" s="208">
        <v>124</v>
      </c>
      <c r="D123" s="128"/>
      <c r="E123" s="257" t="s">
        <v>1715</v>
      </c>
      <c r="F123" s="127" t="s">
        <v>1716</v>
      </c>
      <c r="G123" s="208">
        <v>432</v>
      </c>
      <c r="H123" s="208"/>
    </row>
    <row r="124" spans="1:8" ht="25.5">
      <c r="A124" s="127" t="s">
        <v>1685</v>
      </c>
      <c r="B124" s="128" t="s">
        <v>1686</v>
      </c>
      <c r="C124" s="208">
        <v>72</v>
      </c>
      <c r="D124" s="128"/>
      <c r="E124" s="257" t="s">
        <v>1717</v>
      </c>
      <c r="F124" s="127" t="s">
        <v>1718</v>
      </c>
      <c r="G124" s="208">
        <v>228</v>
      </c>
      <c r="H124" s="208"/>
    </row>
    <row r="125" spans="1:8" ht="45">
      <c r="A125" s="127" t="s">
        <v>1687</v>
      </c>
      <c r="B125" s="128" t="s">
        <v>1688</v>
      </c>
      <c r="C125" s="208">
        <v>122</v>
      </c>
      <c r="D125" s="128"/>
      <c r="E125" s="255" t="s">
        <v>1719</v>
      </c>
      <c r="F125" s="127" t="s">
        <v>1720</v>
      </c>
      <c r="G125" s="208">
        <v>140</v>
      </c>
      <c r="H125" s="208"/>
    </row>
    <row r="126" spans="1:8" ht="56.25">
      <c r="A126" s="127" t="s">
        <v>1690</v>
      </c>
      <c r="B126" s="128" t="s">
        <v>1689</v>
      </c>
      <c r="C126" s="208">
        <v>95</v>
      </c>
      <c r="D126" s="128"/>
      <c r="E126" s="257" t="s">
        <v>1721</v>
      </c>
      <c r="F126" s="127" t="s">
        <v>1722</v>
      </c>
      <c r="G126" s="208">
        <v>6908</v>
      </c>
      <c r="H126" s="208"/>
    </row>
    <row r="127" spans="1:8" ht="25.5">
      <c r="A127" s="127" t="s">
        <v>1691</v>
      </c>
      <c r="B127" s="128" t="s">
        <v>1745</v>
      </c>
      <c r="C127" s="208">
        <v>80</v>
      </c>
      <c r="D127" s="128"/>
      <c r="E127" s="257" t="s">
        <v>1723</v>
      </c>
      <c r="F127" s="127" t="s">
        <v>1724</v>
      </c>
      <c r="G127" s="208">
        <v>246</v>
      </c>
      <c r="H127" s="208"/>
    </row>
    <row r="128" spans="1:8" ht="33.75">
      <c r="A128" s="127" t="s">
        <v>1692</v>
      </c>
      <c r="B128" s="128" t="s">
        <v>1693</v>
      </c>
      <c r="C128" s="208">
        <v>2046</v>
      </c>
      <c r="D128" s="128"/>
      <c r="E128" s="258" t="s">
        <v>1725</v>
      </c>
      <c r="F128" s="127" t="s">
        <v>1726</v>
      </c>
      <c r="G128" s="208">
        <v>455</v>
      </c>
      <c r="H128" s="208"/>
    </row>
    <row r="129" spans="1:8" ht="25.5">
      <c r="A129" s="127" t="s">
        <v>1694</v>
      </c>
      <c r="B129" s="128" t="s">
        <v>1695</v>
      </c>
      <c r="C129" s="208">
        <v>3305</v>
      </c>
      <c r="D129" s="128"/>
      <c r="E129" s="255" t="s">
        <v>1727</v>
      </c>
      <c r="F129" s="127" t="s">
        <v>1728</v>
      </c>
      <c r="G129" s="208">
        <v>94</v>
      </c>
      <c r="H129" s="208"/>
    </row>
    <row r="130" spans="1:8" ht="25.5">
      <c r="A130" s="127" t="s">
        <v>1696</v>
      </c>
      <c r="B130" s="128" t="s">
        <v>1697</v>
      </c>
      <c r="C130" s="208">
        <v>5046</v>
      </c>
      <c r="D130" s="128"/>
      <c r="E130" s="255" t="s">
        <v>1729</v>
      </c>
      <c r="F130" s="127" t="s">
        <v>1728</v>
      </c>
      <c r="G130" s="208">
        <v>94</v>
      </c>
      <c r="H130" s="208"/>
    </row>
    <row r="131" spans="1:8" ht="45">
      <c r="A131" s="127" t="s">
        <v>1698</v>
      </c>
      <c r="B131" s="128" t="s">
        <v>2239</v>
      </c>
      <c r="C131" s="208">
        <v>1816</v>
      </c>
      <c r="D131" s="128"/>
      <c r="E131" s="258" t="s">
        <v>1730</v>
      </c>
      <c r="F131" s="127" t="s">
        <v>1731</v>
      </c>
      <c r="G131" s="208">
        <v>9</v>
      </c>
      <c r="H131" s="208"/>
    </row>
    <row r="132" spans="1:8" ht="33.75">
      <c r="A132" s="127" t="s">
        <v>1699</v>
      </c>
      <c r="B132" s="128" t="s">
        <v>1700</v>
      </c>
      <c r="C132" s="208">
        <v>94</v>
      </c>
      <c r="D132" s="128"/>
      <c r="E132" s="258" t="s">
        <v>1732</v>
      </c>
      <c r="F132" s="127" t="s">
        <v>1733</v>
      </c>
      <c r="G132" s="208">
        <v>15</v>
      </c>
      <c r="H132" s="208"/>
    </row>
    <row r="133" spans="1:8" ht="22.5">
      <c r="A133" s="127" t="s">
        <v>1701</v>
      </c>
      <c r="B133" s="128" t="s">
        <v>1702</v>
      </c>
      <c r="C133" s="208">
        <v>556</v>
      </c>
      <c r="D133" s="128"/>
      <c r="E133" s="258" t="s">
        <v>1734</v>
      </c>
      <c r="F133" s="127" t="s">
        <v>1216</v>
      </c>
      <c r="G133" s="208">
        <v>390</v>
      </c>
      <c r="H133" s="208"/>
    </row>
    <row r="134" spans="1:8" ht="45">
      <c r="A134" s="127"/>
      <c r="B134" s="128"/>
      <c r="C134" s="128"/>
      <c r="D134" s="128"/>
      <c r="E134" s="258" t="s">
        <v>1735</v>
      </c>
      <c r="F134" s="127" t="s">
        <v>1218</v>
      </c>
      <c r="G134" s="208">
        <v>250</v>
      </c>
      <c r="H134" s="208"/>
    </row>
    <row r="135" spans="1:8">
      <c r="A135" s="127"/>
      <c r="B135" s="128"/>
      <c r="C135" s="128"/>
      <c r="D135" s="128"/>
      <c r="E135" s="258" t="s">
        <v>1736</v>
      </c>
      <c r="F135" s="127" t="s">
        <v>1737</v>
      </c>
      <c r="G135" s="208">
        <v>26</v>
      </c>
      <c r="H135" s="208"/>
    </row>
    <row r="136" spans="1:8">
      <c r="A136" s="127"/>
      <c r="B136" s="128"/>
      <c r="C136" s="128"/>
      <c r="D136" s="128"/>
      <c r="E136" s="258" t="s">
        <v>1738</v>
      </c>
      <c r="F136" s="127" t="s">
        <v>1739</v>
      </c>
      <c r="G136" s="208">
        <v>20</v>
      </c>
      <c r="H136" s="208"/>
    </row>
    <row r="137" spans="1:8" ht="22.5">
      <c r="A137" s="127"/>
      <c r="B137" s="128"/>
      <c r="C137" s="128"/>
      <c r="D137" s="128"/>
      <c r="E137" s="255" t="s">
        <v>1741</v>
      </c>
      <c r="F137" s="127" t="s">
        <v>1740</v>
      </c>
      <c r="G137" s="208">
        <v>348</v>
      </c>
      <c r="H137" s="208"/>
    </row>
    <row r="138" spans="1:8" ht="22.5">
      <c r="A138" s="127"/>
      <c r="B138" s="128"/>
      <c r="C138" s="128"/>
      <c r="D138" s="128"/>
      <c r="E138" s="255" t="s">
        <v>1741</v>
      </c>
      <c r="F138" s="127" t="s">
        <v>1740</v>
      </c>
      <c r="G138" s="208">
        <v>348</v>
      </c>
      <c r="H138" s="208"/>
    </row>
    <row r="139" spans="1:8">
      <c r="A139" s="127"/>
      <c r="B139" s="128"/>
      <c r="C139" s="128"/>
      <c r="D139" s="128"/>
      <c r="E139" s="262" t="s">
        <v>1314</v>
      </c>
      <c r="F139" s="127" t="s">
        <v>1742</v>
      </c>
      <c r="G139" s="208">
        <v>4543</v>
      </c>
      <c r="H139" s="208"/>
    </row>
    <row r="140" spans="1:8">
      <c r="A140" s="127"/>
      <c r="B140" s="128"/>
      <c r="C140" s="128"/>
      <c r="D140" s="128"/>
      <c r="E140" s="262"/>
      <c r="F140" s="127"/>
      <c r="G140" s="128"/>
      <c r="H140" s="208"/>
    </row>
    <row r="141" spans="1:8">
      <c r="A141" s="127"/>
      <c r="B141" s="128"/>
      <c r="C141" s="128"/>
      <c r="D141" s="128"/>
      <c r="E141" s="262"/>
      <c r="F141" s="127"/>
      <c r="G141" s="128"/>
      <c r="H141" s="208"/>
    </row>
    <row r="142" spans="1:8" ht="25.5">
      <c r="A142" s="215" t="s">
        <v>1766</v>
      </c>
      <c r="B142" s="207" t="s">
        <v>1166</v>
      </c>
      <c r="C142" s="128">
        <v>86000</v>
      </c>
      <c r="D142" s="128"/>
      <c r="E142" s="215" t="s">
        <v>1169</v>
      </c>
      <c r="F142" s="207" t="s">
        <v>1170</v>
      </c>
      <c r="G142" s="128">
        <v>288</v>
      </c>
      <c r="H142" s="208"/>
    </row>
    <row r="143" spans="1:8" ht="38.25">
      <c r="A143" s="215" t="s">
        <v>1767</v>
      </c>
      <c r="B143" s="207" t="s">
        <v>1168</v>
      </c>
      <c r="C143" s="128">
        <v>173500</v>
      </c>
      <c r="D143" s="128"/>
      <c r="E143" s="215" t="s">
        <v>1187</v>
      </c>
      <c r="F143" s="128" t="s">
        <v>1188</v>
      </c>
      <c r="G143" s="128">
        <v>90</v>
      </c>
      <c r="H143" s="208"/>
    </row>
    <row r="144" spans="1:8" ht="38.25">
      <c r="A144" s="215" t="s">
        <v>1770</v>
      </c>
      <c r="B144" s="207" t="s">
        <v>1772</v>
      </c>
      <c r="C144" s="128">
        <v>53228</v>
      </c>
      <c r="D144" s="128"/>
      <c r="E144" s="262" t="s">
        <v>1203</v>
      </c>
      <c r="F144" s="128" t="s">
        <v>1204</v>
      </c>
      <c r="G144" s="128">
        <v>118</v>
      </c>
      <c r="H144" s="208"/>
    </row>
    <row r="145" spans="1:8" ht="38.25">
      <c r="A145" s="215" t="s">
        <v>1771</v>
      </c>
      <c r="B145" s="207" t="s">
        <v>1773</v>
      </c>
      <c r="C145" s="128">
        <v>78753</v>
      </c>
      <c r="D145" s="128"/>
      <c r="E145" s="215" t="s">
        <v>1171</v>
      </c>
      <c r="F145" s="207" t="s">
        <v>1172</v>
      </c>
      <c r="G145" s="128">
        <v>285</v>
      </c>
      <c r="H145" s="208"/>
    </row>
    <row r="146" spans="1:8" ht="38.25">
      <c r="A146" s="127" t="s">
        <v>1183</v>
      </c>
      <c r="B146" s="128" t="s">
        <v>2241</v>
      </c>
      <c r="C146" s="128">
        <v>3512</v>
      </c>
      <c r="D146" s="128"/>
      <c r="E146" s="215" t="s">
        <v>1189</v>
      </c>
      <c r="F146" s="128" t="s">
        <v>1190</v>
      </c>
      <c r="G146" s="128">
        <v>135</v>
      </c>
      <c r="H146" s="208"/>
    </row>
    <row r="147" spans="1:8" ht="38.25">
      <c r="A147" s="127" t="s">
        <v>1778</v>
      </c>
      <c r="B147" s="128" t="s">
        <v>1201</v>
      </c>
      <c r="C147" s="128">
        <v>953</v>
      </c>
      <c r="D147" s="128"/>
      <c r="E147" s="215" t="s">
        <v>1173</v>
      </c>
      <c r="F147" s="207" t="s">
        <v>1174</v>
      </c>
      <c r="G147" s="128">
        <v>127</v>
      </c>
      <c r="H147" s="208"/>
    </row>
    <row r="148" spans="1:8" ht="25.5">
      <c r="A148" s="127"/>
      <c r="B148" s="128"/>
      <c r="C148" s="128"/>
      <c r="D148" s="128"/>
      <c r="E148" s="215" t="s">
        <v>1175</v>
      </c>
      <c r="F148" s="207" t="s">
        <v>1176</v>
      </c>
      <c r="G148" s="128">
        <v>1312</v>
      </c>
      <c r="H148" s="208"/>
    </row>
    <row r="149" spans="1:8" ht="38.25">
      <c r="A149" s="127" t="s">
        <v>1768</v>
      </c>
      <c r="B149" s="128" t="s">
        <v>1182</v>
      </c>
      <c r="C149" s="128">
        <v>2014</v>
      </c>
      <c r="D149" s="128"/>
      <c r="E149" s="215" t="s">
        <v>1191</v>
      </c>
      <c r="F149" s="128" t="s">
        <v>1192</v>
      </c>
      <c r="G149" s="128">
        <v>350</v>
      </c>
      <c r="H149" s="208"/>
    </row>
    <row r="150" spans="1:8" ht="25.5">
      <c r="A150" s="127" t="s">
        <v>1774</v>
      </c>
      <c r="B150" s="128" t="s">
        <v>1775</v>
      </c>
      <c r="C150" s="128">
        <v>1983</v>
      </c>
      <c r="D150" s="128"/>
      <c r="E150" s="215" t="s">
        <v>1177</v>
      </c>
      <c r="F150" s="207" t="s">
        <v>1178</v>
      </c>
      <c r="G150" s="128">
        <v>203</v>
      </c>
      <c r="H150" s="208"/>
    </row>
    <row r="151" spans="1:8" ht="38.25">
      <c r="A151" s="127" t="s">
        <v>1769</v>
      </c>
      <c r="B151" s="128" t="s">
        <v>1186</v>
      </c>
      <c r="C151" s="128">
        <v>1208</v>
      </c>
      <c r="D151" s="128"/>
      <c r="E151" s="215" t="s">
        <v>1193</v>
      </c>
      <c r="F151" s="128" t="s">
        <v>1194</v>
      </c>
      <c r="G151" s="128">
        <v>51</v>
      </c>
      <c r="H151" s="208"/>
    </row>
    <row r="152" spans="1:8" ht="38.25">
      <c r="A152" s="127" t="s">
        <v>1781</v>
      </c>
      <c r="B152" s="128" t="s">
        <v>1784</v>
      </c>
      <c r="C152" s="128">
        <v>9000</v>
      </c>
      <c r="D152" s="128"/>
      <c r="E152" s="215" t="s">
        <v>1179</v>
      </c>
      <c r="F152" s="207" t="s">
        <v>1180</v>
      </c>
      <c r="G152" s="128">
        <v>41</v>
      </c>
      <c r="H152" s="208"/>
    </row>
    <row r="153" spans="1:8">
      <c r="A153" s="127" t="s">
        <v>1782</v>
      </c>
      <c r="B153" s="128" t="s">
        <v>1206</v>
      </c>
      <c r="C153" s="128">
        <v>6698</v>
      </c>
      <c r="D153" s="128"/>
      <c r="E153" s="262" t="s">
        <v>1776</v>
      </c>
      <c r="F153" s="128" t="s">
        <v>1199</v>
      </c>
      <c r="G153" s="128">
        <v>484</v>
      </c>
      <c r="H153" s="208"/>
    </row>
    <row r="154" spans="1:8" ht="38.25">
      <c r="A154" s="127" t="s">
        <v>1783</v>
      </c>
      <c r="B154" s="128" t="s">
        <v>1209</v>
      </c>
      <c r="C154" s="128">
        <v>6456</v>
      </c>
      <c r="D154" s="128"/>
      <c r="E154" s="262" t="s">
        <v>1777</v>
      </c>
      <c r="F154" s="128" t="s">
        <v>1200</v>
      </c>
      <c r="G154" s="128">
        <v>403</v>
      </c>
      <c r="H154" s="208"/>
    </row>
    <row r="155" spans="1:8" ht="25.5">
      <c r="A155" s="127"/>
      <c r="B155" s="128"/>
      <c r="C155" s="128"/>
      <c r="D155" s="128"/>
      <c r="E155" s="215" t="s">
        <v>1779</v>
      </c>
      <c r="F155" s="128" t="s">
        <v>1780</v>
      </c>
      <c r="G155" s="128">
        <v>66</v>
      </c>
      <c r="H155" s="208"/>
    </row>
  </sheetData>
  <mergeCells count="4">
    <mergeCell ref="A1:H1"/>
    <mergeCell ref="E28:H28"/>
    <mergeCell ref="E31:H31"/>
    <mergeCell ref="E34:H34"/>
  </mergeCells>
  <pageMargins left="0.41" right="0.22" top="0.48" bottom="0.31" header="0.3" footer="0.3"/>
  <pageSetup paperSize="9" scale="95" orientation="portrait" verticalDpi="0" r:id="rId1"/>
  <rowBreaks count="2" manualBreakCount="2">
    <brk id="50" max="16383" man="1"/>
    <brk id="99"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05"/>
  <sheetViews>
    <sheetView workbookViewId="0">
      <selection activeCell="E5" sqref="E5"/>
    </sheetView>
  </sheetViews>
  <sheetFormatPr defaultRowHeight="15"/>
  <cols>
    <col min="1" max="1" width="9.140625" style="264"/>
    <col min="2" max="5" width="14.42578125" style="264" customWidth="1"/>
    <col min="6" max="6" width="11.7109375" style="264" customWidth="1"/>
    <col min="7" max="16384" width="9.140625" style="264"/>
  </cols>
  <sheetData>
    <row r="1" spans="1:6" ht="23.25">
      <c r="A1" s="998" t="s">
        <v>2231</v>
      </c>
      <c r="B1" s="998"/>
      <c r="C1" s="998"/>
      <c r="D1" s="998"/>
      <c r="E1" s="998"/>
      <c r="F1" s="998"/>
    </row>
    <row r="2" spans="1:6" ht="18">
      <c r="A2" s="265"/>
      <c r="B2" s="999" t="s">
        <v>1813</v>
      </c>
      <c r="C2" s="999"/>
      <c r="D2" s="999"/>
      <c r="E2" s="265"/>
      <c r="F2" s="265"/>
    </row>
    <row r="3" spans="1:6" ht="15" customHeight="1">
      <c r="A3" s="1000" t="s">
        <v>247</v>
      </c>
      <c r="B3" s="266" t="s">
        <v>1814</v>
      </c>
      <c r="C3" s="266" t="s">
        <v>137</v>
      </c>
      <c r="D3" s="281" t="s">
        <v>1815</v>
      </c>
      <c r="E3" s="282" t="s">
        <v>1819</v>
      </c>
      <c r="F3" s="283"/>
    </row>
    <row r="4" spans="1:6" ht="42" customHeight="1">
      <c r="A4" s="1000"/>
      <c r="B4" s="267" t="s">
        <v>1816</v>
      </c>
      <c r="C4" s="267" t="s">
        <v>1816</v>
      </c>
      <c r="D4" s="267" t="s">
        <v>1816</v>
      </c>
      <c r="E4" s="268" t="s">
        <v>1817</v>
      </c>
      <c r="F4" s="269" t="s">
        <v>1818</v>
      </c>
    </row>
    <row r="5" spans="1:6">
      <c r="A5" s="270">
        <v>1</v>
      </c>
      <c r="B5" s="271">
        <v>2</v>
      </c>
      <c r="C5" s="270">
        <v>3</v>
      </c>
      <c r="D5" s="271">
        <v>4</v>
      </c>
      <c r="E5" s="270">
        <v>5</v>
      </c>
      <c r="F5" s="271">
        <v>6</v>
      </c>
    </row>
    <row r="6" spans="1:6" ht="18" customHeight="1">
      <c r="A6" s="272">
        <v>1</v>
      </c>
      <c r="B6" s="443">
        <v>38</v>
      </c>
      <c r="C6" s="443">
        <v>36.54</v>
      </c>
      <c r="D6" s="443">
        <v>60.9</v>
      </c>
      <c r="E6" s="273">
        <v>53.74</v>
      </c>
      <c r="F6" s="274"/>
    </row>
    <row r="7" spans="1:6" ht="18" customHeight="1">
      <c r="A7" s="272">
        <v>2</v>
      </c>
      <c r="B7" s="443">
        <v>53.2</v>
      </c>
      <c r="C7" s="443">
        <v>51.16</v>
      </c>
      <c r="D7" s="443">
        <v>85.26</v>
      </c>
      <c r="E7" s="273">
        <v>75.23</v>
      </c>
      <c r="F7" s="274"/>
    </row>
    <row r="8" spans="1:6" ht="18" customHeight="1">
      <c r="A8" s="272">
        <v>3</v>
      </c>
      <c r="B8" s="443">
        <v>70.930000000000007</v>
      </c>
      <c r="C8" s="443">
        <v>68.209999999999994</v>
      </c>
      <c r="D8" s="443">
        <v>113.68</v>
      </c>
      <c r="E8" s="273">
        <v>100.31</v>
      </c>
      <c r="F8" s="274"/>
    </row>
    <row r="9" spans="1:6" ht="18" customHeight="1">
      <c r="A9" s="272">
        <v>4</v>
      </c>
      <c r="B9" s="443">
        <v>86.13</v>
      </c>
      <c r="C9" s="443">
        <v>82.82</v>
      </c>
      <c r="D9" s="443">
        <v>138.04</v>
      </c>
      <c r="E9" s="273">
        <v>121.8</v>
      </c>
      <c r="F9" s="274"/>
    </row>
    <row r="10" spans="1:6" s="278" customFormat="1" ht="18" customHeight="1">
      <c r="A10" s="275">
        <v>5</v>
      </c>
      <c r="B10" s="443">
        <v>101.33</v>
      </c>
      <c r="C10" s="443">
        <v>97.44</v>
      </c>
      <c r="D10" s="443">
        <v>162.4</v>
      </c>
      <c r="E10" s="276">
        <v>143.30000000000001</v>
      </c>
      <c r="F10" s="277"/>
    </row>
    <row r="11" spans="1:6" ht="18" customHeight="1">
      <c r="A11" s="272">
        <v>6</v>
      </c>
      <c r="B11" s="443">
        <f>B10+15.2</f>
        <v>116.53</v>
      </c>
      <c r="C11" s="443">
        <f>C10+14.62</f>
        <v>112.06</v>
      </c>
      <c r="D11" s="443">
        <f>D10+24.36</f>
        <v>186.76</v>
      </c>
      <c r="E11" s="273">
        <f>E10+21.49</f>
        <v>164.79000000000002</v>
      </c>
      <c r="F11" s="274"/>
    </row>
    <row r="12" spans="1:6" ht="18" customHeight="1">
      <c r="A12" s="272">
        <v>7</v>
      </c>
      <c r="B12" s="443">
        <f t="shared" ref="B12:B35" si="0">B11+15.2</f>
        <v>131.72999999999999</v>
      </c>
      <c r="C12" s="443">
        <f t="shared" ref="C12:C35" si="1">C11+14.62</f>
        <v>126.68</v>
      </c>
      <c r="D12" s="443">
        <f t="shared" ref="D12:D35" si="2">D11+24.36</f>
        <v>211.12</v>
      </c>
      <c r="E12" s="273">
        <f t="shared" ref="E12:E35" si="3">E11+21.49</f>
        <v>186.28000000000003</v>
      </c>
      <c r="F12" s="274"/>
    </row>
    <row r="13" spans="1:6" ht="18" customHeight="1">
      <c r="A13" s="272">
        <v>8</v>
      </c>
      <c r="B13" s="443">
        <f t="shared" si="0"/>
        <v>146.92999999999998</v>
      </c>
      <c r="C13" s="443">
        <f t="shared" si="1"/>
        <v>141.30000000000001</v>
      </c>
      <c r="D13" s="443">
        <f t="shared" si="2"/>
        <v>235.48000000000002</v>
      </c>
      <c r="E13" s="273">
        <f t="shared" si="3"/>
        <v>207.77000000000004</v>
      </c>
      <c r="F13" s="274"/>
    </row>
    <row r="14" spans="1:6" ht="18" customHeight="1">
      <c r="A14" s="272">
        <v>9</v>
      </c>
      <c r="B14" s="443">
        <f t="shared" si="0"/>
        <v>162.12999999999997</v>
      </c>
      <c r="C14" s="443">
        <f t="shared" si="1"/>
        <v>155.92000000000002</v>
      </c>
      <c r="D14" s="443">
        <f t="shared" si="2"/>
        <v>259.84000000000003</v>
      </c>
      <c r="E14" s="273">
        <f t="shared" si="3"/>
        <v>229.26000000000005</v>
      </c>
      <c r="F14" s="274"/>
    </row>
    <row r="15" spans="1:6" ht="18" customHeight="1">
      <c r="A15" s="272">
        <v>10</v>
      </c>
      <c r="B15" s="443">
        <f t="shared" si="0"/>
        <v>177.32999999999996</v>
      </c>
      <c r="C15" s="443">
        <f t="shared" si="1"/>
        <v>170.54000000000002</v>
      </c>
      <c r="D15" s="443">
        <f t="shared" si="2"/>
        <v>284.20000000000005</v>
      </c>
      <c r="E15" s="273">
        <f t="shared" si="3"/>
        <v>250.75000000000006</v>
      </c>
      <c r="F15" s="274"/>
    </row>
    <row r="16" spans="1:6" ht="18" customHeight="1">
      <c r="A16" s="272">
        <v>11</v>
      </c>
      <c r="B16" s="443">
        <f t="shared" si="0"/>
        <v>192.52999999999994</v>
      </c>
      <c r="C16" s="443">
        <f t="shared" si="1"/>
        <v>185.16000000000003</v>
      </c>
      <c r="D16" s="443">
        <f t="shared" si="2"/>
        <v>308.56000000000006</v>
      </c>
      <c r="E16" s="273">
        <f t="shared" si="3"/>
        <v>272.24000000000007</v>
      </c>
      <c r="F16" s="274"/>
    </row>
    <row r="17" spans="1:6" ht="18" customHeight="1">
      <c r="A17" s="272">
        <v>12</v>
      </c>
      <c r="B17" s="443">
        <f t="shared" si="0"/>
        <v>207.72999999999993</v>
      </c>
      <c r="C17" s="443">
        <f t="shared" si="1"/>
        <v>199.78000000000003</v>
      </c>
      <c r="D17" s="443">
        <f t="shared" si="2"/>
        <v>332.92000000000007</v>
      </c>
      <c r="E17" s="273">
        <f t="shared" si="3"/>
        <v>293.73000000000008</v>
      </c>
      <c r="F17" s="274"/>
    </row>
    <row r="18" spans="1:6" ht="18" customHeight="1">
      <c r="A18" s="272">
        <v>13</v>
      </c>
      <c r="B18" s="443">
        <f t="shared" si="0"/>
        <v>222.92999999999992</v>
      </c>
      <c r="C18" s="443">
        <f t="shared" si="1"/>
        <v>214.40000000000003</v>
      </c>
      <c r="D18" s="443">
        <f t="shared" si="2"/>
        <v>357.28000000000009</v>
      </c>
      <c r="E18" s="273">
        <f t="shared" si="3"/>
        <v>315.22000000000008</v>
      </c>
      <c r="F18" s="274"/>
    </row>
    <row r="19" spans="1:6" ht="18" customHeight="1">
      <c r="A19" s="272">
        <v>14</v>
      </c>
      <c r="B19" s="443">
        <f t="shared" si="0"/>
        <v>238.12999999999991</v>
      </c>
      <c r="C19" s="443">
        <f t="shared" si="1"/>
        <v>229.02000000000004</v>
      </c>
      <c r="D19" s="443">
        <f t="shared" si="2"/>
        <v>381.6400000000001</v>
      </c>
      <c r="E19" s="273">
        <f t="shared" si="3"/>
        <v>336.71000000000009</v>
      </c>
      <c r="F19" s="274"/>
    </row>
    <row r="20" spans="1:6" ht="18" customHeight="1">
      <c r="A20" s="272">
        <v>15</v>
      </c>
      <c r="B20" s="443">
        <f t="shared" si="0"/>
        <v>253.3299999999999</v>
      </c>
      <c r="C20" s="443">
        <f t="shared" si="1"/>
        <v>243.64000000000004</v>
      </c>
      <c r="D20" s="443">
        <f t="shared" si="2"/>
        <v>406.00000000000011</v>
      </c>
      <c r="E20" s="273">
        <f t="shared" si="3"/>
        <v>358.2000000000001</v>
      </c>
      <c r="F20" s="274"/>
    </row>
    <row r="21" spans="1:6" ht="18" customHeight="1">
      <c r="A21" s="272">
        <v>16</v>
      </c>
      <c r="B21" s="443">
        <f t="shared" si="0"/>
        <v>268.52999999999992</v>
      </c>
      <c r="C21" s="443">
        <f t="shared" si="1"/>
        <v>258.26000000000005</v>
      </c>
      <c r="D21" s="443">
        <f t="shared" si="2"/>
        <v>430.36000000000013</v>
      </c>
      <c r="E21" s="273">
        <f t="shared" si="3"/>
        <v>379.69000000000011</v>
      </c>
      <c r="F21" s="274"/>
    </row>
    <row r="22" spans="1:6" ht="18" customHeight="1">
      <c r="A22" s="272">
        <v>17</v>
      </c>
      <c r="B22" s="443">
        <f t="shared" si="0"/>
        <v>283.7299999999999</v>
      </c>
      <c r="C22" s="443">
        <f t="shared" si="1"/>
        <v>272.88000000000005</v>
      </c>
      <c r="D22" s="443">
        <f t="shared" si="2"/>
        <v>454.72000000000014</v>
      </c>
      <c r="E22" s="273">
        <f t="shared" si="3"/>
        <v>401.18000000000012</v>
      </c>
      <c r="F22" s="274"/>
    </row>
    <row r="23" spans="1:6" ht="18" customHeight="1">
      <c r="A23" s="272">
        <v>18</v>
      </c>
      <c r="B23" s="443">
        <f t="shared" si="0"/>
        <v>298.92999999999989</v>
      </c>
      <c r="C23" s="443">
        <f t="shared" si="1"/>
        <v>287.50000000000006</v>
      </c>
      <c r="D23" s="443">
        <f t="shared" si="2"/>
        <v>479.08000000000015</v>
      </c>
      <c r="E23" s="273">
        <f t="shared" si="3"/>
        <v>422.67000000000013</v>
      </c>
      <c r="F23" s="274"/>
    </row>
    <row r="24" spans="1:6" ht="18" customHeight="1">
      <c r="A24" s="272">
        <v>19</v>
      </c>
      <c r="B24" s="443">
        <f t="shared" si="0"/>
        <v>314.12999999999988</v>
      </c>
      <c r="C24" s="443">
        <f t="shared" si="1"/>
        <v>302.12000000000006</v>
      </c>
      <c r="D24" s="443">
        <f t="shared" si="2"/>
        <v>503.44000000000017</v>
      </c>
      <c r="E24" s="273">
        <f t="shared" si="3"/>
        <v>444.16000000000014</v>
      </c>
      <c r="F24" s="274"/>
    </row>
    <row r="25" spans="1:6" ht="18" customHeight="1">
      <c r="A25" s="272">
        <v>20</v>
      </c>
      <c r="B25" s="443">
        <f t="shared" si="0"/>
        <v>329.32999999999987</v>
      </c>
      <c r="C25" s="443">
        <f t="shared" si="1"/>
        <v>316.74000000000007</v>
      </c>
      <c r="D25" s="443">
        <f t="shared" si="2"/>
        <v>527.80000000000018</v>
      </c>
      <c r="E25" s="273">
        <f t="shared" si="3"/>
        <v>465.65000000000015</v>
      </c>
      <c r="F25" s="274"/>
    </row>
    <row r="26" spans="1:6" ht="18" customHeight="1">
      <c r="A26" s="272">
        <v>21</v>
      </c>
      <c r="B26" s="443">
        <f t="shared" si="0"/>
        <v>344.52999999999986</v>
      </c>
      <c r="C26" s="443">
        <f t="shared" si="1"/>
        <v>331.36000000000007</v>
      </c>
      <c r="D26" s="443">
        <f t="shared" si="2"/>
        <v>552.1600000000002</v>
      </c>
      <c r="E26" s="273">
        <f t="shared" si="3"/>
        <v>487.14000000000016</v>
      </c>
      <c r="F26" s="274"/>
    </row>
    <row r="27" spans="1:6" ht="18" customHeight="1">
      <c r="A27" s="272">
        <v>22</v>
      </c>
      <c r="B27" s="443">
        <f t="shared" si="0"/>
        <v>359.72999999999985</v>
      </c>
      <c r="C27" s="443">
        <f t="shared" si="1"/>
        <v>345.98000000000008</v>
      </c>
      <c r="D27" s="443">
        <f t="shared" si="2"/>
        <v>576.52000000000021</v>
      </c>
      <c r="E27" s="273">
        <f t="shared" si="3"/>
        <v>508.63000000000017</v>
      </c>
      <c r="F27" s="274"/>
    </row>
    <row r="28" spans="1:6" ht="18" customHeight="1">
      <c r="A28" s="272">
        <v>23</v>
      </c>
      <c r="B28" s="443">
        <f t="shared" si="0"/>
        <v>374.92999999999984</v>
      </c>
      <c r="C28" s="443">
        <f t="shared" si="1"/>
        <v>360.60000000000008</v>
      </c>
      <c r="D28" s="443">
        <f t="shared" si="2"/>
        <v>600.88000000000022</v>
      </c>
      <c r="E28" s="273">
        <f t="shared" si="3"/>
        <v>530.12000000000012</v>
      </c>
      <c r="F28" s="274"/>
    </row>
    <row r="29" spans="1:6" ht="18" customHeight="1">
      <c r="A29" s="272">
        <v>24</v>
      </c>
      <c r="B29" s="443">
        <f t="shared" si="0"/>
        <v>390.12999999999982</v>
      </c>
      <c r="C29" s="443">
        <f t="shared" si="1"/>
        <v>375.22000000000008</v>
      </c>
      <c r="D29" s="443">
        <f t="shared" si="2"/>
        <v>625.24000000000024</v>
      </c>
      <c r="E29" s="273">
        <f t="shared" si="3"/>
        <v>551.61000000000013</v>
      </c>
      <c r="F29" s="274"/>
    </row>
    <row r="30" spans="1:6" ht="18" customHeight="1">
      <c r="A30" s="272">
        <v>25</v>
      </c>
      <c r="B30" s="443">
        <f t="shared" si="0"/>
        <v>405.32999999999981</v>
      </c>
      <c r="C30" s="443">
        <f t="shared" si="1"/>
        <v>389.84000000000009</v>
      </c>
      <c r="D30" s="443">
        <f t="shared" si="2"/>
        <v>649.60000000000025</v>
      </c>
      <c r="E30" s="273">
        <f t="shared" si="3"/>
        <v>573.10000000000014</v>
      </c>
      <c r="F30" s="274"/>
    </row>
    <row r="31" spans="1:6" ht="18" customHeight="1">
      <c r="A31" s="272">
        <v>26</v>
      </c>
      <c r="B31" s="443">
        <f t="shared" si="0"/>
        <v>420.5299999999998</v>
      </c>
      <c r="C31" s="443">
        <f t="shared" si="1"/>
        <v>404.46000000000009</v>
      </c>
      <c r="D31" s="443">
        <f t="shared" si="2"/>
        <v>673.96000000000026</v>
      </c>
      <c r="E31" s="273">
        <f t="shared" si="3"/>
        <v>594.59000000000015</v>
      </c>
      <c r="F31" s="274"/>
    </row>
    <row r="32" spans="1:6" ht="18" customHeight="1">
      <c r="A32" s="272">
        <v>27</v>
      </c>
      <c r="B32" s="443">
        <f t="shared" si="0"/>
        <v>435.72999999999979</v>
      </c>
      <c r="C32" s="443">
        <f t="shared" si="1"/>
        <v>419.0800000000001</v>
      </c>
      <c r="D32" s="443">
        <f t="shared" si="2"/>
        <v>698.32000000000028</v>
      </c>
      <c r="E32" s="273">
        <f t="shared" si="3"/>
        <v>616.08000000000015</v>
      </c>
      <c r="F32" s="274"/>
    </row>
    <row r="33" spans="1:6" ht="18" customHeight="1">
      <c r="A33" s="272">
        <v>28</v>
      </c>
      <c r="B33" s="443">
        <f t="shared" si="0"/>
        <v>450.92999999999978</v>
      </c>
      <c r="C33" s="443">
        <f t="shared" si="1"/>
        <v>433.7000000000001</v>
      </c>
      <c r="D33" s="443">
        <f t="shared" si="2"/>
        <v>722.68000000000029</v>
      </c>
      <c r="E33" s="273">
        <f t="shared" si="3"/>
        <v>637.57000000000016</v>
      </c>
      <c r="F33" s="274"/>
    </row>
    <row r="34" spans="1:6" ht="18" customHeight="1">
      <c r="A34" s="272">
        <v>29</v>
      </c>
      <c r="B34" s="443">
        <f t="shared" si="0"/>
        <v>466.12999999999977</v>
      </c>
      <c r="C34" s="443">
        <f t="shared" si="1"/>
        <v>448.32000000000011</v>
      </c>
      <c r="D34" s="443">
        <f t="shared" si="2"/>
        <v>747.0400000000003</v>
      </c>
      <c r="E34" s="273">
        <f t="shared" si="3"/>
        <v>659.06000000000017</v>
      </c>
      <c r="F34" s="274"/>
    </row>
    <row r="35" spans="1:6" ht="18" customHeight="1">
      <c r="A35" s="272">
        <v>30</v>
      </c>
      <c r="B35" s="443">
        <f t="shared" si="0"/>
        <v>481.32999999999976</v>
      </c>
      <c r="C35" s="443">
        <f t="shared" si="1"/>
        <v>462.94000000000011</v>
      </c>
      <c r="D35" s="443">
        <f t="shared" si="2"/>
        <v>771.40000000000032</v>
      </c>
      <c r="E35" s="273">
        <f t="shared" si="3"/>
        <v>680.55000000000018</v>
      </c>
      <c r="F35" s="274"/>
    </row>
    <row r="36" spans="1:6" ht="18" customHeight="1">
      <c r="A36" s="272">
        <v>31</v>
      </c>
      <c r="B36" s="443">
        <f>B35+12.67</f>
        <v>493.99999999999977</v>
      </c>
      <c r="C36" s="443">
        <f>C35+12.18</f>
        <v>475.12000000000012</v>
      </c>
      <c r="D36" s="443">
        <f>D35+20.3</f>
        <v>791.70000000000027</v>
      </c>
      <c r="E36" s="273">
        <f>E35+17.91</f>
        <v>698.46000000000015</v>
      </c>
      <c r="F36" s="274"/>
    </row>
    <row r="37" spans="1:6" ht="18" customHeight="1">
      <c r="A37" s="272">
        <v>32</v>
      </c>
      <c r="B37" s="443">
        <f t="shared" ref="B37:B100" si="4">B36+12.67</f>
        <v>506.66999999999979</v>
      </c>
      <c r="C37" s="443">
        <f t="shared" ref="C37:C100" si="5">C36+12.18</f>
        <v>487.30000000000013</v>
      </c>
      <c r="D37" s="443">
        <f t="shared" ref="D37:D100" si="6">D36+20.3</f>
        <v>812.00000000000023</v>
      </c>
      <c r="E37" s="273">
        <f t="shared" ref="E37:E100" si="7">E36+17.91</f>
        <v>716.37000000000012</v>
      </c>
      <c r="F37" s="274"/>
    </row>
    <row r="38" spans="1:6" ht="18" customHeight="1">
      <c r="A38" s="272">
        <v>33</v>
      </c>
      <c r="B38" s="443">
        <f t="shared" si="4"/>
        <v>519.3399999999998</v>
      </c>
      <c r="C38" s="443">
        <f t="shared" si="5"/>
        <v>499.48000000000013</v>
      </c>
      <c r="D38" s="443">
        <f t="shared" si="6"/>
        <v>832.30000000000018</v>
      </c>
      <c r="E38" s="273">
        <f t="shared" si="7"/>
        <v>734.28000000000009</v>
      </c>
      <c r="F38" s="274"/>
    </row>
    <row r="39" spans="1:6" ht="18" customHeight="1">
      <c r="A39" s="272">
        <v>34</v>
      </c>
      <c r="B39" s="443">
        <f t="shared" si="4"/>
        <v>532.00999999999976</v>
      </c>
      <c r="C39" s="443">
        <f t="shared" si="5"/>
        <v>511.66000000000014</v>
      </c>
      <c r="D39" s="443">
        <f t="shared" si="6"/>
        <v>852.60000000000014</v>
      </c>
      <c r="E39" s="273">
        <f t="shared" si="7"/>
        <v>752.19</v>
      </c>
      <c r="F39" s="274"/>
    </row>
    <row r="40" spans="1:6" ht="18" customHeight="1">
      <c r="A40" s="272">
        <v>35</v>
      </c>
      <c r="B40" s="443">
        <f t="shared" si="4"/>
        <v>544.67999999999972</v>
      </c>
      <c r="C40" s="443">
        <f t="shared" si="5"/>
        <v>523.84000000000015</v>
      </c>
      <c r="D40" s="443">
        <f t="shared" si="6"/>
        <v>872.90000000000009</v>
      </c>
      <c r="E40" s="273">
        <f t="shared" si="7"/>
        <v>770.1</v>
      </c>
      <c r="F40" s="274"/>
    </row>
    <row r="41" spans="1:6" ht="18" customHeight="1">
      <c r="A41" s="272">
        <v>36</v>
      </c>
      <c r="B41" s="443">
        <f t="shared" si="4"/>
        <v>557.34999999999968</v>
      </c>
      <c r="C41" s="443">
        <f t="shared" si="5"/>
        <v>536.0200000000001</v>
      </c>
      <c r="D41" s="443">
        <f t="shared" si="6"/>
        <v>893.2</v>
      </c>
      <c r="E41" s="273">
        <f t="shared" si="7"/>
        <v>788.01</v>
      </c>
      <c r="F41" s="274"/>
    </row>
    <row r="42" spans="1:6" ht="18" customHeight="1">
      <c r="A42" s="272">
        <v>37</v>
      </c>
      <c r="B42" s="443">
        <f t="shared" si="4"/>
        <v>570.01999999999964</v>
      </c>
      <c r="C42" s="443">
        <f t="shared" si="5"/>
        <v>548.20000000000005</v>
      </c>
      <c r="D42" s="443">
        <f t="shared" si="6"/>
        <v>913.5</v>
      </c>
      <c r="E42" s="273">
        <f t="shared" si="7"/>
        <v>805.92</v>
      </c>
      <c r="F42" s="274"/>
    </row>
    <row r="43" spans="1:6" ht="18" customHeight="1">
      <c r="A43" s="272">
        <v>38</v>
      </c>
      <c r="B43" s="443">
        <f t="shared" si="4"/>
        <v>582.6899999999996</v>
      </c>
      <c r="C43" s="443">
        <f t="shared" si="5"/>
        <v>560.38</v>
      </c>
      <c r="D43" s="443">
        <f t="shared" si="6"/>
        <v>933.8</v>
      </c>
      <c r="E43" s="273">
        <f t="shared" si="7"/>
        <v>823.82999999999993</v>
      </c>
      <c r="F43" s="274"/>
    </row>
    <row r="44" spans="1:6" ht="18" customHeight="1">
      <c r="A44" s="272">
        <v>39</v>
      </c>
      <c r="B44" s="443">
        <f t="shared" si="4"/>
        <v>595.35999999999956</v>
      </c>
      <c r="C44" s="443">
        <f t="shared" si="5"/>
        <v>572.55999999999995</v>
      </c>
      <c r="D44" s="443">
        <f t="shared" si="6"/>
        <v>954.09999999999991</v>
      </c>
      <c r="E44" s="273">
        <f t="shared" si="7"/>
        <v>841.7399999999999</v>
      </c>
      <c r="F44" s="274"/>
    </row>
    <row r="45" spans="1:6" ht="18" customHeight="1">
      <c r="A45" s="272">
        <v>40</v>
      </c>
      <c r="B45" s="443">
        <f t="shared" si="4"/>
        <v>608.02999999999952</v>
      </c>
      <c r="C45" s="443">
        <f t="shared" si="5"/>
        <v>584.7399999999999</v>
      </c>
      <c r="D45" s="443">
        <f t="shared" si="6"/>
        <v>974.39999999999986</v>
      </c>
      <c r="E45" s="273">
        <f t="shared" si="7"/>
        <v>859.64999999999986</v>
      </c>
      <c r="F45" s="274"/>
    </row>
    <row r="46" spans="1:6" ht="18" customHeight="1">
      <c r="A46" s="272">
        <v>41</v>
      </c>
      <c r="B46" s="443">
        <f t="shared" si="4"/>
        <v>620.69999999999948</v>
      </c>
      <c r="C46" s="443">
        <f t="shared" si="5"/>
        <v>596.91999999999985</v>
      </c>
      <c r="D46" s="443">
        <f t="shared" si="6"/>
        <v>994.69999999999982</v>
      </c>
      <c r="E46" s="273">
        <f t="shared" si="7"/>
        <v>877.55999999999983</v>
      </c>
      <c r="F46" s="274"/>
    </row>
    <row r="47" spans="1:6" ht="18" customHeight="1">
      <c r="A47" s="272">
        <v>42</v>
      </c>
      <c r="B47" s="443">
        <f t="shared" si="4"/>
        <v>633.36999999999944</v>
      </c>
      <c r="C47" s="443">
        <f t="shared" si="5"/>
        <v>609.0999999999998</v>
      </c>
      <c r="D47" s="443">
        <f t="shared" si="6"/>
        <v>1014.9999999999998</v>
      </c>
      <c r="E47" s="273">
        <f t="shared" si="7"/>
        <v>895.4699999999998</v>
      </c>
      <c r="F47" s="274"/>
    </row>
    <row r="48" spans="1:6" ht="18" customHeight="1">
      <c r="A48" s="272">
        <v>43</v>
      </c>
      <c r="B48" s="443">
        <f t="shared" si="4"/>
        <v>646.0399999999994</v>
      </c>
      <c r="C48" s="443">
        <f t="shared" si="5"/>
        <v>621.27999999999975</v>
      </c>
      <c r="D48" s="443">
        <f t="shared" si="6"/>
        <v>1035.2999999999997</v>
      </c>
      <c r="E48" s="273">
        <f t="shared" si="7"/>
        <v>913.37999999999977</v>
      </c>
      <c r="F48" s="274"/>
    </row>
    <row r="49" spans="1:6" ht="18" customHeight="1">
      <c r="A49" s="272">
        <v>44</v>
      </c>
      <c r="B49" s="443">
        <f t="shared" si="4"/>
        <v>658.70999999999935</v>
      </c>
      <c r="C49" s="443">
        <f t="shared" si="5"/>
        <v>633.4599999999997</v>
      </c>
      <c r="D49" s="443">
        <f t="shared" si="6"/>
        <v>1055.5999999999997</v>
      </c>
      <c r="E49" s="273">
        <f t="shared" si="7"/>
        <v>931.28999999999974</v>
      </c>
      <c r="F49" s="274"/>
    </row>
    <row r="50" spans="1:6" ht="18" customHeight="1">
      <c r="A50" s="272">
        <v>45</v>
      </c>
      <c r="B50" s="443">
        <f t="shared" si="4"/>
        <v>671.37999999999931</v>
      </c>
      <c r="C50" s="443">
        <f t="shared" si="5"/>
        <v>645.63999999999965</v>
      </c>
      <c r="D50" s="443">
        <f t="shared" si="6"/>
        <v>1075.8999999999996</v>
      </c>
      <c r="E50" s="273">
        <f t="shared" si="7"/>
        <v>949.1999999999997</v>
      </c>
      <c r="F50" s="274"/>
    </row>
    <row r="51" spans="1:6" ht="18" customHeight="1">
      <c r="A51" s="272">
        <v>46</v>
      </c>
      <c r="B51" s="443">
        <f t="shared" si="4"/>
        <v>684.04999999999927</v>
      </c>
      <c r="C51" s="443">
        <f t="shared" si="5"/>
        <v>657.8199999999996</v>
      </c>
      <c r="D51" s="443">
        <f t="shared" si="6"/>
        <v>1096.1999999999996</v>
      </c>
      <c r="E51" s="273">
        <f t="shared" si="7"/>
        <v>967.10999999999967</v>
      </c>
      <c r="F51" s="274"/>
    </row>
    <row r="52" spans="1:6" ht="18" customHeight="1">
      <c r="A52" s="272">
        <v>47</v>
      </c>
      <c r="B52" s="443">
        <f t="shared" si="4"/>
        <v>696.71999999999923</v>
      </c>
      <c r="C52" s="443">
        <f t="shared" si="5"/>
        <v>669.99999999999955</v>
      </c>
      <c r="D52" s="443">
        <f t="shared" si="6"/>
        <v>1116.4999999999995</v>
      </c>
      <c r="E52" s="273">
        <f t="shared" si="7"/>
        <v>985.01999999999964</v>
      </c>
      <c r="F52" s="274"/>
    </row>
    <row r="53" spans="1:6" ht="18" customHeight="1">
      <c r="A53" s="272">
        <v>48</v>
      </c>
      <c r="B53" s="443">
        <f t="shared" si="4"/>
        <v>709.38999999999919</v>
      </c>
      <c r="C53" s="443">
        <f t="shared" si="5"/>
        <v>682.1799999999995</v>
      </c>
      <c r="D53" s="443">
        <f t="shared" si="6"/>
        <v>1136.7999999999995</v>
      </c>
      <c r="E53" s="273">
        <f t="shared" si="7"/>
        <v>1002.9299999999996</v>
      </c>
      <c r="F53" s="274"/>
    </row>
    <row r="54" spans="1:6" ht="18" customHeight="1">
      <c r="A54" s="272">
        <v>49</v>
      </c>
      <c r="B54" s="443">
        <f t="shared" si="4"/>
        <v>722.05999999999915</v>
      </c>
      <c r="C54" s="443">
        <f t="shared" si="5"/>
        <v>694.35999999999945</v>
      </c>
      <c r="D54" s="443">
        <f t="shared" si="6"/>
        <v>1157.0999999999995</v>
      </c>
      <c r="E54" s="273">
        <f t="shared" si="7"/>
        <v>1020.8399999999996</v>
      </c>
      <c r="F54" s="274"/>
    </row>
    <row r="55" spans="1:6" ht="18" customHeight="1">
      <c r="A55" s="279">
        <v>50</v>
      </c>
      <c r="B55" s="443">
        <f t="shared" si="4"/>
        <v>734.72999999999911</v>
      </c>
      <c r="C55" s="443">
        <f t="shared" si="5"/>
        <v>706.5399999999994</v>
      </c>
      <c r="D55" s="443">
        <f t="shared" si="6"/>
        <v>1177.3999999999994</v>
      </c>
      <c r="E55" s="273">
        <f t="shared" si="7"/>
        <v>1038.7499999999995</v>
      </c>
      <c r="F55" s="274"/>
    </row>
    <row r="56" spans="1:6" ht="18" customHeight="1">
      <c r="A56" s="280">
        <v>51</v>
      </c>
      <c r="B56" s="443">
        <f t="shared" si="4"/>
        <v>747.39999999999907</v>
      </c>
      <c r="C56" s="443">
        <f t="shared" si="5"/>
        <v>718.71999999999935</v>
      </c>
      <c r="D56" s="443">
        <f t="shared" si="6"/>
        <v>1197.6999999999994</v>
      </c>
      <c r="E56" s="273">
        <f t="shared" si="7"/>
        <v>1056.6599999999996</v>
      </c>
      <c r="F56" s="274"/>
    </row>
    <row r="57" spans="1:6" ht="18" customHeight="1">
      <c r="A57" s="272">
        <v>52</v>
      </c>
      <c r="B57" s="443">
        <f t="shared" si="4"/>
        <v>760.06999999999903</v>
      </c>
      <c r="C57" s="443">
        <f t="shared" si="5"/>
        <v>730.8999999999993</v>
      </c>
      <c r="D57" s="443">
        <f t="shared" si="6"/>
        <v>1217.9999999999993</v>
      </c>
      <c r="E57" s="273">
        <f t="shared" si="7"/>
        <v>1074.5699999999997</v>
      </c>
      <c r="F57" s="274"/>
    </row>
    <row r="58" spans="1:6" ht="18" customHeight="1">
      <c r="A58" s="272">
        <v>53</v>
      </c>
      <c r="B58" s="443">
        <f t="shared" si="4"/>
        <v>772.73999999999899</v>
      </c>
      <c r="C58" s="443">
        <f t="shared" si="5"/>
        <v>743.07999999999925</v>
      </c>
      <c r="D58" s="443">
        <f t="shared" si="6"/>
        <v>1238.2999999999993</v>
      </c>
      <c r="E58" s="273">
        <f t="shared" si="7"/>
        <v>1092.4799999999998</v>
      </c>
      <c r="F58" s="274"/>
    </row>
    <row r="59" spans="1:6" ht="18" customHeight="1">
      <c r="A59" s="272">
        <v>54</v>
      </c>
      <c r="B59" s="443">
        <f t="shared" si="4"/>
        <v>785.40999999999894</v>
      </c>
      <c r="C59" s="443">
        <f t="shared" si="5"/>
        <v>755.2599999999992</v>
      </c>
      <c r="D59" s="443">
        <f t="shared" si="6"/>
        <v>1258.5999999999992</v>
      </c>
      <c r="E59" s="273">
        <f t="shared" si="7"/>
        <v>1110.3899999999999</v>
      </c>
      <c r="F59" s="274"/>
    </row>
    <row r="60" spans="1:6" ht="18" customHeight="1">
      <c r="A60" s="272">
        <v>55</v>
      </c>
      <c r="B60" s="443">
        <f t="shared" si="4"/>
        <v>798.0799999999989</v>
      </c>
      <c r="C60" s="443">
        <f t="shared" si="5"/>
        <v>767.43999999999915</v>
      </c>
      <c r="D60" s="443">
        <f t="shared" si="6"/>
        <v>1278.8999999999992</v>
      </c>
      <c r="E60" s="273">
        <f t="shared" si="7"/>
        <v>1128.3</v>
      </c>
      <c r="F60" s="274"/>
    </row>
    <row r="61" spans="1:6" ht="18" customHeight="1">
      <c r="A61" s="272">
        <v>56</v>
      </c>
      <c r="B61" s="443">
        <f t="shared" si="4"/>
        <v>810.74999999999886</v>
      </c>
      <c r="C61" s="443">
        <f t="shared" si="5"/>
        <v>779.6199999999991</v>
      </c>
      <c r="D61" s="443">
        <f t="shared" si="6"/>
        <v>1299.1999999999991</v>
      </c>
      <c r="E61" s="273">
        <f t="shared" si="7"/>
        <v>1146.21</v>
      </c>
      <c r="F61" s="274"/>
    </row>
    <row r="62" spans="1:6" ht="18" customHeight="1">
      <c r="A62" s="272">
        <v>57</v>
      </c>
      <c r="B62" s="443">
        <f t="shared" si="4"/>
        <v>823.41999999999882</v>
      </c>
      <c r="C62" s="443">
        <f t="shared" si="5"/>
        <v>791.79999999999905</v>
      </c>
      <c r="D62" s="443">
        <f t="shared" si="6"/>
        <v>1319.4999999999991</v>
      </c>
      <c r="E62" s="273">
        <f t="shared" si="7"/>
        <v>1164.1200000000001</v>
      </c>
      <c r="F62" s="274"/>
    </row>
    <row r="63" spans="1:6" ht="18" customHeight="1">
      <c r="A63" s="272">
        <v>58</v>
      </c>
      <c r="B63" s="443">
        <f t="shared" si="4"/>
        <v>836.08999999999878</v>
      </c>
      <c r="C63" s="443">
        <f t="shared" si="5"/>
        <v>803.979999999999</v>
      </c>
      <c r="D63" s="443">
        <f t="shared" si="6"/>
        <v>1339.799999999999</v>
      </c>
      <c r="E63" s="273">
        <f t="shared" si="7"/>
        <v>1182.0300000000002</v>
      </c>
      <c r="F63" s="274"/>
    </row>
    <row r="64" spans="1:6" ht="18" customHeight="1">
      <c r="A64" s="272">
        <v>59</v>
      </c>
      <c r="B64" s="443">
        <f t="shared" si="4"/>
        <v>848.75999999999874</v>
      </c>
      <c r="C64" s="443">
        <f t="shared" si="5"/>
        <v>816.15999999999894</v>
      </c>
      <c r="D64" s="443">
        <f t="shared" si="6"/>
        <v>1360.099999999999</v>
      </c>
      <c r="E64" s="273">
        <f t="shared" si="7"/>
        <v>1199.9400000000003</v>
      </c>
      <c r="F64" s="274"/>
    </row>
    <row r="65" spans="1:6" ht="18" customHeight="1">
      <c r="A65" s="272">
        <v>60</v>
      </c>
      <c r="B65" s="443">
        <f t="shared" si="4"/>
        <v>861.4299999999987</v>
      </c>
      <c r="C65" s="443">
        <f t="shared" si="5"/>
        <v>828.33999999999889</v>
      </c>
      <c r="D65" s="443">
        <f t="shared" si="6"/>
        <v>1380.399999999999</v>
      </c>
      <c r="E65" s="273">
        <f t="shared" si="7"/>
        <v>1217.8500000000004</v>
      </c>
      <c r="F65" s="274"/>
    </row>
    <row r="66" spans="1:6" ht="18" customHeight="1">
      <c r="A66" s="272">
        <v>61</v>
      </c>
      <c r="B66" s="443">
        <f t="shared" si="4"/>
        <v>874.09999999999866</v>
      </c>
      <c r="C66" s="443">
        <f t="shared" si="5"/>
        <v>840.51999999999884</v>
      </c>
      <c r="D66" s="443">
        <f t="shared" si="6"/>
        <v>1400.6999999999989</v>
      </c>
      <c r="E66" s="273">
        <f t="shared" si="7"/>
        <v>1235.7600000000004</v>
      </c>
      <c r="F66" s="274"/>
    </row>
    <row r="67" spans="1:6" ht="18" customHeight="1">
      <c r="A67" s="272">
        <v>62</v>
      </c>
      <c r="B67" s="443">
        <f t="shared" si="4"/>
        <v>886.76999999999862</v>
      </c>
      <c r="C67" s="443">
        <f t="shared" si="5"/>
        <v>852.69999999999879</v>
      </c>
      <c r="D67" s="443">
        <f t="shared" si="6"/>
        <v>1420.9999999999989</v>
      </c>
      <c r="E67" s="273">
        <f t="shared" si="7"/>
        <v>1253.6700000000005</v>
      </c>
      <c r="F67" s="274"/>
    </row>
    <row r="68" spans="1:6" ht="18" customHeight="1">
      <c r="A68" s="272">
        <v>63</v>
      </c>
      <c r="B68" s="443">
        <f t="shared" si="4"/>
        <v>899.43999999999858</v>
      </c>
      <c r="C68" s="443">
        <f t="shared" si="5"/>
        <v>864.87999999999874</v>
      </c>
      <c r="D68" s="443">
        <f t="shared" si="6"/>
        <v>1441.2999999999988</v>
      </c>
      <c r="E68" s="273">
        <f t="shared" si="7"/>
        <v>1271.5800000000006</v>
      </c>
      <c r="F68" s="274"/>
    </row>
    <row r="69" spans="1:6" ht="18" customHeight="1">
      <c r="A69" s="272">
        <v>64</v>
      </c>
      <c r="B69" s="443">
        <f t="shared" si="4"/>
        <v>912.10999999999854</v>
      </c>
      <c r="C69" s="443">
        <f t="shared" si="5"/>
        <v>877.05999999999869</v>
      </c>
      <c r="D69" s="443">
        <f t="shared" si="6"/>
        <v>1461.5999999999988</v>
      </c>
      <c r="E69" s="273">
        <f t="shared" si="7"/>
        <v>1289.4900000000007</v>
      </c>
      <c r="F69" s="274"/>
    </row>
    <row r="70" spans="1:6" ht="18" customHeight="1">
      <c r="A70" s="272">
        <v>65</v>
      </c>
      <c r="B70" s="443">
        <f t="shared" si="4"/>
        <v>924.77999999999849</v>
      </c>
      <c r="C70" s="443">
        <f t="shared" si="5"/>
        <v>889.23999999999864</v>
      </c>
      <c r="D70" s="443">
        <f t="shared" si="6"/>
        <v>1481.8999999999987</v>
      </c>
      <c r="E70" s="273">
        <f t="shared" si="7"/>
        <v>1307.4000000000008</v>
      </c>
      <c r="F70" s="274"/>
    </row>
    <row r="71" spans="1:6" ht="18" customHeight="1">
      <c r="A71" s="272">
        <v>66</v>
      </c>
      <c r="B71" s="443">
        <f t="shared" si="4"/>
        <v>937.44999999999845</v>
      </c>
      <c r="C71" s="443">
        <f t="shared" si="5"/>
        <v>901.41999999999859</v>
      </c>
      <c r="D71" s="443">
        <f t="shared" si="6"/>
        <v>1502.1999999999987</v>
      </c>
      <c r="E71" s="273">
        <f t="shared" si="7"/>
        <v>1325.3100000000009</v>
      </c>
      <c r="F71" s="274"/>
    </row>
    <row r="72" spans="1:6" ht="18" customHeight="1">
      <c r="A72" s="272">
        <v>67</v>
      </c>
      <c r="B72" s="443">
        <f t="shared" si="4"/>
        <v>950.11999999999841</v>
      </c>
      <c r="C72" s="443">
        <f t="shared" si="5"/>
        <v>913.59999999999854</v>
      </c>
      <c r="D72" s="443">
        <f t="shared" si="6"/>
        <v>1522.4999999999986</v>
      </c>
      <c r="E72" s="273">
        <f t="shared" si="7"/>
        <v>1343.2200000000009</v>
      </c>
      <c r="F72" s="274"/>
    </row>
    <row r="73" spans="1:6" ht="18" customHeight="1">
      <c r="A73" s="272">
        <v>68</v>
      </c>
      <c r="B73" s="443">
        <f t="shared" si="4"/>
        <v>962.78999999999837</v>
      </c>
      <c r="C73" s="443">
        <f t="shared" si="5"/>
        <v>925.77999999999849</v>
      </c>
      <c r="D73" s="443">
        <f t="shared" si="6"/>
        <v>1542.7999999999986</v>
      </c>
      <c r="E73" s="273">
        <f t="shared" si="7"/>
        <v>1361.130000000001</v>
      </c>
      <c r="F73" s="274"/>
    </row>
    <row r="74" spans="1:6" ht="18" customHeight="1">
      <c r="A74" s="272">
        <v>69</v>
      </c>
      <c r="B74" s="443">
        <f t="shared" si="4"/>
        <v>975.45999999999833</v>
      </c>
      <c r="C74" s="443">
        <f t="shared" si="5"/>
        <v>937.95999999999844</v>
      </c>
      <c r="D74" s="443">
        <f t="shared" si="6"/>
        <v>1563.0999999999985</v>
      </c>
      <c r="E74" s="273">
        <f t="shared" si="7"/>
        <v>1379.0400000000011</v>
      </c>
      <c r="F74" s="274"/>
    </row>
    <row r="75" spans="1:6" ht="18" customHeight="1">
      <c r="A75" s="272">
        <v>70</v>
      </c>
      <c r="B75" s="443">
        <f t="shared" si="4"/>
        <v>988.12999999999829</v>
      </c>
      <c r="C75" s="443">
        <f t="shared" si="5"/>
        <v>950.13999999999839</v>
      </c>
      <c r="D75" s="443">
        <f t="shared" si="6"/>
        <v>1583.3999999999985</v>
      </c>
      <c r="E75" s="273">
        <f t="shared" si="7"/>
        <v>1396.9500000000012</v>
      </c>
      <c r="F75" s="274"/>
    </row>
    <row r="76" spans="1:6" ht="18" customHeight="1">
      <c r="A76" s="272">
        <v>71</v>
      </c>
      <c r="B76" s="443">
        <f t="shared" si="4"/>
        <v>1000.7999999999982</v>
      </c>
      <c r="C76" s="443">
        <f t="shared" si="5"/>
        <v>962.31999999999834</v>
      </c>
      <c r="D76" s="443">
        <f t="shared" si="6"/>
        <v>1603.6999999999985</v>
      </c>
      <c r="E76" s="273">
        <f t="shared" si="7"/>
        <v>1414.8600000000013</v>
      </c>
      <c r="F76" s="274"/>
    </row>
    <row r="77" spans="1:6" ht="18" customHeight="1">
      <c r="A77" s="272">
        <v>72</v>
      </c>
      <c r="B77" s="443">
        <f t="shared" si="4"/>
        <v>1013.4699999999982</v>
      </c>
      <c r="C77" s="443">
        <f t="shared" si="5"/>
        <v>974.49999999999829</v>
      </c>
      <c r="D77" s="443">
        <f t="shared" si="6"/>
        <v>1623.9999999999984</v>
      </c>
      <c r="E77" s="273">
        <f t="shared" si="7"/>
        <v>1432.7700000000013</v>
      </c>
      <c r="F77" s="274"/>
    </row>
    <row r="78" spans="1:6" ht="18" customHeight="1">
      <c r="A78" s="272">
        <v>73</v>
      </c>
      <c r="B78" s="443">
        <f t="shared" si="4"/>
        <v>1026.1399999999983</v>
      </c>
      <c r="C78" s="443">
        <f t="shared" si="5"/>
        <v>986.67999999999824</v>
      </c>
      <c r="D78" s="443">
        <f t="shared" si="6"/>
        <v>1644.2999999999984</v>
      </c>
      <c r="E78" s="273">
        <f t="shared" si="7"/>
        <v>1450.6800000000014</v>
      </c>
      <c r="F78" s="274"/>
    </row>
    <row r="79" spans="1:6" ht="18" customHeight="1">
      <c r="A79" s="272">
        <v>74</v>
      </c>
      <c r="B79" s="443">
        <f t="shared" si="4"/>
        <v>1038.8099999999984</v>
      </c>
      <c r="C79" s="443">
        <f t="shared" si="5"/>
        <v>998.85999999999819</v>
      </c>
      <c r="D79" s="443">
        <f t="shared" si="6"/>
        <v>1664.5999999999983</v>
      </c>
      <c r="E79" s="273">
        <f t="shared" si="7"/>
        <v>1468.5900000000015</v>
      </c>
      <c r="F79" s="274"/>
    </row>
    <row r="80" spans="1:6" ht="18" customHeight="1">
      <c r="A80" s="272">
        <v>75</v>
      </c>
      <c r="B80" s="443">
        <f t="shared" si="4"/>
        <v>1051.4799999999984</v>
      </c>
      <c r="C80" s="443">
        <f t="shared" si="5"/>
        <v>1011.0399999999981</v>
      </c>
      <c r="D80" s="443">
        <f t="shared" si="6"/>
        <v>1684.8999999999983</v>
      </c>
      <c r="E80" s="273">
        <f t="shared" si="7"/>
        <v>1486.5000000000016</v>
      </c>
      <c r="F80" s="274"/>
    </row>
    <row r="81" spans="1:6" ht="18" customHeight="1">
      <c r="A81" s="272">
        <v>76</v>
      </c>
      <c r="B81" s="443">
        <f t="shared" si="4"/>
        <v>1064.1499999999985</v>
      </c>
      <c r="C81" s="443">
        <f t="shared" si="5"/>
        <v>1023.2199999999981</v>
      </c>
      <c r="D81" s="443">
        <f t="shared" si="6"/>
        <v>1705.1999999999982</v>
      </c>
      <c r="E81" s="273">
        <f t="shared" si="7"/>
        <v>1504.4100000000017</v>
      </c>
      <c r="F81" s="274"/>
    </row>
    <row r="82" spans="1:6" ht="18" customHeight="1">
      <c r="A82" s="272">
        <v>77</v>
      </c>
      <c r="B82" s="443">
        <f t="shared" si="4"/>
        <v>1076.8199999999986</v>
      </c>
      <c r="C82" s="443">
        <f t="shared" si="5"/>
        <v>1035.399999999998</v>
      </c>
      <c r="D82" s="443">
        <f t="shared" si="6"/>
        <v>1725.4999999999982</v>
      </c>
      <c r="E82" s="273">
        <f t="shared" si="7"/>
        <v>1522.3200000000018</v>
      </c>
      <c r="F82" s="274"/>
    </row>
    <row r="83" spans="1:6" ht="18" customHeight="1">
      <c r="A83" s="272">
        <v>78</v>
      </c>
      <c r="B83" s="443">
        <f t="shared" si="4"/>
        <v>1089.4899999999986</v>
      </c>
      <c r="C83" s="443">
        <f t="shared" si="5"/>
        <v>1047.5799999999981</v>
      </c>
      <c r="D83" s="443">
        <f t="shared" si="6"/>
        <v>1745.7999999999981</v>
      </c>
      <c r="E83" s="273">
        <f t="shared" si="7"/>
        <v>1540.2300000000018</v>
      </c>
      <c r="F83" s="274"/>
    </row>
    <row r="84" spans="1:6" ht="18" customHeight="1">
      <c r="A84" s="272">
        <v>79</v>
      </c>
      <c r="B84" s="443">
        <f t="shared" si="4"/>
        <v>1102.1599999999987</v>
      </c>
      <c r="C84" s="443">
        <f t="shared" si="5"/>
        <v>1059.7599999999982</v>
      </c>
      <c r="D84" s="443">
        <f t="shared" si="6"/>
        <v>1766.0999999999981</v>
      </c>
      <c r="E84" s="273">
        <f t="shared" si="7"/>
        <v>1558.1400000000019</v>
      </c>
      <c r="F84" s="274"/>
    </row>
    <row r="85" spans="1:6" ht="18" customHeight="1">
      <c r="A85" s="272">
        <v>80</v>
      </c>
      <c r="B85" s="443">
        <f t="shared" si="4"/>
        <v>1114.8299999999988</v>
      </c>
      <c r="C85" s="443">
        <f t="shared" si="5"/>
        <v>1071.9399999999982</v>
      </c>
      <c r="D85" s="443">
        <f t="shared" si="6"/>
        <v>1786.399999999998</v>
      </c>
      <c r="E85" s="273">
        <f t="shared" si="7"/>
        <v>1576.050000000002</v>
      </c>
      <c r="F85" s="274"/>
    </row>
    <row r="86" spans="1:6" ht="18" customHeight="1">
      <c r="A86" s="272">
        <v>81</v>
      </c>
      <c r="B86" s="443">
        <f t="shared" si="4"/>
        <v>1127.4999999999989</v>
      </c>
      <c r="C86" s="443">
        <f t="shared" si="5"/>
        <v>1084.1199999999983</v>
      </c>
      <c r="D86" s="443">
        <f t="shared" si="6"/>
        <v>1806.699999999998</v>
      </c>
      <c r="E86" s="273">
        <f t="shared" si="7"/>
        <v>1593.9600000000021</v>
      </c>
      <c r="F86" s="274"/>
    </row>
    <row r="87" spans="1:6" ht="18" customHeight="1">
      <c r="A87" s="272">
        <v>82</v>
      </c>
      <c r="B87" s="443">
        <f t="shared" si="4"/>
        <v>1140.1699999999989</v>
      </c>
      <c r="C87" s="443">
        <f t="shared" si="5"/>
        <v>1096.2999999999984</v>
      </c>
      <c r="D87" s="443">
        <f t="shared" si="6"/>
        <v>1826.999999999998</v>
      </c>
      <c r="E87" s="273">
        <f t="shared" si="7"/>
        <v>1611.8700000000022</v>
      </c>
      <c r="F87" s="274"/>
    </row>
    <row r="88" spans="1:6" ht="18" customHeight="1">
      <c r="A88" s="272">
        <v>83</v>
      </c>
      <c r="B88" s="443">
        <f t="shared" si="4"/>
        <v>1152.839999999999</v>
      </c>
      <c r="C88" s="443">
        <f t="shared" si="5"/>
        <v>1108.4799999999984</v>
      </c>
      <c r="D88" s="443">
        <f t="shared" si="6"/>
        <v>1847.2999999999979</v>
      </c>
      <c r="E88" s="273">
        <f t="shared" si="7"/>
        <v>1629.7800000000022</v>
      </c>
      <c r="F88" s="274"/>
    </row>
    <row r="89" spans="1:6" ht="18" customHeight="1">
      <c r="A89" s="272">
        <v>84</v>
      </c>
      <c r="B89" s="443">
        <f t="shared" si="4"/>
        <v>1165.5099999999991</v>
      </c>
      <c r="C89" s="443">
        <f t="shared" si="5"/>
        <v>1120.6599999999985</v>
      </c>
      <c r="D89" s="443">
        <f t="shared" si="6"/>
        <v>1867.5999999999979</v>
      </c>
      <c r="E89" s="273">
        <f t="shared" si="7"/>
        <v>1647.6900000000023</v>
      </c>
      <c r="F89" s="274"/>
    </row>
    <row r="90" spans="1:6" ht="18" customHeight="1">
      <c r="A90" s="272">
        <v>85</v>
      </c>
      <c r="B90" s="443">
        <f t="shared" si="4"/>
        <v>1178.1799999999992</v>
      </c>
      <c r="C90" s="443">
        <f t="shared" si="5"/>
        <v>1132.8399999999986</v>
      </c>
      <c r="D90" s="443">
        <f t="shared" si="6"/>
        <v>1887.8999999999978</v>
      </c>
      <c r="E90" s="273">
        <f t="shared" si="7"/>
        <v>1665.6000000000024</v>
      </c>
      <c r="F90" s="274"/>
    </row>
    <row r="91" spans="1:6" ht="18" customHeight="1">
      <c r="A91" s="272">
        <v>86</v>
      </c>
      <c r="B91" s="443">
        <f t="shared" si="4"/>
        <v>1190.8499999999992</v>
      </c>
      <c r="C91" s="443">
        <f t="shared" si="5"/>
        <v>1145.0199999999986</v>
      </c>
      <c r="D91" s="443">
        <f t="shared" si="6"/>
        <v>1908.1999999999978</v>
      </c>
      <c r="E91" s="273">
        <f t="shared" si="7"/>
        <v>1683.5100000000025</v>
      </c>
      <c r="F91" s="274"/>
    </row>
    <row r="92" spans="1:6" ht="18" customHeight="1">
      <c r="A92" s="272">
        <v>87</v>
      </c>
      <c r="B92" s="443">
        <f t="shared" si="4"/>
        <v>1203.5199999999993</v>
      </c>
      <c r="C92" s="443">
        <f t="shared" si="5"/>
        <v>1157.1999999999987</v>
      </c>
      <c r="D92" s="443">
        <f t="shared" si="6"/>
        <v>1928.4999999999977</v>
      </c>
      <c r="E92" s="273">
        <f t="shared" si="7"/>
        <v>1701.4200000000026</v>
      </c>
      <c r="F92" s="274"/>
    </row>
    <row r="93" spans="1:6" ht="18" customHeight="1">
      <c r="A93" s="272">
        <v>88</v>
      </c>
      <c r="B93" s="443">
        <f t="shared" si="4"/>
        <v>1216.1899999999994</v>
      </c>
      <c r="C93" s="443">
        <f t="shared" si="5"/>
        <v>1169.3799999999987</v>
      </c>
      <c r="D93" s="443">
        <f t="shared" si="6"/>
        <v>1948.7999999999977</v>
      </c>
      <c r="E93" s="273">
        <f t="shared" si="7"/>
        <v>1719.3300000000027</v>
      </c>
      <c r="F93" s="274"/>
    </row>
    <row r="94" spans="1:6" ht="18" customHeight="1">
      <c r="A94" s="272">
        <v>89</v>
      </c>
      <c r="B94" s="443">
        <f t="shared" si="4"/>
        <v>1228.8599999999994</v>
      </c>
      <c r="C94" s="443">
        <f t="shared" si="5"/>
        <v>1181.5599999999988</v>
      </c>
      <c r="D94" s="443">
        <f t="shared" si="6"/>
        <v>1969.0999999999976</v>
      </c>
      <c r="E94" s="273">
        <f t="shared" si="7"/>
        <v>1737.2400000000027</v>
      </c>
      <c r="F94" s="274"/>
    </row>
    <row r="95" spans="1:6" ht="18" customHeight="1">
      <c r="A95" s="272">
        <v>90</v>
      </c>
      <c r="B95" s="443">
        <f t="shared" si="4"/>
        <v>1241.5299999999995</v>
      </c>
      <c r="C95" s="443">
        <f t="shared" si="5"/>
        <v>1193.7399999999989</v>
      </c>
      <c r="D95" s="443">
        <f t="shared" si="6"/>
        <v>1989.3999999999976</v>
      </c>
      <c r="E95" s="273">
        <f t="shared" si="7"/>
        <v>1755.1500000000028</v>
      </c>
      <c r="F95" s="274"/>
    </row>
    <row r="96" spans="1:6" ht="18" customHeight="1">
      <c r="A96" s="272">
        <v>91</v>
      </c>
      <c r="B96" s="443">
        <f t="shared" si="4"/>
        <v>1254.1999999999996</v>
      </c>
      <c r="C96" s="443">
        <f t="shared" si="5"/>
        <v>1205.9199999999989</v>
      </c>
      <c r="D96" s="443">
        <f t="shared" si="6"/>
        <v>2009.6999999999975</v>
      </c>
      <c r="E96" s="273">
        <f t="shared" si="7"/>
        <v>1773.0600000000029</v>
      </c>
      <c r="F96" s="274"/>
    </row>
    <row r="97" spans="1:6" ht="18" customHeight="1">
      <c r="A97" s="272">
        <v>92</v>
      </c>
      <c r="B97" s="443">
        <f t="shared" si="4"/>
        <v>1266.8699999999997</v>
      </c>
      <c r="C97" s="443">
        <f t="shared" si="5"/>
        <v>1218.099999999999</v>
      </c>
      <c r="D97" s="443">
        <f t="shared" si="6"/>
        <v>2029.9999999999975</v>
      </c>
      <c r="E97" s="273">
        <f t="shared" si="7"/>
        <v>1790.970000000003</v>
      </c>
      <c r="F97" s="274"/>
    </row>
    <row r="98" spans="1:6" ht="18" customHeight="1">
      <c r="A98" s="272">
        <v>93</v>
      </c>
      <c r="B98" s="443">
        <f t="shared" si="4"/>
        <v>1279.5399999999997</v>
      </c>
      <c r="C98" s="443">
        <f t="shared" si="5"/>
        <v>1230.2799999999991</v>
      </c>
      <c r="D98" s="443">
        <f t="shared" si="6"/>
        <v>2050.2999999999975</v>
      </c>
      <c r="E98" s="273">
        <f t="shared" si="7"/>
        <v>1808.8800000000031</v>
      </c>
      <c r="F98" s="274"/>
    </row>
    <row r="99" spans="1:6" ht="18" customHeight="1">
      <c r="A99" s="272">
        <v>94</v>
      </c>
      <c r="B99" s="443">
        <f t="shared" si="4"/>
        <v>1292.2099999999998</v>
      </c>
      <c r="C99" s="443">
        <f t="shared" si="5"/>
        <v>1242.4599999999991</v>
      </c>
      <c r="D99" s="443">
        <f t="shared" si="6"/>
        <v>2070.5999999999976</v>
      </c>
      <c r="E99" s="273">
        <f t="shared" si="7"/>
        <v>1826.7900000000031</v>
      </c>
      <c r="F99" s="274"/>
    </row>
    <row r="100" spans="1:6" ht="18" customHeight="1">
      <c r="A100" s="272">
        <v>95</v>
      </c>
      <c r="B100" s="443">
        <f t="shared" si="4"/>
        <v>1304.8799999999999</v>
      </c>
      <c r="C100" s="443">
        <f t="shared" si="5"/>
        <v>1254.6399999999992</v>
      </c>
      <c r="D100" s="443">
        <f t="shared" si="6"/>
        <v>2090.8999999999978</v>
      </c>
      <c r="E100" s="273">
        <f t="shared" si="7"/>
        <v>1844.7000000000032</v>
      </c>
      <c r="F100" s="274"/>
    </row>
    <row r="101" spans="1:6" ht="18" customHeight="1">
      <c r="A101" s="272">
        <v>96</v>
      </c>
      <c r="B101" s="443">
        <f t="shared" ref="B101:B164" si="8">B100+12.67</f>
        <v>1317.55</v>
      </c>
      <c r="C101" s="443">
        <f t="shared" ref="C101:C164" si="9">C100+12.18</f>
        <v>1266.8199999999993</v>
      </c>
      <c r="D101" s="443">
        <f t="shared" ref="D101:D164" si="10">D100+20.3</f>
        <v>2111.199999999998</v>
      </c>
      <c r="E101" s="273">
        <f t="shared" ref="E101:E164" si="11">E100+17.91</f>
        <v>1862.6100000000033</v>
      </c>
      <c r="F101" s="274"/>
    </row>
    <row r="102" spans="1:6" ht="18" customHeight="1">
      <c r="A102" s="272">
        <v>97</v>
      </c>
      <c r="B102" s="443">
        <f t="shared" si="8"/>
        <v>1330.22</v>
      </c>
      <c r="C102" s="443">
        <f t="shared" si="9"/>
        <v>1278.9999999999993</v>
      </c>
      <c r="D102" s="443">
        <f t="shared" si="10"/>
        <v>2131.4999999999982</v>
      </c>
      <c r="E102" s="273">
        <f t="shared" si="11"/>
        <v>1880.5200000000034</v>
      </c>
      <c r="F102" s="274"/>
    </row>
    <row r="103" spans="1:6" ht="18" customHeight="1">
      <c r="A103" s="272">
        <v>98</v>
      </c>
      <c r="B103" s="443">
        <f t="shared" si="8"/>
        <v>1342.89</v>
      </c>
      <c r="C103" s="443">
        <f t="shared" si="9"/>
        <v>1291.1799999999994</v>
      </c>
      <c r="D103" s="443">
        <f t="shared" si="10"/>
        <v>2151.7999999999984</v>
      </c>
      <c r="E103" s="273">
        <f t="shared" si="11"/>
        <v>1898.4300000000035</v>
      </c>
      <c r="F103" s="274"/>
    </row>
    <row r="104" spans="1:6" ht="18" customHeight="1">
      <c r="A104" s="272">
        <v>99</v>
      </c>
      <c r="B104" s="443">
        <f t="shared" si="8"/>
        <v>1355.5600000000002</v>
      </c>
      <c r="C104" s="443">
        <f t="shared" si="9"/>
        <v>1303.3599999999994</v>
      </c>
      <c r="D104" s="443">
        <f t="shared" si="10"/>
        <v>2172.0999999999985</v>
      </c>
      <c r="E104" s="273">
        <f t="shared" si="11"/>
        <v>1916.3400000000036</v>
      </c>
      <c r="F104" s="274"/>
    </row>
    <row r="105" spans="1:6" ht="18" customHeight="1">
      <c r="A105" s="272">
        <v>100</v>
      </c>
      <c r="B105" s="443">
        <f t="shared" si="8"/>
        <v>1368.2300000000002</v>
      </c>
      <c r="C105" s="443">
        <f t="shared" si="9"/>
        <v>1315.5399999999995</v>
      </c>
      <c r="D105" s="443">
        <f t="shared" si="10"/>
        <v>2192.3999999999987</v>
      </c>
      <c r="E105" s="273">
        <f t="shared" si="11"/>
        <v>1934.2500000000036</v>
      </c>
      <c r="F105" s="274"/>
    </row>
    <row r="106" spans="1:6" ht="18" customHeight="1">
      <c r="A106" s="272">
        <v>101</v>
      </c>
      <c r="B106" s="443">
        <f t="shared" si="8"/>
        <v>1380.9000000000003</v>
      </c>
      <c r="C106" s="443">
        <f t="shared" si="9"/>
        <v>1327.7199999999996</v>
      </c>
      <c r="D106" s="443">
        <f t="shared" si="10"/>
        <v>2212.6999999999989</v>
      </c>
      <c r="E106" s="273">
        <f t="shared" si="11"/>
        <v>1952.1600000000037</v>
      </c>
      <c r="F106" s="274"/>
    </row>
    <row r="107" spans="1:6" ht="18" customHeight="1">
      <c r="A107" s="272">
        <v>102</v>
      </c>
      <c r="B107" s="443">
        <f t="shared" si="8"/>
        <v>1393.5700000000004</v>
      </c>
      <c r="C107" s="443">
        <f t="shared" si="9"/>
        <v>1339.8999999999996</v>
      </c>
      <c r="D107" s="443">
        <f t="shared" si="10"/>
        <v>2232.9999999999991</v>
      </c>
      <c r="E107" s="273">
        <f t="shared" si="11"/>
        <v>1970.0700000000038</v>
      </c>
      <c r="F107" s="274"/>
    </row>
    <row r="108" spans="1:6" ht="18" customHeight="1">
      <c r="A108" s="272">
        <v>103</v>
      </c>
      <c r="B108" s="443">
        <f t="shared" si="8"/>
        <v>1406.2400000000005</v>
      </c>
      <c r="C108" s="443">
        <f t="shared" si="9"/>
        <v>1352.0799999999997</v>
      </c>
      <c r="D108" s="443">
        <f t="shared" si="10"/>
        <v>2253.2999999999993</v>
      </c>
      <c r="E108" s="273">
        <f t="shared" si="11"/>
        <v>1987.9800000000039</v>
      </c>
      <c r="F108" s="274"/>
    </row>
    <row r="109" spans="1:6" ht="18" customHeight="1">
      <c r="A109" s="272">
        <v>104</v>
      </c>
      <c r="B109" s="443">
        <f t="shared" si="8"/>
        <v>1418.9100000000005</v>
      </c>
      <c r="C109" s="443">
        <f t="shared" si="9"/>
        <v>1364.2599999999998</v>
      </c>
      <c r="D109" s="443">
        <f t="shared" si="10"/>
        <v>2273.5999999999995</v>
      </c>
      <c r="E109" s="273">
        <f t="shared" si="11"/>
        <v>2005.890000000004</v>
      </c>
      <c r="F109" s="274"/>
    </row>
    <row r="110" spans="1:6" ht="18" customHeight="1">
      <c r="A110" s="272">
        <v>105</v>
      </c>
      <c r="B110" s="443">
        <f t="shared" si="8"/>
        <v>1431.5800000000006</v>
      </c>
      <c r="C110" s="443">
        <f t="shared" si="9"/>
        <v>1376.4399999999998</v>
      </c>
      <c r="D110" s="443">
        <f t="shared" si="10"/>
        <v>2293.8999999999996</v>
      </c>
      <c r="E110" s="273">
        <f t="shared" si="11"/>
        <v>2023.800000000004</v>
      </c>
      <c r="F110" s="274"/>
    </row>
    <row r="111" spans="1:6" ht="18" customHeight="1">
      <c r="A111" s="272">
        <v>106</v>
      </c>
      <c r="B111" s="443">
        <f t="shared" si="8"/>
        <v>1444.2500000000007</v>
      </c>
      <c r="C111" s="443">
        <f t="shared" si="9"/>
        <v>1388.62</v>
      </c>
      <c r="D111" s="443">
        <f t="shared" si="10"/>
        <v>2314.1999999999998</v>
      </c>
      <c r="E111" s="273">
        <f t="shared" si="11"/>
        <v>2041.7100000000041</v>
      </c>
      <c r="F111" s="274"/>
    </row>
    <row r="112" spans="1:6" ht="18" customHeight="1">
      <c r="A112" s="272">
        <v>107</v>
      </c>
      <c r="B112" s="443">
        <f t="shared" si="8"/>
        <v>1456.9200000000008</v>
      </c>
      <c r="C112" s="443">
        <f t="shared" si="9"/>
        <v>1400.8</v>
      </c>
      <c r="D112" s="443">
        <f t="shared" si="10"/>
        <v>2334.5</v>
      </c>
      <c r="E112" s="273">
        <f t="shared" si="11"/>
        <v>2059.620000000004</v>
      </c>
      <c r="F112" s="274"/>
    </row>
    <row r="113" spans="1:6" ht="18" customHeight="1">
      <c r="A113" s="272">
        <v>108</v>
      </c>
      <c r="B113" s="443">
        <f t="shared" si="8"/>
        <v>1469.5900000000008</v>
      </c>
      <c r="C113" s="443">
        <f t="shared" si="9"/>
        <v>1412.98</v>
      </c>
      <c r="D113" s="443">
        <f t="shared" si="10"/>
        <v>2354.8000000000002</v>
      </c>
      <c r="E113" s="273">
        <f t="shared" si="11"/>
        <v>2077.5300000000038</v>
      </c>
      <c r="F113" s="274"/>
    </row>
    <row r="114" spans="1:6" ht="18" customHeight="1">
      <c r="A114" s="272">
        <v>109</v>
      </c>
      <c r="B114" s="443">
        <f t="shared" si="8"/>
        <v>1482.2600000000009</v>
      </c>
      <c r="C114" s="443">
        <f t="shared" si="9"/>
        <v>1425.16</v>
      </c>
      <c r="D114" s="443">
        <f t="shared" si="10"/>
        <v>2375.1000000000004</v>
      </c>
      <c r="E114" s="273">
        <f t="shared" si="11"/>
        <v>2095.4400000000037</v>
      </c>
      <c r="F114" s="274"/>
    </row>
    <row r="115" spans="1:6" ht="18" customHeight="1">
      <c r="A115" s="272">
        <v>110</v>
      </c>
      <c r="B115" s="443">
        <f t="shared" si="8"/>
        <v>1494.930000000001</v>
      </c>
      <c r="C115" s="443">
        <f t="shared" si="9"/>
        <v>1437.3400000000001</v>
      </c>
      <c r="D115" s="443">
        <f t="shared" si="10"/>
        <v>2395.4000000000005</v>
      </c>
      <c r="E115" s="273">
        <f t="shared" si="11"/>
        <v>2113.3500000000035</v>
      </c>
      <c r="F115" s="274"/>
    </row>
    <row r="116" spans="1:6" ht="18" customHeight="1">
      <c r="A116" s="272">
        <v>111</v>
      </c>
      <c r="B116" s="443">
        <f t="shared" si="8"/>
        <v>1507.600000000001</v>
      </c>
      <c r="C116" s="443">
        <f t="shared" si="9"/>
        <v>1449.5200000000002</v>
      </c>
      <c r="D116" s="443">
        <f t="shared" si="10"/>
        <v>2415.7000000000007</v>
      </c>
      <c r="E116" s="273">
        <f t="shared" si="11"/>
        <v>2131.2600000000034</v>
      </c>
      <c r="F116" s="274"/>
    </row>
    <row r="117" spans="1:6" ht="18" customHeight="1">
      <c r="A117" s="272">
        <v>112</v>
      </c>
      <c r="B117" s="443">
        <f t="shared" si="8"/>
        <v>1520.2700000000011</v>
      </c>
      <c r="C117" s="443">
        <f t="shared" si="9"/>
        <v>1461.7000000000003</v>
      </c>
      <c r="D117" s="443">
        <f t="shared" si="10"/>
        <v>2436.0000000000009</v>
      </c>
      <c r="E117" s="273">
        <f t="shared" si="11"/>
        <v>2149.1700000000033</v>
      </c>
      <c r="F117" s="274"/>
    </row>
    <row r="118" spans="1:6" ht="18" customHeight="1">
      <c r="A118" s="272">
        <v>113</v>
      </c>
      <c r="B118" s="443">
        <f t="shared" si="8"/>
        <v>1532.9400000000012</v>
      </c>
      <c r="C118" s="443">
        <f t="shared" si="9"/>
        <v>1473.8800000000003</v>
      </c>
      <c r="D118" s="443">
        <f t="shared" si="10"/>
        <v>2456.3000000000011</v>
      </c>
      <c r="E118" s="273">
        <f t="shared" si="11"/>
        <v>2167.0800000000031</v>
      </c>
      <c r="F118" s="274"/>
    </row>
    <row r="119" spans="1:6" ht="18" customHeight="1">
      <c r="A119" s="272">
        <v>114</v>
      </c>
      <c r="B119" s="443">
        <f t="shared" si="8"/>
        <v>1545.6100000000013</v>
      </c>
      <c r="C119" s="443">
        <f t="shared" si="9"/>
        <v>1486.0600000000004</v>
      </c>
      <c r="D119" s="443">
        <f t="shared" si="10"/>
        <v>2476.6000000000013</v>
      </c>
      <c r="E119" s="273">
        <f t="shared" si="11"/>
        <v>2184.990000000003</v>
      </c>
      <c r="F119" s="274"/>
    </row>
    <row r="120" spans="1:6" ht="18" customHeight="1">
      <c r="A120" s="272">
        <v>115</v>
      </c>
      <c r="B120" s="443">
        <f t="shared" si="8"/>
        <v>1558.2800000000013</v>
      </c>
      <c r="C120" s="443">
        <f t="shared" si="9"/>
        <v>1498.2400000000005</v>
      </c>
      <c r="D120" s="443">
        <f t="shared" si="10"/>
        <v>2496.9000000000015</v>
      </c>
      <c r="E120" s="273">
        <f t="shared" si="11"/>
        <v>2202.9000000000028</v>
      </c>
      <c r="F120" s="274"/>
    </row>
    <row r="121" spans="1:6" ht="18" customHeight="1">
      <c r="A121" s="272">
        <v>116</v>
      </c>
      <c r="B121" s="443">
        <f t="shared" si="8"/>
        <v>1570.9500000000014</v>
      </c>
      <c r="C121" s="443">
        <f t="shared" si="9"/>
        <v>1510.4200000000005</v>
      </c>
      <c r="D121" s="443">
        <f t="shared" si="10"/>
        <v>2517.2000000000016</v>
      </c>
      <c r="E121" s="273">
        <f t="shared" si="11"/>
        <v>2220.8100000000027</v>
      </c>
      <c r="F121" s="274"/>
    </row>
    <row r="122" spans="1:6" ht="18" customHeight="1">
      <c r="A122" s="272">
        <v>117</v>
      </c>
      <c r="B122" s="443">
        <f t="shared" si="8"/>
        <v>1583.6200000000015</v>
      </c>
      <c r="C122" s="443">
        <f t="shared" si="9"/>
        <v>1522.6000000000006</v>
      </c>
      <c r="D122" s="443">
        <f t="shared" si="10"/>
        <v>2537.5000000000018</v>
      </c>
      <c r="E122" s="273">
        <f t="shared" si="11"/>
        <v>2238.7200000000025</v>
      </c>
      <c r="F122" s="274"/>
    </row>
    <row r="123" spans="1:6" ht="18" customHeight="1">
      <c r="A123" s="272">
        <v>118</v>
      </c>
      <c r="B123" s="443">
        <f t="shared" si="8"/>
        <v>1596.2900000000016</v>
      </c>
      <c r="C123" s="443">
        <f t="shared" si="9"/>
        <v>1534.7800000000007</v>
      </c>
      <c r="D123" s="443">
        <f t="shared" si="10"/>
        <v>2557.800000000002</v>
      </c>
      <c r="E123" s="273">
        <f t="shared" si="11"/>
        <v>2256.6300000000024</v>
      </c>
      <c r="F123" s="274"/>
    </row>
    <row r="124" spans="1:6" ht="18" customHeight="1">
      <c r="A124" s="272">
        <v>119</v>
      </c>
      <c r="B124" s="443">
        <f t="shared" si="8"/>
        <v>1608.9600000000016</v>
      </c>
      <c r="C124" s="443">
        <f t="shared" si="9"/>
        <v>1546.9600000000007</v>
      </c>
      <c r="D124" s="443">
        <f t="shared" si="10"/>
        <v>2578.1000000000022</v>
      </c>
      <c r="E124" s="273">
        <f t="shared" si="11"/>
        <v>2274.5400000000022</v>
      </c>
      <c r="F124" s="274"/>
    </row>
    <row r="125" spans="1:6" ht="18" customHeight="1">
      <c r="A125" s="272">
        <v>120</v>
      </c>
      <c r="B125" s="443">
        <f t="shared" si="8"/>
        <v>1621.6300000000017</v>
      </c>
      <c r="C125" s="443">
        <f t="shared" si="9"/>
        <v>1559.1400000000008</v>
      </c>
      <c r="D125" s="443">
        <f t="shared" si="10"/>
        <v>2598.4000000000024</v>
      </c>
      <c r="E125" s="273">
        <f t="shared" si="11"/>
        <v>2292.4500000000021</v>
      </c>
      <c r="F125" s="274"/>
    </row>
    <row r="126" spans="1:6" ht="18" customHeight="1">
      <c r="A126" s="272">
        <v>121</v>
      </c>
      <c r="B126" s="443">
        <f t="shared" si="8"/>
        <v>1634.3000000000018</v>
      </c>
      <c r="C126" s="443">
        <f t="shared" si="9"/>
        <v>1571.3200000000008</v>
      </c>
      <c r="D126" s="443">
        <f t="shared" si="10"/>
        <v>2618.7000000000025</v>
      </c>
      <c r="E126" s="273">
        <f t="shared" si="11"/>
        <v>2310.3600000000019</v>
      </c>
      <c r="F126" s="274"/>
    </row>
    <row r="127" spans="1:6" ht="18" customHeight="1">
      <c r="A127" s="272">
        <v>122</v>
      </c>
      <c r="B127" s="443">
        <f t="shared" si="8"/>
        <v>1646.9700000000018</v>
      </c>
      <c r="C127" s="443">
        <f t="shared" si="9"/>
        <v>1583.5000000000009</v>
      </c>
      <c r="D127" s="443">
        <f t="shared" si="10"/>
        <v>2639.0000000000027</v>
      </c>
      <c r="E127" s="273">
        <f t="shared" si="11"/>
        <v>2328.2700000000018</v>
      </c>
      <c r="F127" s="274"/>
    </row>
    <row r="128" spans="1:6" ht="18" customHeight="1">
      <c r="A128" s="272">
        <v>123</v>
      </c>
      <c r="B128" s="443">
        <f t="shared" si="8"/>
        <v>1659.6400000000019</v>
      </c>
      <c r="C128" s="443">
        <f t="shared" si="9"/>
        <v>1595.680000000001</v>
      </c>
      <c r="D128" s="443">
        <f t="shared" si="10"/>
        <v>2659.3000000000029</v>
      </c>
      <c r="E128" s="273">
        <f t="shared" si="11"/>
        <v>2346.1800000000017</v>
      </c>
      <c r="F128" s="274"/>
    </row>
    <row r="129" spans="1:6" ht="18" customHeight="1">
      <c r="A129" s="272">
        <v>124</v>
      </c>
      <c r="B129" s="443">
        <f t="shared" si="8"/>
        <v>1672.310000000002</v>
      </c>
      <c r="C129" s="443">
        <f t="shared" si="9"/>
        <v>1607.860000000001</v>
      </c>
      <c r="D129" s="443">
        <f t="shared" si="10"/>
        <v>2679.6000000000031</v>
      </c>
      <c r="E129" s="273">
        <f t="shared" si="11"/>
        <v>2364.0900000000015</v>
      </c>
      <c r="F129" s="274"/>
    </row>
    <row r="130" spans="1:6" ht="18" customHeight="1">
      <c r="A130" s="272">
        <v>125</v>
      </c>
      <c r="B130" s="443">
        <f t="shared" si="8"/>
        <v>1684.9800000000021</v>
      </c>
      <c r="C130" s="443">
        <f t="shared" si="9"/>
        <v>1620.0400000000011</v>
      </c>
      <c r="D130" s="443">
        <f t="shared" si="10"/>
        <v>2699.9000000000033</v>
      </c>
      <c r="E130" s="273">
        <f t="shared" si="11"/>
        <v>2382.0000000000014</v>
      </c>
      <c r="F130" s="274"/>
    </row>
    <row r="131" spans="1:6" ht="18" customHeight="1">
      <c r="A131" s="272">
        <v>126</v>
      </c>
      <c r="B131" s="443">
        <f t="shared" si="8"/>
        <v>1697.6500000000021</v>
      </c>
      <c r="C131" s="443">
        <f t="shared" si="9"/>
        <v>1632.2200000000012</v>
      </c>
      <c r="D131" s="443">
        <f t="shared" si="10"/>
        <v>2720.2000000000035</v>
      </c>
      <c r="E131" s="273">
        <f t="shared" si="11"/>
        <v>2399.9100000000012</v>
      </c>
      <c r="F131" s="274"/>
    </row>
    <row r="132" spans="1:6" ht="18" customHeight="1">
      <c r="A132" s="272">
        <v>127</v>
      </c>
      <c r="B132" s="443">
        <f t="shared" si="8"/>
        <v>1710.3200000000022</v>
      </c>
      <c r="C132" s="443">
        <f t="shared" si="9"/>
        <v>1644.4000000000012</v>
      </c>
      <c r="D132" s="443">
        <f t="shared" si="10"/>
        <v>2740.5000000000036</v>
      </c>
      <c r="E132" s="273">
        <f t="shared" si="11"/>
        <v>2417.8200000000011</v>
      </c>
      <c r="F132" s="274"/>
    </row>
    <row r="133" spans="1:6" ht="18" customHeight="1">
      <c r="A133" s="272">
        <v>128</v>
      </c>
      <c r="B133" s="443">
        <f t="shared" si="8"/>
        <v>1722.9900000000023</v>
      </c>
      <c r="C133" s="443">
        <f t="shared" si="9"/>
        <v>1656.5800000000013</v>
      </c>
      <c r="D133" s="443">
        <f t="shared" si="10"/>
        <v>2760.8000000000038</v>
      </c>
      <c r="E133" s="273">
        <f t="shared" si="11"/>
        <v>2435.7300000000009</v>
      </c>
      <c r="F133" s="274"/>
    </row>
    <row r="134" spans="1:6" ht="18" customHeight="1">
      <c r="A134" s="272">
        <v>129</v>
      </c>
      <c r="B134" s="443">
        <f t="shared" si="8"/>
        <v>1735.6600000000024</v>
      </c>
      <c r="C134" s="443">
        <f t="shared" si="9"/>
        <v>1668.7600000000014</v>
      </c>
      <c r="D134" s="443">
        <f t="shared" si="10"/>
        <v>2781.100000000004</v>
      </c>
      <c r="E134" s="273">
        <f t="shared" si="11"/>
        <v>2453.6400000000008</v>
      </c>
      <c r="F134" s="274"/>
    </row>
    <row r="135" spans="1:6" ht="18" customHeight="1">
      <c r="A135" s="272">
        <v>130</v>
      </c>
      <c r="B135" s="443">
        <f t="shared" si="8"/>
        <v>1748.3300000000024</v>
      </c>
      <c r="C135" s="443">
        <f t="shared" si="9"/>
        <v>1680.9400000000014</v>
      </c>
      <c r="D135" s="443">
        <f t="shared" si="10"/>
        <v>2801.4000000000042</v>
      </c>
      <c r="E135" s="273">
        <f t="shared" si="11"/>
        <v>2471.5500000000006</v>
      </c>
      <c r="F135" s="274"/>
    </row>
    <row r="136" spans="1:6" ht="18" customHeight="1">
      <c r="A136" s="272">
        <v>131</v>
      </c>
      <c r="B136" s="443">
        <f t="shared" si="8"/>
        <v>1761.0000000000025</v>
      </c>
      <c r="C136" s="443">
        <f t="shared" si="9"/>
        <v>1693.1200000000015</v>
      </c>
      <c r="D136" s="443">
        <f t="shared" si="10"/>
        <v>2821.7000000000044</v>
      </c>
      <c r="E136" s="273">
        <f t="shared" si="11"/>
        <v>2489.4600000000005</v>
      </c>
      <c r="F136" s="274"/>
    </row>
    <row r="137" spans="1:6" ht="18" customHeight="1">
      <c r="A137" s="272">
        <v>132</v>
      </c>
      <c r="B137" s="443">
        <f t="shared" si="8"/>
        <v>1773.6700000000026</v>
      </c>
      <c r="C137" s="443">
        <f t="shared" si="9"/>
        <v>1705.3000000000015</v>
      </c>
      <c r="D137" s="443">
        <f t="shared" si="10"/>
        <v>2842.0000000000045</v>
      </c>
      <c r="E137" s="273">
        <f t="shared" si="11"/>
        <v>2507.3700000000003</v>
      </c>
      <c r="F137" s="274"/>
    </row>
    <row r="138" spans="1:6" ht="18" customHeight="1">
      <c r="A138" s="272">
        <v>133</v>
      </c>
      <c r="B138" s="443">
        <f t="shared" si="8"/>
        <v>1786.3400000000026</v>
      </c>
      <c r="C138" s="443">
        <f t="shared" si="9"/>
        <v>1717.4800000000016</v>
      </c>
      <c r="D138" s="443">
        <f t="shared" si="10"/>
        <v>2862.3000000000047</v>
      </c>
      <c r="E138" s="273">
        <f t="shared" si="11"/>
        <v>2525.2800000000002</v>
      </c>
      <c r="F138" s="274"/>
    </row>
    <row r="139" spans="1:6" ht="18" customHeight="1">
      <c r="A139" s="272">
        <v>134</v>
      </c>
      <c r="B139" s="443">
        <f t="shared" si="8"/>
        <v>1799.0100000000027</v>
      </c>
      <c r="C139" s="443">
        <f t="shared" si="9"/>
        <v>1729.6600000000017</v>
      </c>
      <c r="D139" s="443">
        <f t="shared" si="10"/>
        <v>2882.6000000000049</v>
      </c>
      <c r="E139" s="273">
        <f t="shared" si="11"/>
        <v>2543.19</v>
      </c>
      <c r="F139" s="274"/>
    </row>
    <row r="140" spans="1:6" ht="18" customHeight="1">
      <c r="A140" s="280">
        <v>135</v>
      </c>
      <c r="B140" s="443">
        <f t="shared" si="8"/>
        <v>1811.6800000000028</v>
      </c>
      <c r="C140" s="443">
        <f t="shared" si="9"/>
        <v>1741.8400000000017</v>
      </c>
      <c r="D140" s="443">
        <f t="shared" si="10"/>
        <v>2902.9000000000051</v>
      </c>
      <c r="E140" s="273">
        <f t="shared" si="11"/>
        <v>2561.1</v>
      </c>
      <c r="F140" s="274"/>
    </row>
    <row r="141" spans="1:6" ht="18" customHeight="1">
      <c r="A141" s="272">
        <v>136</v>
      </c>
      <c r="B141" s="443">
        <f t="shared" si="8"/>
        <v>1824.3500000000029</v>
      </c>
      <c r="C141" s="443">
        <f t="shared" si="9"/>
        <v>1754.0200000000018</v>
      </c>
      <c r="D141" s="443">
        <f t="shared" si="10"/>
        <v>2923.2000000000053</v>
      </c>
      <c r="E141" s="273">
        <f t="shared" si="11"/>
        <v>2579.0099999999998</v>
      </c>
      <c r="F141" s="274"/>
    </row>
    <row r="142" spans="1:6" ht="18" customHeight="1">
      <c r="A142" s="272">
        <v>137</v>
      </c>
      <c r="B142" s="443">
        <f t="shared" si="8"/>
        <v>1837.0200000000029</v>
      </c>
      <c r="C142" s="443">
        <f t="shared" si="9"/>
        <v>1766.2000000000019</v>
      </c>
      <c r="D142" s="443">
        <f t="shared" si="10"/>
        <v>2943.5000000000055</v>
      </c>
      <c r="E142" s="273">
        <f t="shared" si="11"/>
        <v>2596.9199999999996</v>
      </c>
      <c r="F142" s="274"/>
    </row>
    <row r="143" spans="1:6" ht="18" customHeight="1">
      <c r="A143" s="272">
        <v>138</v>
      </c>
      <c r="B143" s="443">
        <f t="shared" si="8"/>
        <v>1849.690000000003</v>
      </c>
      <c r="C143" s="443">
        <f t="shared" si="9"/>
        <v>1778.3800000000019</v>
      </c>
      <c r="D143" s="443">
        <f t="shared" si="10"/>
        <v>2963.8000000000056</v>
      </c>
      <c r="E143" s="273">
        <f t="shared" si="11"/>
        <v>2614.8299999999995</v>
      </c>
      <c r="F143" s="274"/>
    </row>
    <row r="144" spans="1:6" ht="18" customHeight="1">
      <c r="A144" s="272">
        <v>139</v>
      </c>
      <c r="B144" s="443">
        <f t="shared" si="8"/>
        <v>1862.3600000000031</v>
      </c>
      <c r="C144" s="443">
        <f t="shared" si="9"/>
        <v>1790.560000000002</v>
      </c>
      <c r="D144" s="443">
        <f t="shared" si="10"/>
        <v>2984.1000000000058</v>
      </c>
      <c r="E144" s="273">
        <f t="shared" si="11"/>
        <v>2632.7399999999993</v>
      </c>
      <c r="F144" s="274"/>
    </row>
    <row r="145" spans="1:6" ht="18" customHeight="1">
      <c r="A145" s="272">
        <v>140</v>
      </c>
      <c r="B145" s="443">
        <f t="shared" si="8"/>
        <v>1875.0300000000032</v>
      </c>
      <c r="C145" s="443">
        <f t="shared" si="9"/>
        <v>1802.7400000000021</v>
      </c>
      <c r="D145" s="443">
        <f t="shared" si="10"/>
        <v>3004.400000000006</v>
      </c>
      <c r="E145" s="273">
        <f t="shared" si="11"/>
        <v>2650.6499999999992</v>
      </c>
      <c r="F145" s="274"/>
    </row>
    <row r="146" spans="1:6" ht="18" customHeight="1">
      <c r="A146" s="272">
        <v>141</v>
      </c>
      <c r="B146" s="443">
        <f t="shared" si="8"/>
        <v>1887.7000000000032</v>
      </c>
      <c r="C146" s="443">
        <f t="shared" si="9"/>
        <v>1814.9200000000021</v>
      </c>
      <c r="D146" s="443">
        <f t="shared" si="10"/>
        <v>3024.7000000000062</v>
      </c>
      <c r="E146" s="273">
        <f t="shared" si="11"/>
        <v>2668.559999999999</v>
      </c>
      <c r="F146" s="274"/>
    </row>
    <row r="147" spans="1:6" ht="18" customHeight="1">
      <c r="A147" s="272">
        <v>142</v>
      </c>
      <c r="B147" s="443">
        <f t="shared" si="8"/>
        <v>1900.3700000000033</v>
      </c>
      <c r="C147" s="443">
        <f t="shared" si="9"/>
        <v>1827.1000000000022</v>
      </c>
      <c r="D147" s="443">
        <f t="shared" si="10"/>
        <v>3045.0000000000064</v>
      </c>
      <c r="E147" s="273">
        <f t="shared" si="11"/>
        <v>2686.4699999999989</v>
      </c>
      <c r="F147" s="274"/>
    </row>
    <row r="148" spans="1:6" ht="18" customHeight="1">
      <c r="A148" s="272">
        <v>143</v>
      </c>
      <c r="B148" s="443">
        <f t="shared" si="8"/>
        <v>1913.0400000000034</v>
      </c>
      <c r="C148" s="443">
        <f t="shared" si="9"/>
        <v>1839.2800000000022</v>
      </c>
      <c r="D148" s="443">
        <f t="shared" si="10"/>
        <v>3065.3000000000065</v>
      </c>
      <c r="E148" s="273">
        <f t="shared" si="11"/>
        <v>2704.3799999999987</v>
      </c>
      <c r="F148" s="274"/>
    </row>
    <row r="149" spans="1:6" ht="18" customHeight="1">
      <c r="A149" s="272">
        <v>144</v>
      </c>
      <c r="B149" s="443">
        <f t="shared" si="8"/>
        <v>1925.7100000000034</v>
      </c>
      <c r="C149" s="443">
        <f t="shared" si="9"/>
        <v>1851.4600000000023</v>
      </c>
      <c r="D149" s="443">
        <f t="shared" si="10"/>
        <v>3085.6000000000067</v>
      </c>
      <c r="E149" s="273">
        <f t="shared" si="11"/>
        <v>2722.2899999999986</v>
      </c>
      <c r="F149" s="274"/>
    </row>
    <row r="150" spans="1:6" ht="18" customHeight="1">
      <c r="A150" s="272">
        <v>145</v>
      </c>
      <c r="B150" s="443">
        <f t="shared" si="8"/>
        <v>1938.3800000000035</v>
      </c>
      <c r="C150" s="443">
        <f t="shared" si="9"/>
        <v>1863.6400000000024</v>
      </c>
      <c r="D150" s="443">
        <f t="shared" si="10"/>
        <v>3105.9000000000069</v>
      </c>
      <c r="E150" s="273">
        <f t="shared" si="11"/>
        <v>2740.1999999999985</v>
      </c>
      <c r="F150" s="274"/>
    </row>
    <row r="151" spans="1:6" ht="18" customHeight="1">
      <c r="A151" s="272">
        <v>146</v>
      </c>
      <c r="B151" s="443">
        <f t="shared" si="8"/>
        <v>1951.0500000000036</v>
      </c>
      <c r="C151" s="443">
        <f t="shared" si="9"/>
        <v>1875.8200000000024</v>
      </c>
      <c r="D151" s="443">
        <f t="shared" si="10"/>
        <v>3126.2000000000071</v>
      </c>
      <c r="E151" s="273">
        <f t="shared" si="11"/>
        <v>2758.1099999999983</v>
      </c>
      <c r="F151" s="274"/>
    </row>
    <row r="152" spans="1:6" ht="18" customHeight="1">
      <c r="A152" s="272">
        <v>147</v>
      </c>
      <c r="B152" s="443">
        <f t="shared" si="8"/>
        <v>1963.7200000000037</v>
      </c>
      <c r="C152" s="443">
        <f t="shared" si="9"/>
        <v>1888.0000000000025</v>
      </c>
      <c r="D152" s="443">
        <f t="shared" si="10"/>
        <v>3146.5000000000073</v>
      </c>
      <c r="E152" s="273">
        <f t="shared" si="11"/>
        <v>2776.0199999999982</v>
      </c>
      <c r="F152" s="274"/>
    </row>
    <row r="153" spans="1:6" ht="18" customHeight="1">
      <c r="A153" s="272">
        <v>148</v>
      </c>
      <c r="B153" s="443">
        <f t="shared" si="8"/>
        <v>1976.3900000000037</v>
      </c>
      <c r="C153" s="443">
        <f t="shared" si="9"/>
        <v>1900.1800000000026</v>
      </c>
      <c r="D153" s="443">
        <f t="shared" si="10"/>
        <v>3166.8000000000075</v>
      </c>
      <c r="E153" s="273">
        <f t="shared" si="11"/>
        <v>2793.929999999998</v>
      </c>
      <c r="F153" s="274"/>
    </row>
    <row r="154" spans="1:6" ht="18" customHeight="1">
      <c r="A154" s="272">
        <v>149</v>
      </c>
      <c r="B154" s="443">
        <f t="shared" si="8"/>
        <v>1989.0600000000038</v>
      </c>
      <c r="C154" s="443">
        <f t="shared" si="9"/>
        <v>1912.3600000000026</v>
      </c>
      <c r="D154" s="443">
        <f t="shared" si="10"/>
        <v>3187.1000000000076</v>
      </c>
      <c r="E154" s="273">
        <f t="shared" si="11"/>
        <v>2811.8399999999979</v>
      </c>
      <c r="F154" s="274"/>
    </row>
    <row r="155" spans="1:6" ht="18" customHeight="1">
      <c r="A155" s="272">
        <v>150</v>
      </c>
      <c r="B155" s="443">
        <f t="shared" si="8"/>
        <v>2001.7300000000039</v>
      </c>
      <c r="C155" s="443">
        <f t="shared" si="9"/>
        <v>1924.5400000000027</v>
      </c>
      <c r="D155" s="443">
        <f t="shared" si="10"/>
        <v>3207.4000000000078</v>
      </c>
      <c r="E155" s="273">
        <f t="shared" si="11"/>
        <v>2829.7499999999977</v>
      </c>
      <c r="F155" s="274"/>
    </row>
    <row r="156" spans="1:6" ht="18" customHeight="1">
      <c r="A156" s="272">
        <v>151</v>
      </c>
      <c r="B156" s="443">
        <f t="shared" si="8"/>
        <v>2014.400000000004</v>
      </c>
      <c r="C156" s="443">
        <f t="shared" si="9"/>
        <v>1936.7200000000028</v>
      </c>
      <c r="D156" s="443">
        <f t="shared" si="10"/>
        <v>3227.700000000008</v>
      </c>
      <c r="E156" s="273">
        <f t="shared" si="11"/>
        <v>2847.6599999999976</v>
      </c>
      <c r="F156" s="274"/>
    </row>
    <row r="157" spans="1:6" ht="18" customHeight="1">
      <c r="A157" s="272">
        <v>152</v>
      </c>
      <c r="B157" s="443">
        <f t="shared" si="8"/>
        <v>2027.070000000004</v>
      </c>
      <c r="C157" s="443">
        <f t="shared" si="9"/>
        <v>1948.9000000000028</v>
      </c>
      <c r="D157" s="443">
        <f t="shared" si="10"/>
        <v>3248.0000000000082</v>
      </c>
      <c r="E157" s="273">
        <f t="shared" si="11"/>
        <v>2865.5699999999974</v>
      </c>
      <c r="F157" s="274"/>
    </row>
    <row r="158" spans="1:6" ht="18" customHeight="1">
      <c r="A158" s="272">
        <v>153</v>
      </c>
      <c r="B158" s="443">
        <f t="shared" si="8"/>
        <v>2039.7400000000041</v>
      </c>
      <c r="C158" s="443">
        <f t="shared" si="9"/>
        <v>1961.0800000000029</v>
      </c>
      <c r="D158" s="443">
        <f t="shared" si="10"/>
        <v>3268.3000000000084</v>
      </c>
      <c r="E158" s="273">
        <f t="shared" si="11"/>
        <v>2883.4799999999973</v>
      </c>
      <c r="F158" s="274"/>
    </row>
    <row r="159" spans="1:6" ht="18" customHeight="1">
      <c r="A159" s="272">
        <v>154</v>
      </c>
      <c r="B159" s="443">
        <f t="shared" si="8"/>
        <v>2052.4100000000039</v>
      </c>
      <c r="C159" s="443">
        <f t="shared" si="9"/>
        <v>1973.2600000000029</v>
      </c>
      <c r="D159" s="443">
        <f t="shared" si="10"/>
        <v>3288.6000000000085</v>
      </c>
      <c r="E159" s="273">
        <f t="shared" si="11"/>
        <v>2901.3899999999971</v>
      </c>
      <c r="F159" s="274"/>
    </row>
    <row r="160" spans="1:6" ht="18" customHeight="1">
      <c r="A160" s="272">
        <v>155</v>
      </c>
      <c r="B160" s="443">
        <f t="shared" si="8"/>
        <v>2065.080000000004</v>
      </c>
      <c r="C160" s="443">
        <f t="shared" si="9"/>
        <v>1985.440000000003</v>
      </c>
      <c r="D160" s="443">
        <f t="shared" si="10"/>
        <v>3308.9000000000087</v>
      </c>
      <c r="E160" s="273">
        <f t="shared" si="11"/>
        <v>2919.299999999997</v>
      </c>
      <c r="F160" s="274"/>
    </row>
    <row r="161" spans="1:6" ht="18" customHeight="1">
      <c r="A161" s="272">
        <v>156</v>
      </c>
      <c r="B161" s="443">
        <f t="shared" si="8"/>
        <v>2077.7500000000041</v>
      </c>
      <c r="C161" s="443">
        <f t="shared" si="9"/>
        <v>1997.6200000000031</v>
      </c>
      <c r="D161" s="443">
        <f t="shared" si="10"/>
        <v>3329.2000000000089</v>
      </c>
      <c r="E161" s="273">
        <f t="shared" si="11"/>
        <v>2937.2099999999969</v>
      </c>
      <c r="F161" s="274"/>
    </row>
    <row r="162" spans="1:6" ht="18" customHeight="1">
      <c r="A162" s="272">
        <v>157</v>
      </c>
      <c r="B162" s="443">
        <f t="shared" si="8"/>
        <v>2090.4200000000042</v>
      </c>
      <c r="C162" s="443">
        <f t="shared" si="9"/>
        <v>2009.8000000000031</v>
      </c>
      <c r="D162" s="443">
        <f t="shared" si="10"/>
        <v>3349.5000000000091</v>
      </c>
      <c r="E162" s="273">
        <f t="shared" si="11"/>
        <v>2955.1199999999967</v>
      </c>
      <c r="F162" s="274"/>
    </row>
    <row r="163" spans="1:6" ht="18" customHeight="1">
      <c r="A163" s="272">
        <v>158</v>
      </c>
      <c r="B163" s="443">
        <f t="shared" si="8"/>
        <v>2103.0900000000042</v>
      </c>
      <c r="C163" s="443">
        <f t="shared" si="9"/>
        <v>2021.9800000000032</v>
      </c>
      <c r="D163" s="443">
        <f t="shared" si="10"/>
        <v>3369.8000000000093</v>
      </c>
      <c r="E163" s="273">
        <f t="shared" si="11"/>
        <v>2973.0299999999966</v>
      </c>
      <c r="F163" s="274"/>
    </row>
    <row r="164" spans="1:6" ht="18" customHeight="1">
      <c r="A164" s="272">
        <v>159</v>
      </c>
      <c r="B164" s="443">
        <f t="shared" si="8"/>
        <v>2115.7600000000043</v>
      </c>
      <c r="C164" s="443">
        <f t="shared" si="9"/>
        <v>2034.1600000000033</v>
      </c>
      <c r="D164" s="443">
        <f t="shared" si="10"/>
        <v>3390.1000000000095</v>
      </c>
      <c r="E164" s="273">
        <f t="shared" si="11"/>
        <v>2990.9399999999964</v>
      </c>
      <c r="F164" s="274"/>
    </row>
    <row r="165" spans="1:6" ht="18" customHeight="1">
      <c r="A165" s="272">
        <v>160</v>
      </c>
      <c r="B165" s="443">
        <f t="shared" ref="B165:B228" si="12">B164+12.67</f>
        <v>2128.4300000000044</v>
      </c>
      <c r="C165" s="443">
        <f t="shared" ref="C165:C228" si="13">C164+12.18</f>
        <v>2046.3400000000033</v>
      </c>
      <c r="D165" s="443">
        <f t="shared" ref="D165:D228" si="14">D164+20.3</f>
        <v>3410.4000000000096</v>
      </c>
      <c r="E165" s="273">
        <f t="shared" ref="E165:E228" si="15">E164+17.91</f>
        <v>3008.8499999999963</v>
      </c>
      <c r="F165" s="274"/>
    </row>
    <row r="166" spans="1:6" ht="18" customHeight="1">
      <c r="A166" s="272">
        <v>161</v>
      </c>
      <c r="B166" s="443">
        <f t="shared" si="12"/>
        <v>2141.1000000000045</v>
      </c>
      <c r="C166" s="443">
        <f t="shared" si="13"/>
        <v>2058.5200000000032</v>
      </c>
      <c r="D166" s="443">
        <f t="shared" si="14"/>
        <v>3430.7000000000098</v>
      </c>
      <c r="E166" s="273">
        <f t="shared" si="15"/>
        <v>3026.7599999999961</v>
      </c>
      <c r="F166" s="274"/>
    </row>
    <row r="167" spans="1:6" ht="18" customHeight="1">
      <c r="A167" s="272">
        <v>162</v>
      </c>
      <c r="B167" s="443">
        <f t="shared" si="12"/>
        <v>2153.7700000000045</v>
      </c>
      <c r="C167" s="443">
        <f t="shared" si="13"/>
        <v>2070.700000000003</v>
      </c>
      <c r="D167" s="443">
        <f t="shared" si="14"/>
        <v>3451.00000000001</v>
      </c>
      <c r="E167" s="273">
        <f t="shared" si="15"/>
        <v>3044.669999999996</v>
      </c>
      <c r="F167" s="274"/>
    </row>
    <row r="168" spans="1:6" ht="18" customHeight="1">
      <c r="A168" s="272">
        <v>163</v>
      </c>
      <c r="B168" s="443">
        <f t="shared" si="12"/>
        <v>2166.4400000000046</v>
      </c>
      <c r="C168" s="443">
        <f t="shared" si="13"/>
        <v>2082.8800000000028</v>
      </c>
      <c r="D168" s="443">
        <f t="shared" si="14"/>
        <v>3471.3000000000102</v>
      </c>
      <c r="E168" s="273">
        <f t="shared" si="15"/>
        <v>3062.5799999999958</v>
      </c>
      <c r="F168" s="274"/>
    </row>
    <row r="169" spans="1:6" ht="18" customHeight="1">
      <c r="A169" s="272">
        <v>164</v>
      </c>
      <c r="B169" s="443">
        <f t="shared" si="12"/>
        <v>2179.1100000000047</v>
      </c>
      <c r="C169" s="443">
        <f t="shared" si="13"/>
        <v>2095.0600000000027</v>
      </c>
      <c r="D169" s="443">
        <f t="shared" si="14"/>
        <v>3491.6000000000104</v>
      </c>
      <c r="E169" s="273">
        <f t="shared" si="15"/>
        <v>3080.4899999999957</v>
      </c>
      <c r="F169" s="274"/>
    </row>
    <row r="170" spans="1:6" ht="18" customHeight="1">
      <c r="A170" s="272">
        <v>165</v>
      </c>
      <c r="B170" s="443">
        <f t="shared" si="12"/>
        <v>2191.7800000000047</v>
      </c>
      <c r="C170" s="443">
        <f t="shared" si="13"/>
        <v>2107.2400000000025</v>
      </c>
      <c r="D170" s="443">
        <f t="shared" si="14"/>
        <v>3511.9000000000106</v>
      </c>
      <c r="E170" s="273">
        <f t="shared" si="15"/>
        <v>3098.3999999999955</v>
      </c>
      <c r="F170" s="274"/>
    </row>
    <row r="171" spans="1:6" ht="18" customHeight="1">
      <c r="A171" s="272">
        <v>166</v>
      </c>
      <c r="B171" s="443">
        <f t="shared" si="12"/>
        <v>2204.4500000000048</v>
      </c>
      <c r="C171" s="443">
        <f t="shared" si="13"/>
        <v>2119.4200000000023</v>
      </c>
      <c r="D171" s="443">
        <f t="shared" si="14"/>
        <v>3532.2000000000107</v>
      </c>
      <c r="E171" s="273">
        <f t="shared" si="15"/>
        <v>3116.3099999999954</v>
      </c>
      <c r="F171" s="274"/>
    </row>
    <row r="172" spans="1:6" ht="18" customHeight="1">
      <c r="A172" s="272">
        <v>167</v>
      </c>
      <c r="B172" s="443">
        <f t="shared" si="12"/>
        <v>2217.1200000000049</v>
      </c>
      <c r="C172" s="443">
        <f t="shared" si="13"/>
        <v>2131.6000000000022</v>
      </c>
      <c r="D172" s="443">
        <f t="shared" si="14"/>
        <v>3552.5000000000109</v>
      </c>
      <c r="E172" s="273">
        <f t="shared" si="15"/>
        <v>3134.2199999999953</v>
      </c>
      <c r="F172" s="274"/>
    </row>
    <row r="173" spans="1:6" ht="18" customHeight="1">
      <c r="A173" s="272">
        <v>168</v>
      </c>
      <c r="B173" s="443">
        <f t="shared" si="12"/>
        <v>2229.790000000005</v>
      </c>
      <c r="C173" s="443">
        <f t="shared" si="13"/>
        <v>2143.780000000002</v>
      </c>
      <c r="D173" s="443">
        <f t="shared" si="14"/>
        <v>3572.8000000000111</v>
      </c>
      <c r="E173" s="273">
        <f t="shared" si="15"/>
        <v>3152.1299999999951</v>
      </c>
      <c r="F173" s="274"/>
    </row>
    <row r="174" spans="1:6" ht="18" customHeight="1">
      <c r="A174" s="272">
        <v>169</v>
      </c>
      <c r="B174" s="443">
        <f t="shared" si="12"/>
        <v>2242.460000000005</v>
      </c>
      <c r="C174" s="443">
        <f t="shared" si="13"/>
        <v>2155.9600000000019</v>
      </c>
      <c r="D174" s="443">
        <f t="shared" si="14"/>
        <v>3593.1000000000113</v>
      </c>
      <c r="E174" s="273">
        <f t="shared" si="15"/>
        <v>3170.039999999995</v>
      </c>
      <c r="F174" s="274"/>
    </row>
    <row r="175" spans="1:6" ht="18" customHeight="1">
      <c r="A175" s="272">
        <v>170</v>
      </c>
      <c r="B175" s="443">
        <f t="shared" si="12"/>
        <v>2255.1300000000051</v>
      </c>
      <c r="C175" s="443">
        <f t="shared" si="13"/>
        <v>2168.1400000000017</v>
      </c>
      <c r="D175" s="443">
        <f t="shared" si="14"/>
        <v>3613.4000000000115</v>
      </c>
      <c r="E175" s="273">
        <f t="shared" si="15"/>
        <v>3187.9499999999948</v>
      </c>
      <c r="F175" s="274"/>
    </row>
    <row r="176" spans="1:6" ht="18" customHeight="1">
      <c r="A176" s="272">
        <v>171</v>
      </c>
      <c r="B176" s="443">
        <f t="shared" si="12"/>
        <v>2267.8000000000052</v>
      </c>
      <c r="C176" s="443">
        <f t="shared" si="13"/>
        <v>2180.3200000000015</v>
      </c>
      <c r="D176" s="443">
        <f t="shared" si="14"/>
        <v>3633.7000000000116</v>
      </c>
      <c r="E176" s="273">
        <f t="shared" si="15"/>
        <v>3205.8599999999947</v>
      </c>
      <c r="F176" s="274"/>
    </row>
    <row r="177" spans="1:6" ht="18" customHeight="1">
      <c r="A177" s="272">
        <v>172</v>
      </c>
      <c r="B177" s="443">
        <f t="shared" si="12"/>
        <v>2280.4700000000053</v>
      </c>
      <c r="C177" s="443">
        <f t="shared" si="13"/>
        <v>2192.5000000000014</v>
      </c>
      <c r="D177" s="443">
        <f t="shared" si="14"/>
        <v>3654.0000000000118</v>
      </c>
      <c r="E177" s="273">
        <f t="shared" si="15"/>
        <v>3223.7699999999945</v>
      </c>
      <c r="F177" s="274"/>
    </row>
    <row r="178" spans="1:6" ht="18" customHeight="1">
      <c r="A178" s="272">
        <v>173</v>
      </c>
      <c r="B178" s="443">
        <f t="shared" si="12"/>
        <v>2293.1400000000053</v>
      </c>
      <c r="C178" s="443">
        <f t="shared" si="13"/>
        <v>2204.6800000000012</v>
      </c>
      <c r="D178" s="443">
        <f t="shared" si="14"/>
        <v>3674.300000000012</v>
      </c>
      <c r="E178" s="273">
        <f t="shared" si="15"/>
        <v>3241.6799999999944</v>
      </c>
      <c r="F178" s="274"/>
    </row>
    <row r="179" spans="1:6" ht="18" customHeight="1">
      <c r="A179" s="272">
        <v>174</v>
      </c>
      <c r="B179" s="443">
        <f t="shared" si="12"/>
        <v>2305.8100000000054</v>
      </c>
      <c r="C179" s="443">
        <f t="shared" si="13"/>
        <v>2216.860000000001</v>
      </c>
      <c r="D179" s="443">
        <f t="shared" si="14"/>
        <v>3694.6000000000122</v>
      </c>
      <c r="E179" s="273">
        <f t="shared" si="15"/>
        <v>3259.5899999999942</v>
      </c>
      <c r="F179" s="274"/>
    </row>
    <row r="180" spans="1:6" ht="18" customHeight="1">
      <c r="A180" s="272">
        <v>175</v>
      </c>
      <c r="B180" s="443">
        <f t="shared" si="12"/>
        <v>2318.4800000000055</v>
      </c>
      <c r="C180" s="443">
        <f t="shared" si="13"/>
        <v>2229.0400000000009</v>
      </c>
      <c r="D180" s="443">
        <f t="shared" si="14"/>
        <v>3714.9000000000124</v>
      </c>
      <c r="E180" s="273">
        <f t="shared" si="15"/>
        <v>3277.4999999999941</v>
      </c>
      <c r="F180" s="274"/>
    </row>
    <row r="181" spans="1:6" ht="18" customHeight="1">
      <c r="A181" s="272">
        <v>176</v>
      </c>
      <c r="B181" s="443">
        <f t="shared" si="12"/>
        <v>2331.1500000000055</v>
      </c>
      <c r="C181" s="443">
        <f t="shared" si="13"/>
        <v>2241.2200000000007</v>
      </c>
      <c r="D181" s="443">
        <f t="shared" si="14"/>
        <v>3735.2000000000126</v>
      </c>
      <c r="E181" s="273">
        <f t="shared" si="15"/>
        <v>3295.4099999999939</v>
      </c>
      <c r="F181" s="274"/>
    </row>
    <row r="182" spans="1:6" ht="18" customHeight="1">
      <c r="A182" s="272">
        <v>177</v>
      </c>
      <c r="B182" s="443">
        <f t="shared" si="12"/>
        <v>2343.8200000000056</v>
      </c>
      <c r="C182" s="443">
        <f t="shared" si="13"/>
        <v>2253.4000000000005</v>
      </c>
      <c r="D182" s="443">
        <f t="shared" si="14"/>
        <v>3755.5000000000127</v>
      </c>
      <c r="E182" s="273">
        <f t="shared" si="15"/>
        <v>3313.3199999999938</v>
      </c>
      <c r="F182" s="274"/>
    </row>
    <row r="183" spans="1:6" ht="18" customHeight="1">
      <c r="A183" s="272">
        <v>178</v>
      </c>
      <c r="B183" s="443">
        <f t="shared" si="12"/>
        <v>2356.4900000000057</v>
      </c>
      <c r="C183" s="443">
        <f t="shared" si="13"/>
        <v>2265.5800000000004</v>
      </c>
      <c r="D183" s="443">
        <f t="shared" si="14"/>
        <v>3775.8000000000129</v>
      </c>
      <c r="E183" s="273">
        <f t="shared" si="15"/>
        <v>3331.2299999999937</v>
      </c>
      <c r="F183" s="274"/>
    </row>
    <row r="184" spans="1:6" ht="18" customHeight="1">
      <c r="A184" s="272">
        <v>179</v>
      </c>
      <c r="B184" s="443">
        <f t="shared" si="12"/>
        <v>2369.1600000000058</v>
      </c>
      <c r="C184" s="443">
        <f t="shared" si="13"/>
        <v>2277.7600000000002</v>
      </c>
      <c r="D184" s="443">
        <f t="shared" si="14"/>
        <v>3796.1000000000131</v>
      </c>
      <c r="E184" s="273">
        <f t="shared" si="15"/>
        <v>3349.1399999999935</v>
      </c>
      <c r="F184" s="274"/>
    </row>
    <row r="185" spans="1:6" ht="18" customHeight="1">
      <c r="A185" s="272">
        <v>180</v>
      </c>
      <c r="B185" s="443">
        <f t="shared" si="12"/>
        <v>2381.8300000000058</v>
      </c>
      <c r="C185" s="443">
        <f t="shared" si="13"/>
        <v>2289.94</v>
      </c>
      <c r="D185" s="443">
        <f t="shared" si="14"/>
        <v>3816.4000000000133</v>
      </c>
      <c r="E185" s="273">
        <f t="shared" si="15"/>
        <v>3367.0499999999934</v>
      </c>
      <c r="F185" s="274"/>
    </row>
    <row r="186" spans="1:6" ht="18" customHeight="1">
      <c r="A186" s="272">
        <v>181</v>
      </c>
      <c r="B186" s="443">
        <f t="shared" si="12"/>
        <v>2394.5000000000059</v>
      </c>
      <c r="C186" s="443">
        <f t="shared" si="13"/>
        <v>2302.12</v>
      </c>
      <c r="D186" s="443">
        <f t="shared" si="14"/>
        <v>3836.7000000000135</v>
      </c>
      <c r="E186" s="273">
        <f t="shared" si="15"/>
        <v>3384.9599999999932</v>
      </c>
      <c r="F186" s="274"/>
    </row>
    <row r="187" spans="1:6" ht="18" customHeight="1">
      <c r="A187" s="272">
        <v>182</v>
      </c>
      <c r="B187" s="443">
        <f t="shared" si="12"/>
        <v>2407.170000000006</v>
      </c>
      <c r="C187" s="443">
        <f t="shared" si="13"/>
        <v>2314.2999999999997</v>
      </c>
      <c r="D187" s="443">
        <f t="shared" si="14"/>
        <v>3857.0000000000136</v>
      </c>
      <c r="E187" s="273">
        <f t="shared" si="15"/>
        <v>3402.8699999999931</v>
      </c>
      <c r="F187" s="274"/>
    </row>
    <row r="188" spans="1:6" ht="18" customHeight="1">
      <c r="A188" s="272">
        <v>183</v>
      </c>
      <c r="B188" s="443">
        <f t="shared" si="12"/>
        <v>2419.8400000000061</v>
      </c>
      <c r="C188" s="443">
        <f t="shared" si="13"/>
        <v>2326.4799999999996</v>
      </c>
      <c r="D188" s="443">
        <f t="shared" si="14"/>
        <v>3877.3000000000138</v>
      </c>
      <c r="E188" s="273">
        <f t="shared" si="15"/>
        <v>3420.7799999999929</v>
      </c>
      <c r="F188" s="274"/>
    </row>
    <row r="189" spans="1:6" ht="18" customHeight="1">
      <c r="A189" s="272">
        <v>184</v>
      </c>
      <c r="B189" s="443">
        <f t="shared" si="12"/>
        <v>2432.5100000000061</v>
      </c>
      <c r="C189" s="443">
        <f t="shared" si="13"/>
        <v>2338.6599999999994</v>
      </c>
      <c r="D189" s="443">
        <f t="shared" si="14"/>
        <v>3897.600000000014</v>
      </c>
      <c r="E189" s="273">
        <f t="shared" si="15"/>
        <v>3438.6899999999928</v>
      </c>
      <c r="F189" s="274"/>
    </row>
    <row r="190" spans="1:6" ht="18" customHeight="1">
      <c r="A190" s="272">
        <v>185</v>
      </c>
      <c r="B190" s="443">
        <f t="shared" si="12"/>
        <v>2445.1800000000062</v>
      </c>
      <c r="C190" s="443">
        <f t="shared" si="13"/>
        <v>2350.8399999999992</v>
      </c>
      <c r="D190" s="443">
        <f t="shared" si="14"/>
        <v>3917.9000000000142</v>
      </c>
      <c r="E190" s="273">
        <f t="shared" si="15"/>
        <v>3456.5999999999926</v>
      </c>
      <c r="F190" s="274"/>
    </row>
    <row r="191" spans="1:6" ht="18" customHeight="1">
      <c r="A191" s="272">
        <v>186</v>
      </c>
      <c r="B191" s="443">
        <f t="shared" si="12"/>
        <v>2457.8500000000063</v>
      </c>
      <c r="C191" s="443">
        <f t="shared" si="13"/>
        <v>2363.0199999999991</v>
      </c>
      <c r="D191" s="443">
        <f t="shared" si="14"/>
        <v>3938.2000000000144</v>
      </c>
      <c r="E191" s="273">
        <f t="shared" si="15"/>
        <v>3474.5099999999925</v>
      </c>
      <c r="F191" s="274"/>
    </row>
    <row r="192" spans="1:6" ht="18" customHeight="1">
      <c r="A192" s="272">
        <v>187</v>
      </c>
      <c r="B192" s="443">
        <f t="shared" si="12"/>
        <v>2470.5200000000063</v>
      </c>
      <c r="C192" s="443">
        <f t="shared" si="13"/>
        <v>2375.1999999999989</v>
      </c>
      <c r="D192" s="443">
        <f t="shared" si="14"/>
        <v>3958.5000000000146</v>
      </c>
      <c r="E192" s="273">
        <f t="shared" si="15"/>
        <v>3492.4199999999923</v>
      </c>
      <c r="F192" s="274"/>
    </row>
    <row r="193" spans="1:6" ht="18" customHeight="1">
      <c r="A193" s="272">
        <v>188</v>
      </c>
      <c r="B193" s="443">
        <f t="shared" si="12"/>
        <v>2483.1900000000064</v>
      </c>
      <c r="C193" s="443">
        <f t="shared" si="13"/>
        <v>2387.3799999999987</v>
      </c>
      <c r="D193" s="443">
        <f t="shared" si="14"/>
        <v>3978.8000000000147</v>
      </c>
      <c r="E193" s="273">
        <f t="shared" si="15"/>
        <v>3510.3299999999922</v>
      </c>
      <c r="F193" s="274"/>
    </row>
    <row r="194" spans="1:6" ht="18" customHeight="1">
      <c r="A194" s="272">
        <v>189</v>
      </c>
      <c r="B194" s="443">
        <f t="shared" si="12"/>
        <v>2495.8600000000065</v>
      </c>
      <c r="C194" s="443">
        <f t="shared" si="13"/>
        <v>2399.5599999999986</v>
      </c>
      <c r="D194" s="443">
        <f t="shared" si="14"/>
        <v>3999.1000000000149</v>
      </c>
      <c r="E194" s="273">
        <f t="shared" si="15"/>
        <v>3528.2399999999921</v>
      </c>
      <c r="F194" s="274"/>
    </row>
    <row r="195" spans="1:6" ht="18" customHeight="1">
      <c r="A195" s="272">
        <v>190</v>
      </c>
      <c r="B195" s="443">
        <f t="shared" si="12"/>
        <v>2508.5300000000066</v>
      </c>
      <c r="C195" s="443">
        <f t="shared" si="13"/>
        <v>2411.7399999999984</v>
      </c>
      <c r="D195" s="443">
        <f t="shared" si="14"/>
        <v>4019.4000000000151</v>
      </c>
      <c r="E195" s="273">
        <f t="shared" si="15"/>
        <v>3546.1499999999919</v>
      </c>
      <c r="F195" s="274"/>
    </row>
    <row r="196" spans="1:6" ht="18" customHeight="1">
      <c r="A196" s="272">
        <v>191</v>
      </c>
      <c r="B196" s="443">
        <f t="shared" si="12"/>
        <v>2521.2000000000066</v>
      </c>
      <c r="C196" s="443">
        <f t="shared" si="13"/>
        <v>2423.9199999999983</v>
      </c>
      <c r="D196" s="443">
        <f t="shared" si="14"/>
        <v>4039.7000000000153</v>
      </c>
      <c r="E196" s="273">
        <f t="shared" si="15"/>
        <v>3564.0599999999918</v>
      </c>
      <c r="F196" s="274"/>
    </row>
    <row r="197" spans="1:6" ht="18" customHeight="1">
      <c r="A197" s="272">
        <v>192</v>
      </c>
      <c r="B197" s="443">
        <f t="shared" si="12"/>
        <v>2533.8700000000067</v>
      </c>
      <c r="C197" s="443">
        <f t="shared" si="13"/>
        <v>2436.0999999999981</v>
      </c>
      <c r="D197" s="443">
        <f t="shared" si="14"/>
        <v>4060.0000000000155</v>
      </c>
      <c r="E197" s="273">
        <f t="shared" si="15"/>
        <v>3581.9699999999916</v>
      </c>
      <c r="F197" s="274"/>
    </row>
    <row r="198" spans="1:6" ht="18" customHeight="1">
      <c r="A198" s="272">
        <v>193</v>
      </c>
      <c r="B198" s="443">
        <f t="shared" si="12"/>
        <v>2546.5400000000068</v>
      </c>
      <c r="C198" s="443">
        <f t="shared" si="13"/>
        <v>2448.2799999999979</v>
      </c>
      <c r="D198" s="443">
        <f t="shared" si="14"/>
        <v>4080.3000000000156</v>
      </c>
      <c r="E198" s="273">
        <f t="shared" si="15"/>
        <v>3599.8799999999915</v>
      </c>
      <c r="F198" s="274"/>
    </row>
    <row r="199" spans="1:6" ht="18" customHeight="1">
      <c r="A199" s="272">
        <v>194</v>
      </c>
      <c r="B199" s="443">
        <f t="shared" si="12"/>
        <v>2559.2100000000069</v>
      </c>
      <c r="C199" s="443">
        <f t="shared" si="13"/>
        <v>2460.4599999999978</v>
      </c>
      <c r="D199" s="443">
        <f t="shared" si="14"/>
        <v>4100.6000000000158</v>
      </c>
      <c r="E199" s="273">
        <f t="shared" si="15"/>
        <v>3617.7899999999913</v>
      </c>
      <c r="F199" s="274"/>
    </row>
    <row r="200" spans="1:6" ht="18" customHeight="1">
      <c r="A200" s="272">
        <v>195</v>
      </c>
      <c r="B200" s="443">
        <f t="shared" si="12"/>
        <v>2571.8800000000069</v>
      </c>
      <c r="C200" s="443">
        <f t="shared" si="13"/>
        <v>2472.6399999999976</v>
      </c>
      <c r="D200" s="443">
        <f t="shared" si="14"/>
        <v>4120.900000000016</v>
      </c>
      <c r="E200" s="273">
        <f t="shared" si="15"/>
        <v>3635.6999999999912</v>
      </c>
      <c r="F200" s="274"/>
    </row>
    <row r="201" spans="1:6" ht="18" customHeight="1">
      <c r="A201" s="272">
        <v>196</v>
      </c>
      <c r="B201" s="443">
        <f t="shared" si="12"/>
        <v>2584.550000000007</v>
      </c>
      <c r="C201" s="443">
        <f t="shared" si="13"/>
        <v>2484.8199999999974</v>
      </c>
      <c r="D201" s="443">
        <f t="shared" si="14"/>
        <v>4141.2000000000162</v>
      </c>
      <c r="E201" s="273">
        <f t="shared" si="15"/>
        <v>3653.609999999991</v>
      </c>
      <c r="F201" s="274"/>
    </row>
    <row r="202" spans="1:6" ht="18" customHeight="1">
      <c r="A202" s="272">
        <v>197</v>
      </c>
      <c r="B202" s="443">
        <f t="shared" si="12"/>
        <v>2597.2200000000071</v>
      </c>
      <c r="C202" s="443">
        <f t="shared" si="13"/>
        <v>2496.9999999999973</v>
      </c>
      <c r="D202" s="443">
        <f t="shared" si="14"/>
        <v>4161.5000000000164</v>
      </c>
      <c r="E202" s="273">
        <f t="shared" si="15"/>
        <v>3671.5199999999909</v>
      </c>
      <c r="F202" s="274"/>
    </row>
    <row r="203" spans="1:6" ht="18" customHeight="1">
      <c r="A203" s="272">
        <v>198</v>
      </c>
      <c r="B203" s="443">
        <f t="shared" si="12"/>
        <v>2609.8900000000071</v>
      </c>
      <c r="C203" s="443">
        <f t="shared" si="13"/>
        <v>2509.1799999999971</v>
      </c>
      <c r="D203" s="443">
        <f t="shared" si="14"/>
        <v>4181.8000000000166</v>
      </c>
      <c r="E203" s="273">
        <f t="shared" si="15"/>
        <v>3689.4299999999907</v>
      </c>
      <c r="F203" s="274"/>
    </row>
    <row r="204" spans="1:6" ht="18" customHeight="1">
      <c r="A204" s="272">
        <v>199</v>
      </c>
      <c r="B204" s="443">
        <f t="shared" si="12"/>
        <v>2622.5600000000072</v>
      </c>
      <c r="C204" s="443">
        <f t="shared" si="13"/>
        <v>2521.3599999999969</v>
      </c>
      <c r="D204" s="443">
        <f t="shared" si="14"/>
        <v>4202.1000000000167</v>
      </c>
      <c r="E204" s="273">
        <f t="shared" si="15"/>
        <v>3707.3399999999906</v>
      </c>
      <c r="F204" s="274"/>
    </row>
    <row r="205" spans="1:6" ht="18" customHeight="1">
      <c r="A205" s="272">
        <v>200</v>
      </c>
      <c r="B205" s="443">
        <f t="shared" si="12"/>
        <v>2635.2300000000073</v>
      </c>
      <c r="C205" s="443">
        <f t="shared" si="13"/>
        <v>2533.5399999999968</v>
      </c>
      <c r="D205" s="443">
        <f t="shared" si="14"/>
        <v>4222.4000000000169</v>
      </c>
      <c r="E205" s="273">
        <f t="shared" si="15"/>
        <v>3725.2499999999905</v>
      </c>
      <c r="F205" s="274"/>
    </row>
    <row r="206" spans="1:6">
      <c r="A206" s="272">
        <v>201</v>
      </c>
      <c r="B206" s="443">
        <f t="shared" si="12"/>
        <v>2647.9000000000074</v>
      </c>
      <c r="C206" s="443">
        <f t="shared" si="13"/>
        <v>2545.7199999999966</v>
      </c>
      <c r="D206" s="443">
        <f t="shared" si="14"/>
        <v>4242.7000000000171</v>
      </c>
      <c r="E206" s="273">
        <f t="shared" si="15"/>
        <v>3743.1599999999903</v>
      </c>
      <c r="F206" s="274"/>
    </row>
    <row r="207" spans="1:6">
      <c r="A207" s="272">
        <v>202</v>
      </c>
      <c r="B207" s="443">
        <f t="shared" si="12"/>
        <v>2660.5700000000074</v>
      </c>
      <c r="C207" s="443">
        <f t="shared" si="13"/>
        <v>2557.8999999999965</v>
      </c>
      <c r="D207" s="443">
        <f t="shared" si="14"/>
        <v>4263.0000000000173</v>
      </c>
      <c r="E207" s="273">
        <f t="shared" si="15"/>
        <v>3761.0699999999902</v>
      </c>
      <c r="F207" s="274"/>
    </row>
    <row r="208" spans="1:6">
      <c r="A208" s="272">
        <v>203</v>
      </c>
      <c r="B208" s="443">
        <f t="shared" si="12"/>
        <v>2673.2400000000075</v>
      </c>
      <c r="C208" s="443">
        <f t="shared" si="13"/>
        <v>2570.0799999999963</v>
      </c>
      <c r="D208" s="443">
        <f t="shared" si="14"/>
        <v>4283.3000000000175</v>
      </c>
      <c r="E208" s="273">
        <f t="shared" si="15"/>
        <v>3778.97999999999</v>
      </c>
      <c r="F208" s="274"/>
    </row>
    <row r="209" spans="1:6">
      <c r="A209" s="272">
        <v>204</v>
      </c>
      <c r="B209" s="443">
        <f t="shared" si="12"/>
        <v>2685.9100000000076</v>
      </c>
      <c r="C209" s="443">
        <f t="shared" si="13"/>
        <v>2582.2599999999961</v>
      </c>
      <c r="D209" s="443">
        <f t="shared" si="14"/>
        <v>4303.6000000000176</v>
      </c>
      <c r="E209" s="273">
        <f t="shared" si="15"/>
        <v>3796.8899999999899</v>
      </c>
      <c r="F209" s="274"/>
    </row>
    <row r="210" spans="1:6">
      <c r="A210" s="272">
        <v>205</v>
      </c>
      <c r="B210" s="443">
        <f t="shared" si="12"/>
        <v>2698.5800000000077</v>
      </c>
      <c r="C210" s="443">
        <f t="shared" si="13"/>
        <v>2594.439999999996</v>
      </c>
      <c r="D210" s="443">
        <f t="shared" si="14"/>
        <v>4323.9000000000178</v>
      </c>
      <c r="E210" s="273">
        <f t="shared" si="15"/>
        <v>3814.7999999999897</v>
      </c>
      <c r="F210" s="274"/>
    </row>
    <row r="211" spans="1:6">
      <c r="A211" s="272">
        <v>206</v>
      </c>
      <c r="B211" s="443">
        <f t="shared" si="12"/>
        <v>2711.2500000000077</v>
      </c>
      <c r="C211" s="443">
        <f t="shared" si="13"/>
        <v>2606.6199999999958</v>
      </c>
      <c r="D211" s="443">
        <f t="shared" si="14"/>
        <v>4344.200000000018</v>
      </c>
      <c r="E211" s="273">
        <f t="shared" si="15"/>
        <v>3832.7099999999896</v>
      </c>
      <c r="F211" s="274"/>
    </row>
    <row r="212" spans="1:6">
      <c r="A212" s="272">
        <v>207</v>
      </c>
      <c r="B212" s="443">
        <f t="shared" si="12"/>
        <v>2723.9200000000078</v>
      </c>
      <c r="C212" s="443">
        <f t="shared" si="13"/>
        <v>2618.7999999999956</v>
      </c>
      <c r="D212" s="443">
        <f t="shared" si="14"/>
        <v>4364.5000000000182</v>
      </c>
      <c r="E212" s="273">
        <f t="shared" si="15"/>
        <v>3850.6199999999894</v>
      </c>
      <c r="F212" s="274"/>
    </row>
    <row r="213" spans="1:6">
      <c r="A213" s="272">
        <v>208</v>
      </c>
      <c r="B213" s="443">
        <f t="shared" si="12"/>
        <v>2736.5900000000079</v>
      </c>
      <c r="C213" s="443">
        <f t="shared" si="13"/>
        <v>2630.9799999999955</v>
      </c>
      <c r="D213" s="443">
        <f t="shared" si="14"/>
        <v>4384.8000000000184</v>
      </c>
      <c r="E213" s="273">
        <f t="shared" si="15"/>
        <v>3868.5299999999893</v>
      </c>
      <c r="F213" s="274"/>
    </row>
    <row r="214" spans="1:6">
      <c r="A214" s="272">
        <v>209</v>
      </c>
      <c r="B214" s="443">
        <f t="shared" si="12"/>
        <v>2749.2600000000079</v>
      </c>
      <c r="C214" s="443">
        <f t="shared" si="13"/>
        <v>2643.1599999999953</v>
      </c>
      <c r="D214" s="443">
        <f t="shared" si="14"/>
        <v>4405.1000000000186</v>
      </c>
      <c r="E214" s="273">
        <f t="shared" si="15"/>
        <v>3886.4399999999891</v>
      </c>
      <c r="F214" s="274"/>
    </row>
    <row r="215" spans="1:6">
      <c r="A215" s="272">
        <v>210</v>
      </c>
      <c r="B215" s="443">
        <f t="shared" si="12"/>
        <v>2761.930000000008</v>
      </c>
      <c r="C215" s="443">
        <f t="shared" si="13"/>
        <v>2655.3399999999951</v>
      </c>
      <c r="D215" s="443">
        <f t="shared" si="14"/>
        <v>4425.4000000000187</v>
      </c>
      <c r="E215" s="273">
        <f t="shared" si="15"/>
        <v>3904.349999999989</v>
      </c>
      <c r="F215" s="274"/>
    </row>
    <row r="216" spans="1:6">
      <c r="A216" s="272">
        <v>211</v>
      </c>
      <c r="B216" s="443">
        <f t="shared" si="12"/>
        <v>2774.6000000000081</v>
      </c>
      <c r="C216" s="443">
        <f t="shared" si="13"/>
        <v>2667.519999999995</v>
      </c>
      <c r="D216" s="443">
        <f t="shared" si="14"/>
        <v>4445.7000000000189</v>
      </c>
      <c r="E216" s="273">
        <f t="shared" si="15"/>
        <v>3922.2599999999888</v>
      </c>
      <c r="F216" s="274"/>
    </row>
    <row r="217" spans="1:6">
      <c r="A217" s="272">
        <v>212</v>
      </c>
      <c r="B217" s="443">
        <f t="shared" si="12"/>
        <v>2787.2700000000082</v>
      </c>
      <c r="C217" s="443">
        <f t="shared" si="13"/>
        <v>2679.6999999999948</v>
      </c>
      <c r="D217" s="443">
        <f t="shared" si="14"/>
        <v>4466.0000000000191</v>
      </c>
      <c r="E217" s="273">
        <f t="shared" si="15"/>
        <v>3940.1699999999887</v>
      </c>
      <c r="F217" s="274"/>
    </row>
    <row r="218" spans="1:6">
      <c r="A218" s="272">
        <v>213</v>
      </c>
      <c r="B218" s="443">
        <f t="shared" si="12"/>
        <v>2799.9400000000082</v>
      </c>
      <c r="C218" s="443">
        <f t="shared" si="13"/>
        <v>2691.8799999999947</v>
      </c>
      <c r="D218" s="443">
        <f t="shared" si="14"/>
        <v>4486.3000000000193</v>
      </c>
      <c r="E218" s="273">
        <f t="shared" si="15"/>
        <v>3958.0799999999886</v>
      </c>
      <c r="F218" s="274"/>
    </row>
    <row r="219" spans="1:6">
      <c r="A219" s="272">
        <v>214</v>
      </c>
      <c r="B219" s="443">
        <f t="shared" si="12"/>
        <v>2812.6100000000083</v>
      </c>
      <c r="C219" s="443">
        <f t="shared" si="13"/>
        <v>2704.0599999999945</v>
      </c>
      <c r="D219" s="443">
        <f t="shared" si="14"/>
        <v>4506.6000000000195</v>
      </c>
      <c r="E219" s="273">
        <f t="shared" si="15"/>
        <v>3975.9899999999884</v>
      </c>
      <c r="F219" s="274"/>
    </row>
    <row r="220" spans="1:6">
      <c r="A220" s="272">
        <v>215</v>
      </c>
      <c r="B220" s="443">
        <f t="shared" si="12"/>
        <v>2825.2800000000084</v>
      </c>
      <c r="C220" s="443">
        <f t="shared" si="13"/>
        <v>2716.2399999999943</v>
      </c>
      <c r="D220" s="443">
        <f t="shared" si="14"/>
        <v>4526.9000000000196</v>
      </c>
      <c r="E220" s="273">
        <f t="shared" si="15"/>
        <v>3993.8999999999883</v>
      </c>
      <c r="F220" s="274"/>
    </row>
    <row r="221" spans="1:6">
      <c r="A221" s="272">
        <v>216</v>
      </c>
      <c r="B221" s="443">
        <f t="shared" si="12"/>
        <v>2837.9500000000085</v>
      </c>
      <c r="C221" s="443">
        <f t="shared" si="13"/>
        <v>2728.4199999999942</v>
      </c>
      <c r="D221" s="443">
        <f t="shared" si="14"/>
        <v>4547.2000000000198</v>
      </c>
      <c r="E221" s="273">
        <f t="shared" si="15"/>
        <v>4011.8099999999881</v>
      </c>
      <c r="F221" s="274"/>
    </row>
    <row r="222" spans="1:6">
      <c r="A222" s="272">
        <v>217</v>
      </c>
      <c r="B222" s="443">
        <f t="shared" si="12"/>
        <v>2850.6200000000085</v>
      </c>
      <c r="C222" s="443">
        <f t="shared" si="13"/>
        <v>2740.599999999994</v>
      </c>
      <c r="D222" s="443">
        <f t="shared" si="14"/>
        <v>4567.50000000002</v>
      </c>
      <c r="E222" s="273">
        <f t="shared" si="15"/>
        <v>4029.719999999988</v>
      </c>
      <c r="F222" s="274"/>
    </row>
    <row r="223" spans="1:6">
      <c r="A223" s="272">
        <v>218</v>
      </c>
      <c r="B223" s="443">
        <f t="shared" si="12"/>
        <v>2863.2900000000086</v>
      </c>
      <c r="C223" s="443">
        <f t="shared" si="13"/>
        <v>2752.7799999999938</v>
      </c>
      <c r="D223" s="443">
        <f t="shared" si="14"/>
        <v>4587.8000000000202</v>
      </c>
      <c r="E223" s="273">
        <f t="shared" si="15"/>
        <v>4047.6299999999878</v>
      </c>
      <c r="F223" s="274"/>
    </row>
    <row r="224" spans="1:6">
      <c r="A224" s="272">
        <v>219</v>
      </c>
      <c r="B224" s="443">
        <f t="shared" si="12"/>
        <v>2875.9600000000087</v>
      </c>
      <c r="C224" s="443">
        <f t="shared" si="13"/>
        <v>2764.9599999999937</v>
      </c>
      <c r="D224" s="443">
        <f t="shared" si="14"/>
        <v>4608.1000000000204</v>
      </c>
      <c r="E224" s="273">
        <f t="shared" si="15"/>
        <v>4065.5399999999877</v>
      </c>
      <c r="F224" s="274"/>
    </row>
    <row r="225" spans="1:6">
      <c r="A225" s="272">
        <v>220</v>
      </c>
      <c r="B225" s="443">
        <f t="shared" si="12"/>
        <v>2888.6300000000087</v>
      </c>
      <c r="C225" s="443">
        <f t="shared" si="13"/>
        <v>2777.1399999999935</v>
      </c>
      <c r="D225" s="443">
        <f t="shared" si="14"/>
        <v>4628.4000000000206</v>
      </c>
      <c r="E225" s="273">
        <f t="shared" si="15"/>
        <v>4083.4499999999875</v>
      </c>
      <c r="F225" s="274"/>
    </row>
    <row r="226" spans="1:6">
      <c r="A226" s="272">
        <v>221</v>
      </c>
      <c r="B226" s="443">
        <f t="shared" si="12"/>
        <v>2901.3000000000088</v>
      </c>
      <c r="C226" s="443">
        <f t="shared" si="13"/>
        <v>2789.3199999999933</v>
      </c>
      <c r="D226" s="443">
        <f t="shared" si="14"/>
        <v>4648.7000000000207</v>
      </c>
      <c r="E226" s="273">
        <f t="shared" si="15"/>
        <v>4101.3599999999878</v>
      </c>
      <c r="F226" s="274"/>
    </row>
    <row r="227" spans="1:6">
      <c r="A227" s="272">
        <v>222</v>
      </c>
      <c r="B227" s="443">
        <f t="shared" si="12"/>
        <v>2913.9700000000089</v>
      </c>
      <c r="C227" s="443">
        <f t="shared" si="13"/>
        <v>2801.4999999999932</v>
      </c>
      <c r="D227" s="443">
        <f t="shared" si="14"/>
        <v>4669.0000000000209</v>
      </c>
      <c r="E227" s="273">
        <f t="shared" si="15"/>
        <v>4119.2699999999877</v>
      </c>
      <c r="F227" s="274"/>
    </row>
    <row r="228" spans="1:6">
      <c r="A228" s="272">
        <v>223</v>
      </c>
      <c r="B228" s="443">
        <f t="shared" si="12"/>
        <v>2926.640000000009</v>
      </c>
      <c r="C228" s="443">
        <f t="shared" si="13"/>
        <v>2813.679999999993</v>
      </c>
      <c r="D228" s="443">
        <f t="shared" si="14"/>
        <v>4689.3000000000211</v>
      </c>
      <c r="E228" s="273">
        <f t="shared" si="15"/>
        <v>4137.1799999999876</v>
      </c>
      <c r="F228" s="274"/>
    </row>
    <row r="229" spans="1:6">
      <c r="A229" s="272">
        <v>224</v>
      </c>
      <c r="B229" s="443">
        <f t="shared" ref="B229:B292" si="16">B228+12.67</f>
        <v>2939.310000000009</v>
      </c>
      <c r="C229" s="443">
        <f t="shared" ref="C229:C292" si="17">C228+12.18</f>
        <v>2825.8599999999929</v>
      </c>
      <c r="D229" s="443">
        <f t="shared" ref="D229:D292" si="18">D228+20.3</f>
        <v>4709.6000000000213</v>
      </c>
      <c r="E229" s="273">
        <f t="shared" ref="E229:E292" si="19">E228+17.91</f>
        <v>4155.0899999999874</v>
      </c>
      <c r="F229" s="274"/>
    </row>
    <row r="230" spans="1:6">
      <c r="A230" s="272">
        <v>225</v>
      </c>
      <c r="B230" s="443">
        <f t="shared" si="16"/>
        <v>2951.9800000000091</v>
      </c>
      <c r="C230" s="443">
        <f t="shared" si="17"/>
        <v>2838.0399999999927</v>
      </c>
      <c r="D230" s="443">
        <f t="shared" si="18"/>
        <v>4729.9000000000215</v>
      </c>
      <c r="E230" s="273">
        <f t="shared" si="19"/>
        <v>4172.9999999999873</v>
      </c>
      <c r="F230" s="274"/>
    </row>
    <row r="231" spans="1:6">
      <c r="A231" s="272">
        <v>226</v>
      </c>
      <c r="B231" s="443">
        <f t="shared" si="16"/>
        <v>2964.6500000000092</v>
      </c>
      <c r="C231" s="443">
        <f t="shared" si="17"/>
        <v>2850.2199999999925</v>
      </c>
      <c r="D231" s="443">
        <f t="shared" si="18"/>
        <v>4750.2000000000216</v>
      </c>
      <c r="E231" s="273">
        <f t="shared" si="19"/>
        <v>4190.9099999999871</v>
      </c>
      <c r="F231" s="274"/>
    </row>
    <row r="232" spans="1:6">
      <c r="A232" s="272">
        <v>227</v>
      </c>
      <c r="B232" s="443">
        <f t="shared" si="16"/>
        <v>2977.3200000000093</v>
      </c>
      <c r="C232" s="443">
        <f t="shared" si="17"/>
        <v>2862.3999999999924</v>
      </c>
      <c r="D232" s="443">
        <f t="shared" si="18"/>
        <v>4770.5000000000218</v>
      </c>
      <c r="E232" s="273">
        <f t="shared" si="19"/>
        <v>4208.819999999987</v>
      </c>
      <c r="F232" s="274"/>
    </row>
    <row r="233" spans="1:6">
      <c r="A233" s="272">
        <v>228</v>
      </c>
      <c r="B233" s="443">
        <f t="shared" si="16"/>
        <v>2989.9900000000093</v>
      </c>
      <c r="C233" s="443">
        <f t="shared" si="17"/>
        <v>2874.5799999999922</v>
      </c>
      <c r="D233" s="443">
        <f t="shared" si="18"/>
        <v>4790.800000000022</v>
      </c>
      <c r="E233" s="273">
        <f t="shared" si="19"/>
        <v>4226.7299999999868</v>
      </c>
      <c r="F233" s="274"/>
    </row>
    <row r="234" spans="1:6">
      <c r="A234" s="272">
        <v>229</v>
      </c>
      <c r="B234" s="443">
        <f t="shared" si="16"/>
        <v>3002.6600000000094</v>
      </c>
      <c r="C234" s="443">
        <f t="shared" si="17"/>
        <v>2886.759999999992</v>
      </c>
      <c r="D234" s="443">
        <f t="shared" si="18"/>
        <v>4811.1000000000222</v>
      </c>
      <c r="E234" s="273">
        <f t="shared" si="19"/>
        <v>4244.6399999999867</v>
      </c>
      <c r="F234" s="274"/>
    </row>
    <row r="235" spans="1:6">
      <c r="A235" s="272">
        <v>230</v>
      </c>
      <c r="B235" s="443">
        <f t="shared" si="16"/>
        <v>3015.3300000000095</v>
      </c>
      <c r="C235" s="443">
        <f t="shared" si="17"/>
        <v>2898.9399999999919</v>
      </c>
      <c r="D235" s="443">
        <f t="shared" si="18"/>
        <v>4831.4000000000224</v>
      </c>
      <c r="E235" s="273">
        <f t="shared" si="19"/>
        <v>4262.5499999999865</v>
      </c>
      <c r="F235" s="274"/>
    </row>
    <row r="236" spans="1:6">
      <c r="A236" s="272">
        <v>231</v>
      </c>
      <c r="B236" s="443">
        <f t="shared" si="16"/>
        <v>3028.0000000000095</v>
      </c>
      <c r="C236" s="443">
        <f t="shared" si="17"/>
        <v>2911.1199999999917</v>
      </c>
      <c r="D236" s="443">
        <f t="shared" si="18"/>
        <v>4851.7000000000226</v>
      </c>
      <c r="E236" s="273">
        <f t="shared" si="19"/>
        <v>4280.4599999999864</v>
      </c>
      <c r="F236" s="274"/>
    </row>
    <row r="237" spans="1:6">
      <c r="A237" s="272">
        <v>232</v>
      </c>
      <c r="B237" s="443">
        <f t="shared" si="16"/>
        <v>3040.6700000000096</v>
      </c>
      <c r="C237" s="443">
        <f t="shared" si="17"/>
        <v>2923.2999999999915</v>
      </c>
      <c r="D237" s="443">
        <f t="shared" si="18"/>
        <v>4872.0000000000227</v>
      </c>
      <c r="E237" s="273">
        <f t="shared" si="19"/>
        <v>4298.3699999999862</v>
      </c>
      <c r="F237" s="274"/>
    </row>
    <row r="238" spans="1:6">
      <c r="A238" s="272">
        <v>233</v>
      </c>
      <c r="B238" s="443">
        <f t="shared" si="16"/>
        <v>3053.3400000000097</v>
      </c>
      <c r="C238" s="443">
        <f t="shared" si="17"/>
        <v>2935.4799999999914</v>
      </c>
      <c r="D238" s="443">
        <f t="shared" si="18"/>
        <v>4892.3000000000229</v>
      </c>
      <c r="E238" s="273">
        <f t="shared" si="19"/>
        <v>4316.2799999999861</v>
      </c>
      <c r="F238" s="274"/>
    </row>
    <row r="239" spans="1:6">
      <c r="A239" s="272">
        <v>234</v>
      </c>
      <c r="B239" s="443">
        <f t="shared" si="16"/>
        <v>3066.0100000000098</v>
      </c>
      <c r="C239" s="443">
        <f t="shared" si="17"/>
        <v>2947.6599999999912</v>
      </c>
      <c r="D239" s="443">
        <f t="shared" si="18"/>
        <v>4912.6000000000231</v>
      </c>
      <c r="E239" s="273">
        <f t="shared" si="19"/>
        <v>4334.189999999986</v>
      </c>
      <c r="F239" s="274"/>
    </row>
    <row r="240" spans="1:6">
      <c r="A240" s="272">
        <v>235</v>
      </c>
      <c r="B240" s="443">
        <f t="shared" si="16"/>
        <v>3078.6800000000098</v>
      </c>
      <c r="C240" s="443">
        <f t="shared" si="17"/>
        <v>2959.8399999999911</v>
      </c>
      <c r="D240" s="443">
        <f t="shared" si="18"/>
        <v>4932.9000000000233</v>
      </c>
      <c r="E240" s="273">
        <f t="shared" si="19"/>
        <v>4352.0999999999858</v>
      </c>
      <c r="F240" s="274"/>
    </row>
    <row r="241" spans="1:6">
      <c r="A241" s="272">
        <v>236</v>
      </c>
      <c r="B241" s="443">
        <f t="shared" si="16"/>
        <v>3091.3500000000099</v>
      </c>
      <c r="C241" s="443">
        <f t="shared" si="17"/>
        <v>2972.0199999999909</v>
      </c>
      <c r="D241" s="443">
        <f t="shared" si="18"/>
        <v>4953.2000000000235</v>
      </c>
      <c r="E241" s="273">
        <f t="shared" si="19"/>
        <v>4370.0099999999857</v>
      </c>
      <c r="F241" s="274"/>
    </row>
    <row r="242" spans="1:6">
      <c r="A242" s="272">
        <v>237</v>
      </c>
      <c r="B242" s="443">
        <f t="shared" si="16"/>
        <v>3104.02000000001</v>
      </c>
      <c r="C242" s="443">
        <f t="shared" si="17"/>
        <v>2984.1999999999907</v>
      </c>
      <c r="D242" s="443">
        <f t="shared" si="18"/>
        <v>4973.5000000000236</v>
      </c>
      <c r="E242" s="273">
        <f t="shared" si="19"/>
        <v>4387.9199999999855</v>
      </c>
      <c r="F242" s="274"/>
    </row>
    <row r="243" spans="1:6">
      <c r="A243" s="272">
        <v>238</v>
      </c>
      <c r="B243" s="443">
        <f t="shared" si="16"/>
        <v>3116.6900000000101</v>
      </c>
      <c r="C243" s="443">
        <f t="shared" si="17"/>
        <v>2996.3799999999906</v>
      </c>
      <c r="D243" s="443">
        <f t="shared" si="18"/>
        <v>4993.8000000000238</v>
      </c>
      <c r="E243" s="273">
        <f t="shared" si="19"/>
        <v>4405.8299999999854</v>
      </c>
      <c r="F243" s="274"/>
    </row>
    <row r="244" spans="1:6">
      <c r="A244" s="272">
        <v>239</v>
      </c>
      <c r="B244" s="443">
        <f t="shared" si="16"/>
        <v>3129.3600000000101</v>
      </c>
      <c r="C244" s="443">
        <f t="shared" si="17"/>
        <v>3008.5599999999904</v>
      </c>
      <c r="D244" s="443">
        <f t="shared" si="18"/>
        <v>5014.100000000024</v>
      </c>
      <c r="E244" s="273">
        <f t="shared" si="19"/>
        <v>4423.7399999999852</v>
      </c>
      <c r="F244" s="274"/>
    </row>
    <row r="245" spans="1:6">
      <c r="A245" s="272">
        <v>240</v>
      </c>
      <c r="B245" s="443">
        <f t="shared" si="16"/>
        <v>3142.0300000000102</v>
      </c>
      <c r="C245" s="443">
        <f t="shared" si="17"/>
        <v>3020.7399999999902</v>
      </c>
      <c r="D245" s="443">
        <f t="shared" si="18"/>
        <v>5034.4000000000242</v>
      </c>
      <c r="E245" s="273">
        <f t="shared" si="19"/>
        <v>4441.6499999999851</v>
      </c>
      <c r="F245" s="274"/>
    </row>
    <row r="246" spans="1:6">
      <c r="A246" s="272">
        <v>241</v>
      </c>
      <c r="B246" s="443">
        <f t="shared" si="16"/>
        <v>3154.7000000000103</v>
      </c>
      <c r="C246" s="443">
        <f t="shared" si="17"/>
        <v>3032.9199999999901</v>
      </c>
      <c r="D246" s="443">
        <f t="shared" si="18"/>
        <v>5054.7000000000244</v>
      </c>
      <c r="E246" s="273">
        <f t="shared" si="19"/>
        <v>4459.5599999999849</v>
      </c>
      <c r="F246" s="274"/>
    </row>
    <row r="247" spans="1:6">
      <c r="A247" s="272">
        <v>242</v>
      </c>
      <c r="B247" s="443">
        <f t="shared" si="16"/>
        <v>3167.3700000000104</v>
      </c>
      <c r="C247" s="443">
        <f t="shared" si="17"/>
        <v>3045.0999999999899</v>
      </c>
      <c r="D247" s="443">
        <f t="shared" si="18"/>
        <v>5075.0000000000246</v>
      </c>
      <c r="E247" s="273">
        <f t="shared" si="19"/>
        <v>4477.4699999999848</v>
      </c>
      <c r="F247" s="274"/>
    </row>
    <row r="248" spans="1:6">
      <c r="A248" s="272">
        <v>243</v>
      </c>
      <c r="B248" s="443">
        <f t="shared" si="16"/>
        <v>3180.0400000000104</v>
      </c>
      <c r="C248" s="443">
        <f t="shared" si="17"/>
        <v>3057.2799999999897</v>
      </c>
      <c r="D248" s="443">
        <f t="shared" si="18"/>
        <v>5095.3000000000247</v>
      </c>
      <c r="E248" s="273">
        <f t="shared" si="19"/>
        <v>4495.3799999999846</v>
      </c>
      <c r="F248" s="274"/>
    </row>
    <row r="249" spans="1:6">
      <c r="A249" s="272">
        <v>244</v>
      </c>
      <c r="B249" s="443">
        <f t="shared" si="16"/>
        <v>3192.7100000000105</v>
      </c>
      <c r="C249" s="443">
        <f t="shared" si="17"/>
        <v>3069.4599999999896</v>
      </c>
      <c r="D249" s="443">
        <f t="shared" si="18"/>
        <v>5115.6000000000249</v>
      </c>
      <c r="E249" s="273">
        <f t="shared" si="19"/>
        <v>4513.2899999999845</v>
      </c>
      <c r="F249" s="274"/>
    </row>
    <row r="250" spans="1:6">
      <c r="A250" s="272">
        <v>245</v>
      </c>
      <c r="B250" s="443">
        <f t="shared" si="16"/>
        <v>3205.3800000000106</v>
      </c>
      <c r="C250" s="443">
        <f t="shared" si="17"/>
        <v>3081.6399999999894</v>
      </c>
      <c r="D250" s="443">
        <f t="shared" si="18"/>
        <v>5135.9000000000251</v>
      </c>
      <c r="E250" s="273">
        <f t="shared" si="19"/>
        <v>4531.1999999999844</v>
      </c>
      <c r="F250" s="274"/>
    </row>
    <row r="251" spans="1:6">
      <c r="A251" s="272">
        <v>246</v>
      </c>
      <c r="B251" s="443">
        <f t="shared" si="16"/>
        <v>3218.0500000000106</v>
      </c>
      <c r="C251" s="443">
        <f t="shared" si="17"/>
        <v>3093.8199999999892</v>
      </c>
      <c r="D251" s="443">
        <f t="shared" si="18"/>
        <v>5156.2000000000253</v>
      </c>
      <c r="E251" s="273">
        <f t="shared" si="19"/>
        <v>4549.1099999999842</v>
      </c>
      <c r="F251" s="274"/>
    </row>
    <row r="252" spans="1:6">
      <c r="A252" s="272">
        <v>247</v>
      </c>
      <c r="B252" s="443">
        <f t="shared" si="16"/>
        <v>3230.7200000000107</v>
      </c>
      <c r="C252" s="443">
        <f t="shared" si="17"/>
        <v>3105.9999999999891</v>
      </c>
      <c r="D252" s="443">
        <f t="shared" si="18"/>
        <v>5176.5000000000255</v>
      </c>
      <c r="E252" s="273">
        <f t="shared" si="19"/>
        <v>4567.0199999999841</v>
      </c>
      <c r="F252" s="274"/>
    </row>
    <row r="253" spans="1:6">
      <c r="A253" s="272">
        <v>248</v>
      </c>
      <c r="B253" s="443">
        <f t="shared" si="16"/>
        <v>3243.3900000000108</v>
      </c>
      <c r="C253" s="443">
        <f t="shared" si="17"/>
        <v>3118.1799999999889</v>
      </c>
      <c r="D253" s="443">
        <f t="shared" si="18"/>
        <v>5196.8000000000256</v>
      </c>
      <c r="E253" s="273">
        <f t="shared" si="19"/>
        <v>4584.9299999999839</v>
      </c>
      <c r="F253" s="274"/>
    </row>
    <row r="254" spans="1:6">
      <c r="A254" s="272">
        <v>249</v>
      </c>
      <c r="B254" s="443">
        <f t="shared" si="16"/>
        <v>3256.0600000000109</v>
      </c>
      <c r="C254" s="443">
        <f t="shared" si="17"/>
        <v>3130.3599999999888</v>
      </c>
      <c r="D254" s="443">
        <f t="shared" si="18"/>
        <v>5217.1000000000258</v>
      </c>
      <c r="E254" s="273">
        <f t="shared" si="19"/>
        <v>4602.8399999999838</v>
      </c>
      <c r="F254" s="274"/>
    </row>
    <row r="255" spans="1:6">
      <c r="A255" s="272">
        <v>250</v>
      </c>
      <c r="B255" s="443">
        <f t="shared" si="16"/>
        <v>3268.7300000000109</v>
      </c>
      <c r="C255" s="443">
        <f t="shared" si="17"/>
        <v>3142.5399999999886</v>
      </c>
      <c r="D255" s="443">
        <f t="shared" si="18"/>
        <v>5237.400000000026</v>
      </c>
      <c r="E255" s="273">
        <f t="shared" si="19"/>
        <v>4620.7499999999836</v>
      </c>
      <c r="F255" s="274"/>
    </row>
    <row r="256" spans="1:6">
      <c r="A256" s="272">
        <v>251</v>
      </c>
      <c r="B256" s="443">
        <f t="shared" si="16"/>
        <v>3281.400000000011</v>
      </c>
      <c r="C256" s="443">
        <f t="shared" si="17"/>
        <v>3154.7199999999884</v>
      </c>
      <c r="D256" s="443">
        <f t="shared" si="18"/>
        <v>5257.7000000000262</v>
      </c>
      <c r="E256" s="273">
        <f t="shared" si="19"/>
        <v>4638.6599999999835</v>
      </c>
      <c r="F256" s="274"/>
    </row>
    <row r="257" spans="1:6">
      <c r="A257" s="272">
        <v>252</v>
      </c>
      <c r="B257" s="443">
        <f t="shared" si="16"/>
        <v>3294.0700000000111</v>
      </c>
      <c r="C257" s="443">
        <f t="shared" si="17"/>
        <v>3166.8999999999883</v>
      </c>
      <c r="D257" s="443">
        <f t="shared" si="18"/>
        <v>5278.0000000000264</v>
      </c>
      <c r="E257" s="273">
        <f t="shared" si="19"/>
        <v>4656.5699999999833</v>
      </c>
      <c r="F257" s="274"/>
    </row>
    <row r="258" spans="1:6">
      <c r="A258" s="272">
        <v>253</v>
      </c>
      <c r="B258" s="443">
        <f t="shared" si="16"/>
        <v>3306.7400000000112</v>
      </c>
      <c r="C258" s="443">
        <f t="shared" si="17"/>
        <v>3179.0799999999881</v>
      </c>
      <c r="D258" s="443">
        <f t="shared" si="18"/>
        <v>5298.3000000000266</v>
      </c>
      <c r="E258" s="273">
        <f t="shared" si="19"/>
        <v>4674.4799999999832</v>
      </c>
      <c r="F258" s="274"/>
    </row>
    <row r="259" spans="1:6">
      <c r="A259" s="272">
        <v>254</v>
      </c>
      <c r="B259" s="443">
        <f t="shared" si="16"/>
        <v>3319.4100000000112</v>
      </c>
      <c r="C259" s="443">
        <f t="shared" si="17"/>
        <v>3191.2599999999879</v>
      </c>
      <c r="D259" s="443">
        <f t="shared" si="18"/>
        <v>5318.6000000000267</v>
      </c>
      <c r="E259" s="273">
        <f t="shared" si="19"/>
        <v>4692.389999999983</v>
      </c>
      <c r="F259" s="274"/>
    </row>
    <row r="260" spans="1:6">
      <c r="A260" s="272">
        <v>255</v>
      </c>
      <c r="B260" s="443">
        <f t="shared" si="16"/>
        <v>3332.0800000000113</v>
      </c>
      <c r="C260" s="443">
        <f t="shared" si="17"/>
        <v>3203.4399999999878</v>
      </c>
      <c r="D260" s="443">
        <f t="shared" si="18"/>
        <v>5338.9000000000269</v>
      </c>
      <c r="E260" s="273">
        <f t="shared" si="19"/>
        <v>4710.2999999999829</v>
      </c>
      <c r="F260" s="274"/>
    </row>
    <row r="261" spans="1:6">
      <c r="A261" s="272">
        <v>256</v>
      </c>
      <c r="B261" s="443">
        <f t="shared" si="16"/>
        <v>3344.7500000000114</v>
      </c>
      <c r="C261" s="443">
        <f t="shared" si="17"/>
        <v>3215.6199999999876</v>
      </c>
      <c r="D261" s="443">
        <f t="shared" si="18"/>
        <v>5359.2000000000271</v>
      </c>
      <c r="E261" s="273">
        <f t="shared" si="19"/>
        <v>4728.2099999999828</v>
      </c>
      <c r="F261" s="274"/>
    </row>
    <row r="262" spans="1:6">
      <c r="A262" s="272">
        <v>257</v>
      </c>
      <c r="B262" s="443">
        <f t="shared" si="16"/>
        <v>3357.4200000000114</v>
      </c>
      <c r="C262" s="443">
        <f t="shared" si="17"/>
        <v>3227.7999999999874</v>
      </c>
      <c r="D262" s="443">
        <f t="shared" si="18"/>
        <v>5379.5000000000273</v>
      </c>
      <c r="E262" s="273">
        <f t="shared" si="19"/>
        <v>4746.1199999999826</v>
      </c>
      <c r="F262" s="274"/>
    </row>
    <row r="263" spans="1:6">
      <c r="A263" s="272">
        <v>258</v>
      </c>
      <c r="B263" s="443">
        <f t="shared" si="16"/>
        <v>3370.0900000000115</v>
      </c>
      <c r="C263" s="443">
        <f t="shared" si="17"/>
        <v>3239.9799999999873</v>
      </c>
      <c r="D263" s="443">
        <f t="shared" si="18"/>
        <v>5399.8000000000275</v>
      </c>
      <c r="E263" s="273">
        <f t="shared" si="19"/>
        <v>4764.0299999999825</v>
      </c>
      <c r="F263" s="274"/>
    </row>
    <row r="264" spans="1:6">
      <c r="A264" s="272">
        <v>259</v>
      </c>
      <c r="B264" s="443">
        <f t="shared" si="16"/>
        <v>3382.7600000000116</v>
      </c>
      <c r="C264" s="443">
        <f t="shared" si="17"/>
        <v>3252.1599999999871</v>
      </c>
      <c r="D264" s="443">
        <f t="shared" si="18"/>
        <v>5420.1000000000276</v>
      </c>
      <c r="E264" s="273">
        <f t="shared" si="19"/>
        <v>4781.9399999999823</v>
      </c>
      <c r="F264" s="274"/>
    </row>
    <row r="265" spans="1:6">
      <c r="A265" s="272">
        <v>260</v>
      </c>
      <c r="B265" s="443">
        <f t="shared" si="16"/>
        <v>3395.4300000000117</v>
      </c>
      <c r="C265" s="443">
        <f t="shared" si="17"/>
        <v>3264.339999999987</v>
      </c>
      <c r="D265" s="443">
        <f t="shared" si="18"/>
        <v>5440.4000000000278</v>
      </c>
      <c r="E265" s="273">
        <f t="shared" si="19"/>
        <v>4799.8499999999822</v>
      </c>
      <c r="F265" s="274"/>
    </row>
    <row r="266" spans="1:6">
      <c r="A266" s="272">
        <v>261</v>
      </c>
      <c r="B266" s="443">
        <f t="shared" si="16"/>
        <v>3408.1000000000117</v>
      </c>
      <c r="C266" s="443">
        <f t="shared" si="17"/>
        <v>3276.5199999999868</v>
      </c>
      <c r="D266" s="443">
        <f t="shared" si="18"/>
        <v>5460.700000000028</v>
      </c>
      <c r="E266" s="273">
        <f t="shared" si="19"/>
        <v>4817.759999999982</v>
      </c>
      <c r="F266" s="274"/>
    </row>
    <row r="267" spans="1:6">
      <c r="A267" s="272">
        <v>262</v>
      </c>
      <c r="B267" s="443">
        <f t="shared" si="16"/>
        <v>3420.7700000000118</v>
      </c>
      <c r="C267" s="443">
        <f t="shared" si="17"/>
        <v>3288.6999999999866</v>
      </c>
      <c r="D267" s="443">
        <f t="shared" si="18"/>
        <v>5481.0000000000282</v>
      </c>
      <c r="E267" s="273">
        <f t="shared" si="19"/>
        <v>4835.6699999999819</v>
      </c>
      <c r="F267" s="274"/>
    </row>
    <row r="268" spans="1:6">
      <c r="A268" s="272">
        <v>263</v>
      </c>
      <c r="B268" s="443">
        <f t="shared" si="16"/>
        <v>3433.4400000000119</v>
      </c>
      <c r="C268" s="443">
        <f t="shared" si="17"/>
        <v>3300.8799999999865</v>
      </c>
      <c r="D268" s="443">
        <f t="shared" si="18"/>
        <v>5501.3000000000284</v>
      </c>
      <c r="E268" s="273">
        <f t="shared" si="19"/>
        <v>4853.5799999999817</v>
      </c>
      <c r="F268" s="274"/>
    </row>
    <row r="269" spans="1:6">
      <c r="A269" s="272">
        <v>264</v>
      </c>
      <c r="B269" s="443">
        <f t="shared" si="16"/>
        <v>3446.110000000012</v>
      </c>
      <c r="C269" s="443">
        <f t="shared" si="17"/>
        <v>3313.0599999999863</v>
      </c>
      <c r="D269" s="443">
        <f t="shared" si="18"/>
        <v>5521.6000000000286</v>
      </c>
      <c r="E269" s="273">
        <f t="shared" si="19"/>
        <v>4871.4899999999816</v>
      </c>
      <c r="F269" s="274"/>
    </row>
    <row r="270" spans="1:6">
      <c r="A270" s="272">
        <v>265</v>
      </c>
      <c r="B270" s="443">
        <f t="shared" si="16"/>
        <v>3458.780000000012</v>
      </c>
      <c r="C270" s="443">
        <f t="shared" si="17"/>
        <v>3325.2399999999861</v>
      </c>
      <c r="D270" s="443">
        <f t="shared" si="18"/>
        <v>5541.9000000000287</v>
      </c>
      <c r="E270" s="273">
        <f t="shared" si="19"/>
        <v>4889.3999999999814</v>
      </c>
      <c r="F270" s="274"/>
    </row>
    <row r="271" spans="1:6">
      <c r="A271" s="272">
        <v>266</v>
      </c>
      <c r="B271" s="443">
        <f t="shared" si="16"/>
        <v>3471.4500000000121</v>
      </c>
      <c r="C271" s="443">
        <f t="shared" si="17"/>
        <v>3337.419999999986</v>
      </c>
      <c r="D271" s="443">
        <f t="shared" si="18"/>
        <v>5562.2000000000289</v>
      </c>
      <c r="E271" s="273">
        <f t="shared" si="19"/>
        <v>4907.3099999999813</v>
      </c>
      <c r="F271" s="274"/>
    </row>
    <row r="272" spans="1:6">
      <c r="A272" s="272">
        <v>267</v>
      </c>
      <c r="B272" s="443">
        <f t="shared" si="16"/>
        <v>3484.1200000000122</v>
      </c>
      <c r="C272" s="443">
        <f t="shared" si="17"/>
        <v>3349.5999999999858</v>
      </c>
      <c r="D272" s="443">
        <f t="shared" si="18"/>
        <v>5582.5000000000291</v>
      </c>
      <c r="E272" s="273">
        <f t="shared" si="19"/>
        <v>4925.2199999999812</v>
      </c>
      <c r="F272" s="274"/>
    </row>
    <row r="273" spans="1:6">
      <c r="A273" s="272">
        <v>268</v>
      </c>
      <c r="B273" s="443">
        <f t="shared" si="16"/>
        <v>3496.7900000000122</v>
      </c>
      <c r="C273" s="443">
        <f t="shared" si="17"/>
        <v>3361.7799999999856</v>
      </c>
      <c r="D273" s="443">
        <f t="shared" si="18"/>
        <v>5602.8000000000293</v>
      </c>
      <c r="E273" s="273">
        <f t="shared" si="19"/>
        <v>4943.129999999981</v>
      </c>
      <c r="F273" s="274"/>
    </row>
    <row r="274" spans="1:6">
      <c r="A274" s="272">
        <v>269</v>
      </c>
      <c r="B274" s="443">
        <f t="shared" si="16"/>
        <v>3509.4600000000123</v>
      </c>
      <c r="C274" s="443">
        <f t="shared" si="17"/>
        <v>3373.9599999999855</v>
      </c>
      <c r="D274" s="443">
        <f t="shared" si="18"/>
        <v>5623.1000000000295</v>
      </c>
      <c r="E274" s="273">
        <f t="shared" si="19"/>
        <v>4961.0399999999809</v>
      </c>
      <c r="F274" s="274"/>
    </row>
    <row r="275" spans="1:6">
      <c r="A275" s="272">
        <v>270</v>
      </c>
      <c r="B275" s="443">
        <f t="shared" si="16"/>
        <v>3522.1300000000124</v>
      </c>
      <c r="C275" s="443">
        <f t="shared" si="17"/>
        <v>3386.1399999999853</v>
      </c>
      <c r="D275" s="443">
        <f t="shared" si="18"/>
        <v>5643.4000000000296</v>
      </c>
      <c r="E275" s="273">
        <f t="shared" si="19"/>
        <v>4978.9499999999807</v>
      </c>
      <c r="F275" s="274"/>
    </row>
    <row r="276" spans="1:6">
      <c r="A276" s="272">
        <v>271</v>
      </c>
      <c r="B276" s="443">
        <f t="shared" si="16"/>
        <v>3534.8000000000125</v>
      </c>
      <c r="C276" s="443">
        <f t="shared" si="17"/>
        <v>3398.3199999999852</v>
      </c>
      <c r="D276" s="443">
        <f t="shared" si="18"/>
        <v>5663.7000000000298</v>
      </c>
      <c r="E276" s="273">
        <f t="shared" si="19"/>
        <v>4996.8599999999806</v>
      </c>
      <c r="F276" s="274"/>
    </row>
    <row r="277" spans="1:6">
      <c r="A277" s="272">
        <v>272</v>
      </c>
      <c r="B277" s="443">
        <f t="shared" si="16"/>
        <v>3547.4700000000125</v>
      </c>
      <c r="C277" s="443">
        <f t="shared" si="17"/>
        <v>3410.499999999985</v>
      </c>
      <c r="D277" s="443">
        <f t="shared" si="18"/>
        <v>5684.00000000003</v>
      </c>
      <c r="E277" s="273">
        <f t="shared" si="19"/>
        <v>5014.7699999999804</v>
      </c>
      <c r="F277" s="274"/>
    </row>
    <row r="278" spans="1:6">
      <c r="A278" s="272">
        <v>273</v>
      </c>
      <c r="B278" s="443">
        <f t="shared" si="16"/>
        <v>3560.1400000000126</v>
      </c>
      <c r="C278" s="443">
        <f t="shared" si="17"/>
        <v>3422.6799999999848</v>
      </c>
      <c r="D278" s="443">
        <f t="shared" si="18"/>
        <v>5704.3000000000302</v>
      </c>
      <c r="E278" s="273">
        <f t="shared" si="19"/>
        <v>5032.6799999999803</v>
      </c>
      <c r="F278" s="274"/>
    </row>
    <row r="279" spans="1:6">
      <c r="A279" s="272">
        <v>274</v>
      </c>
      <c r="B279" s="443">
        <f t="shared" si="16"/>
        <v>3572.8100000000127</v>
      </c>
      <c r="C279" s="443">
        <f t="shared" si="17"/>
        <v>3434.8599999999847</v>
      </c>
      <c r="D279" s="443">
        <f t="shared" si="18"/>
        <v>5724.6000000000304</v>
      </c>
      <c r="E279" s="273">
        <f t="shared" si="19"/>
        <v>5050.5899999999801</v>
      </c>
      <c r="F279" s="274"/>
    </row>
    <row r="280" spans="1:6">
      <c r="A280" s="272">
        <v>275</v>
      </c>
      <c r="B280" s="443">
        <f t="shared" si="16"/>
        <v>3585.4800000000128</v>
      </c>
      <c r="C280" s="443">
        <f t="shared" si="17"/>
        <v>3447.0399999999845</v>
      </c>
      <c r="D280" s="443">
        <f t="shared" si="18"/>
        <v>5744.9000000000306</v>
      </c>
      <c r="E280" s="273">
        <f t="shared" si="19"/>
        <v>5068.49999999998</v>
      </c>
      <c r="F280" s="274"/>
    </row>
    <row r="281" spans="1:6">
      <c r="A281" s="272">
        <v>276</v>
      </c>
      <c r="B281" s="443">
        <f t="shared" si="16"/>
        <v>3598.1500000000128</v>
      </c>
      <c r="C281" s="443">
        <f t="shared" si="17"/>
        <v>3459.2199999999843</v>
      </c>
      <c r="D281" s="443">
        <f t="shared" si="18"/>
        <v>5765.2000000000307</v>
      </c>
      <c r="E281" s="273">
        <f t="shared" si="19"/>
        <v>5086.4099999999798</v>
      </c>
      <c r="F281" s="274"/>
    </row>
    <row r="282" spans="1:6">
      <c r="A282" s="272">
        <v>277</v>
      </c>
      <c r="B282" s="443">
        <f t="shared" si="16"/>
        <v>3610.8200000000129</v>
      </c>
      <c r="C282" s="443">
        <f t="shared" si="17"/>
        <v>3471.3999999999842</v>
      </c>
      <c r="D282" s="443">
        <f t="shared" si="18"/>
        <v>5785.5000000000309</v>
      </c>
      <c r="E282" s="273">
        <f t="shared" si="19"/>
        <v>5104.3199999999797</v>
      </c>
      <c r="F282" s="274"/>
    </row>
    <row r="283" spans="1:6">
      <c r="A283" s="272">
        <v>278</v>
      </c>
      <c r="B283" s="443">
        <f t="shared" si="16"/>
        <v>3623.490000000013</v>
      </c>
      <c r="C283" s="443">
        <f t="shared" si="17"/>
        <v>3483.579999999984</v>
      </c>
      <c r="D283" s="443">
        <f t="shared" si="18"/>
        <v>5805.8000000000311</v>
      </c>
      <c r="E283" s="273">
        <f t="shared" si="19"/>
        <v>5122.2299999999796</v>
      </c>
      <c r="F283" s="274"/>
    </row>
    <row r="284" spans="1:6">
      <c r="A284" s="272">
        <v>279</v>
      </c>
      <c r="B284" s="443">
        <f t="shared" si="16"/>
        <v>3636.160000000013</v>
      </c>
      <c r="C284" s="443">
        <f t="shared" si="17"/>
        <v>3495.7599999999838</v>
      </c>
      <c r="D284" s="443">
        <f t="shared" si="18"/>
        <v>5826.1000000000313</v>
      </c>
      <c r="E284" s="273">
        <f t="shared" si="19"/>
        <v>5140.1399999999794</v>
      </c>
      <c r="F284" s="274"/>
    </row>
    <row r="285" spans="1:6">
      <c r="A285" s="272">
        <v>280</v>
      </c>
      <c r="B285" s="443">
        <f t="shared" si="16"/>
        <v>3648.8300000000131</v>
      </c>
      <c r="C285" s="443">
        <f t="shared" si="17"/>
        <v>3507.9399999999837</v>
      </c>
      <c r="D285" s="443">
        <f t="shared" si="18"/>
        <v>5846.4000000000315</v>
      </c>
      <c r="E285" s="273">
        <f t="shared" si="19"/>
        <v>5158.0499999999793</v>
      </c>
      <c r="F285" s="274"/>
    </row>
    <row r="286" spans="1:6">
      <c r="A286" s="272">
        <v>281</v>
      </c>
      <c r="B286" s="443">
        <f t="shared" si="16"/>
        <v>3661.5000000000132</v>
      </c>
      <c r="C286" s="443">
        <f t="shared" si="17"/>
        <v>3520.1199999999835</v>
      </c>
      <c r="D286" s="443">
        <f t="shared" si="18"/>
        <v>5866.7000000000317</v>
      </c>
      <c r="E286" s="273">
        <f t="shared" si="19"/>
        <v>5175.9599999999791</v>
      </c>
      <c r="F286" s="274"/>
    </row>
    <row r="287" spans="1:6">
      <c r="A287" s="272">
        <v>282</v>
      </c>
      <c r="B287" s="443">
        <f t="shared" si="16"/>
        <v>3674.1700000000133</v>
      </c>
      <c r="C287" s="443">
        <f t="shared" si="17"/>
        <v>3532.2999999999834</v>
      </c>
      <c r="D287" s="443">
        <f t="shared" si="18"/>
        <v>5887.0000000000318</v>
      </c>
      <c r="E287" s="273">
        <f t="shared" si="19"/>
        <v>5193.869999999979</v>
      </c>
      <c r="F287" s="274"/>
    </row>
    <row r="288" spans="1:6">
      <c r="A288" s="272">
        <v>283</v>
      </c>
      <c r="B288" s="443">
        <f t="shared" si="16"/>
        <v>3686.8400000000133</v>
      </c>
      <c r="C288" s="443">
        <f t="shared" si="17"/>
        <v>3544.4799999999832</v>
      </c>
      <c r="D288" s="443">
        <f t="shared" si="18"/>
        <v>5907.300000000032</v>
      </c>
      <c r="E288" s="273">
        <f t="shared" si="19"/>
        <v>5211.7799999999788</v>
      </c>
      <c r="F288" s="274"/>
    </row>
    <row r="289" spans="1:6">
      <c r="A289" s="272">
        <v>284</v>
      </c>
      <c r="B289" s="443">
        <f t="shared" si="16"/>
        <v>3699.5100000000134</v>
      </c>
      <c r="C289" s="443">
        <f t="shared" si="17"/>
        <v>3556.659999999983</v>
      </c>
      <c r="D289" s="443">
        <f t="shared" si="18"/>
        <v>5927.6000000000322</v>
      </c>
      <c r="E289" s="273">
        <f t="shared" si="19"/>
        <v>5229.6899999999787</v>
      </c>
      <c r="F289" s="274"/>
    </row>
    <row r="290" spans="1:6">
      <c r="A290" s="272">
        <v>285</v>
      </c>
      <c r="B290" s="443">
        <f t="shared" si="16"/>
        <v>3712.1800000000135</v>
      </c>
      <c r="C290" s="443">
        <f t="shared" si="17"/>
        <v>3568.8399999999829</v>
      </c>
      <c r="D290" s="443">
        <f t="shared" si="18"/>
        <v>5947.9000000000324</v>
      </c>
      <c r="E290" s="273">
        <f t="shared" si="19"/>
        <v>5247.5999999999785</v>
      </c>
      <c r="F290" s="274"/>
    </row>
    <row r="291" spans="1:6">
      <c r="A291" s="272">
        <v>286</v>
      </c>
      <c r="B291" s="443">
        <f t="shared" si="16"/>
        <v>3724.8500000000136</v>
      </c>
      <c r="C291" s="443">
        <f t="shared" si="17"/>
        <v>3581.0199999999827</v>
      </c>
      <c r="D291" s="443">
        <f t="shared" si="18"/>
        <v>5968.2000000000326</v>
      </c>
      <c r="E291" s="273">
        <f t="shared" si="19"/>
        <v>5265.5099999999784</v>
      </c>
      <c r="F291" s="274"/>
    </row>
    <row r="292" spans="1:6">
      <c r="A292" s="272">
        <v>287</v>
      </c>
      <c r="B292" s="443">
        <f t="shared" si="16"/>
        <v>3737.5200000000136</v>
      </c>
      <c r="C292" s="443">
        <f t="shared" si="17"/>
        <v>3593.1999999999825</v>
      </c>
      <c r="D292" s="443">
        <f t="shared" si="18"/>
        <v>5988.5000000000327</v>
      </c>
      <c r="E292" s="273">
        <f t="shared" si="19"/>
        <v>5283.4199999999782</v>
      </c>
      <c r="F292" s="274"/>
    </row>
    <row r="293" spans="1:6">
      <c r="A293" s="272">
        <v>288</v>
      </c>
      <c r="B293" s="443">
        <f t="shared" ref="B293:B305" si="20">B292+12.67</f>
        <v>3750.1900000000137</v>
      </c>
      <c r="C293" s="443">
        <f t="shared" ref="C293:C305" si="21">C292+12.18</f>
        <v>3605.3799999999824</v>
      </c>
      <c r="D293" s="443">
        <f t="shared" ref="D293:D305" si="22">D292+20.3</f>
        <v>6008.8000000000329</v>
      </c>
      <c r="E293" s="273">
        <f t="shared" ref="E293:E305" si="23">E292+17.91</f>
        <v>5301.3299999999781</v>
      </c>
      <c r="F293" s="274"/>
    </row>
    <row r="294" spans="1:6">
      <c r="A294" s="272">
        <v>289</v>
      </c>
      <c r="B294" s="443">
        <f t="shared" si="20"/>
        <v>3762.8600000000138</v>
      </c>
      <c r="C294" s="443">
        <f t="shared" si="21"/>
        <v>3617.5599999999822</v>
      </c>
      <c r="D294" s="443">
        <f t="shared" si="22"/>
        <v>6029.1000000000331</v>
      </c>
      <c r="E294" s="273">
        <f t="shared" si="23"/>
        <v>5319.239999999978</v>
      </c>
      <c r="F294" s="274"/>
    </row>
    <row r="295" spans="1:6">
      <c r="A295" s="272">
        <v>290</v>
      </c>
      <c r="B295" s="443">
        <f t="shared" si="20"/>
        <v>3775.5300000000138</v>
      </c>
      <c r="C295" s="443">
        <f t="shared" si="21"/>
        <v>3629.739999999982</v>
      </c>
      <c r="D295" s="443">
        <f t="shared" si="22"/>
        <v>6049.4000000000333</v>
      </c>
      <c r="E295" s="273">
        <f t="shared" si="23"/>
        <v>5337.1499999999778</v>
      </c>
      <c r="F295" s="274"/>
    </row>
    <row r="296" spans="1:6">
      <c r="A296" s="272">
        <v>291</v>
      </c>
      <c r="B296" s="443">
        <f t="shared" si="20"/>
        <v>3788.2000000000139</v>
      </c>
      <c r="C296" s="443">
        <f t="shared" si="21"/>
        <v>3641.9199999999819</v>
      </c>
      <c r="D296" s="443">
        <f t="shared" si="22"/>
        <v>6069.7000000000335</v>
      </c>
      <c r="E296" s="273">
        <f t="shared" si="23"/>
        <v>5355.0599999999777</v>
      </c>
      <c r="F296" s="274"/>
    </row>
    <row r="297" spans="1:6">
      <c r="A297" s="272">
        <v>292</v>
      </c>
      <c r="B297" s="443">
        <f t="shared" si="20"/>
        <v>3800.870000000014</v>
      </c>
      <c r="C297" s="443">
        <f t="shared" si="21"/>
        <v>3654.0999999999817</v>
      </c>
      <c r="D297" s="443">
        <f t="shared" si="22"/>
        <v>6090.0000000000337</v>
      </c>
      <c r="E297" s="273">
        <f t="shared" si="23"/>
        <v>5372.9699999999775</v>
      </c>
      <c r="F297" s="274"/>
    </row>
    <row r="298" spans="1:6">
      <c r="A298" s="272">
        <v>293</v>
      </c>
      <c r="B298" s="443">
        <f t="shared" si="20"/>
        <v>3813.5400000000141</v>
      </c>
      <c r="C298" s="443">
        <f t="shared" si="21"/>
        <v>3666.2799999999816</v>
      </c>
      <c r="D298" s="443">
        <f t="shared" si="22"/>
        <v>6110.3000000000338</v>
      </c>
      <c r="E298" s="273">
        <f t="shared" si="23"/>
        <v>5390.8799999999774</v>
      </c>
      <c r="F298" s="274"/>
    </row>
    <row r="299" spans="1:6">
      <c r="A299" s="272">
        <v>294</v>
      </c>
      <c r="B299" s="443">
        <f t="shared" si="20"/>
        <v>3826.2100000000141</v>
      </c>
      <c r="C299" s="443">
        <f t="shared" si="21"/>
        <v>3678.4599999999814</v>
      </c>
      <c r="D299" s="443">
        <f t="shared" si="22"/>
        <v>6130.600000000034</v>
      </c>
      <c r="E299" s="273">
        <f t="shared" si="23"/>
        <v>5408.7899999999772</v>
      </c>
      <c r="F299" s="274"/>
    </row>
    <row r="300" spans="1:6">
      <c r="A300" s="272">
        <v>295</v>
      </c>
      <c r="B300" s="443">
        <f t="shared" si="20"/>
        <v>3838.8800000000142</v>
      </c>
      <c r="C300" s="443">
        <f t="shared" si="21"/>
        <v>3690.6399999999812</v>
      </c>
      <c r="D300" s="443">
        <f t="shared" si="22"/>
        <v>6150.9000000000342</v>
      </c>
      <c r="E300" s="273">
        <f t="shared" si="23"/>
        <v>5426.6999999999771</v>
      </c>
      <c r="F300" s="274"/>
    </row>
    <row r="301" spans="1:6">
      <c r="A301" s="272">
        <v>296</v>
      </c>
      <c r="B301" s="443">
        <f t="shared" si="20"/>
        <v>3851.5500000000143</v>
      </c>
      <c r="C301" s="443">
        <f t="shared" si="21"/>
        <v>3702.8199999999811</v>
      </c>
      <c r="D301" s="443">
        <f t="shared" si="22"/>
        <v>6171.2000000000344</v>
      </c>
      <c r="E301" s="273">
        <f t="shared" si="23"/>
        <v>5444.6099999999769</v>
      </c>
      <c r="F301" s="274"/>
    </row>
    <row r="302" spans="1:6">
      <c r="A302" s="272">
        <v>297</v>
      </c>
      <c r="B302" s="443">
        <f t="shared" si="20"/>
        <v>3864.2200000000144</v>
      </c>
      <c r="C302" s="443">
        <f t="shared" si="21"/>
        <v>3714.9999999999809</v>
      </c>
      <c r="D302" s="443">
        <f t="shared" si="22"/>
        <v>6191.5000000000346</v>
      </c>
      <c r="E302" s="273">
        <f t="shared" si="23"/>
        <v>5462.5199999999768</v>
      </c>
      <c r="F302" s="274"/>
    </row>
    <row r="303" spans="1:6">
      <c r="A303" s="272">
        <v>298</v>
      </c>
      <c r="B303" s="443">
        <f t="shared" si="20"/>
        <v>3876.8900000000144</v>
      </c>
      <c r="C303" s="443">
        <f t="shared" si="21"/>
        <v>3727.1799999999807</v>
      </c>
      <c r="D303" s="443">
        <f t="shared" si="22"/>
        <v>6211.8000000000347</v>
      </c>
      <c r="E303" s="273">
        <f t="shared" si="23"/>
        <v>5480.4299999999766</v>
      </c>
      <c r="F303" s="274"/>
    </row>
    <row r="304" spans="1:6">
      <c r="A304" s="272">
        <v>299</v>
      </c>
      <c r="B304" s="443">
        <f t="shared" si="20"/>
        <v>3889.5600000000145</v>
      </c>
      <c r="C304" s="443">
        <f t="shared" si="21"/>
        <v>3739.3599999999806</v>
      </c>
      <c r="D304" s="443">
        <f t="shared" si="22"/>
        <v>6232.1000000000349</v>
      </c>
      <c r="E304" s="273">
        <f t="shared" si="23"/>
        <v>5498.3399999999765</v>
      </c>
      <c r="F304" s="274"/>
    </row>
    <row r="305" spans="1:6">
      <c r="A305" s="272">
        <v>300</v>
      </c>
      <c r="B305" s="443">
        <f t="shared" si="20"/>
        <v>3902.2300000000146</v>
      </c>
      <c r="C305" s="443">
        <f t="shared" si="21"/>
        <v>3751.5399999999804</v>
      </c>
      <c r="D305" s="443">
        <f t="shared" si="22"/>
        <v>6252.4000000000351</v>
      </c>
      <c r="E305" s="273">
        <f t="shared" si="23"/>
        <v>5516.2499999999764</v>
      </c>
      <c r="F305" s="274"/>
    </row>
  </sheetData>
  <mergeCells count="3">
    <mergeCell ref="A1:F1"/>
    <mergeCell ref="B2:D2"/>
    <mergeCell ref="A3:A4"/>
  </mergeCells>
  <pageMargins left="1.04" right="0.7" top="0.32" bottom="0.4"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F0"/>
  </sheetPr>
  <dimension ref="A1:X371"/>
  <sheetViews>
    <sheetView showZeros="0" view="pageBreakPreview" topLeftCell="A232" zoomScale="115" zoomScaleSheetLayoutView="115" workbookViewId="0">
      <selection activeCell="B267" sqref="B267"/>
    </sheetView>
  </sheetViews>
  <sheetFormatPr defaultRowHeight="12.75"/>
  <cols>
    <col min="1" max="1" width="5.140625" style="108" customWidth="1"/>
    <col min="2" max="2" width="42.42578125" style="108" customWidth="1"/>
    <col min="3" max="3" width="8.28515625" style="186" customWidth="1"/>
    <col min="4" max="4" width="5.140625" style="104" customWidth="1"/>
    <col min="5" max="5" width="9" style="108" customWidth="1"/>
    <col min="6" max="6" width="12.28515625" style="108" customWidth="1"/>
    <col min="7" max="7" width="8.140625" style="103" customWidth="1"/>
    <col min="8" max="8" width="4.7109375" style="104" customWidth="1"/>
    <col min="9" max="9" width="9.42578125" style="108" bestFit="1" customWidth="1"/>
    <col min="10" max="10" width="10.42578125" style="108" customWidth="1"/>
    <col min="11" max="12" width="11" style="105" customWidth="1"/>
    <col min="13" max="13" width="7.85546875" style="108" customWidth="1"/>
    <col min="14" max="14" width="9.28515625" style="108" bestFit="1" customWidth="1"/>
    <col min="15" max="16" width="10.42578125" style="108" bestFit="1" customWidth="1"/>
    <col min="17" max="16384" width="9.140625" style="108"/>
  </cols>
  <sheetData>
    <row r="1" spans="1:24" ht="19.5" customHeight="1">
      <c r="A1" s="1003" t="s">
        <v>440</v>
      </c>
      <c r="B1" s="1004"/>
      <c r="C1" s="1004"/>
      <c r="D1" s="1004"/>
      <c r="E1" s="1004"/>
      <c r="F1" s="1004"/>
      <c r="G1" s="1004"/>
      <c r="H1" s="1004"/>
      <c r="I1" s="1004"/>
      <c r="J1" s="1004"/>
      <c r="K1" s="1004"/>
      <c r="L1" s="1005"/>
      <c r="M1" s="1005"/>
    </row>
    <row r="2" spans="1:24" ht="36.75" customHeight="1">
      <c r="A2" s="1006" t="str">
        <f>'lead 24-25'!B2&amp;'lead 24-25'!C2</f>
        <v>Name of the Work: Completion of incomplete Anganwadi building  in Paletipalli village of P.C.Palli Mandal.</v>
      </c>
      <c r="B2" s="1006"/>
      <c r="C2" s="1006"/>
      <c r="D2" s="1006"/>
      <c r="E2" s="1006"/>
      <c r="F2" s="1006"/>
      <c r="G2" s="1006"/>
      <c r="H2" s="1006"/>
      <c r="I2" s="1006"/>
      <c r="J2" s="1006"/>
      <c r="K2" s="1006"/>
      <c r="L2" s="1006"/>
      <c r="M2" s="1006"/>
    </row>
    <row r="3" spans="1:24">
      <c r="A3" s="241"/>
      <c r="B3" s="242"/>
      <c r="C3" s="243"/>
      <c r="D3" s="244"/>
      <c r="E3" s="245"/>
      <c r="F3" s="242"/>
      <c r="G3" s="246"/>
      <c r="H3" s="244"/>
      <c r="I3" s="245"/>
      <c r="J3" s="242" t="s">
        <v>441</v>
      </c>
      <c r="K3" s="1007" t="str">
        <f>'lead 24-25'!K4</f>
        <v>15.00 Lakhs</v>
      </c>
      <c r="L3" s="1008"/>
      <c r="M3" s="1008"/>
    </row>
    <row r="4" spans="1:24" ht="19.5" customHeight="1">
      <c r="A4" s="1009" t="s">
        <v>263</v>
      </c>
      <c r="B4" s="1009" t="s">
        <v>7</v>
      </c>
      <c r="C4" s="1009" t="s">
        <v>1902</v>
      </c>
      <c r="D4" s="1009"/>
      <c r="E4" s="1010"/>
      <c r="F4" s="1010"/>
      <c r="G4" s="1009" t="s">
        <v>557</v>
      </c>
      <c r="H4" s="1009"/>
      <c r="I4" s="1010"/>
      <c r="J4" s="1010"/>
      <c r="K4" s="1009" t="s">
        <v>442</v>
      </c>
      <c r="L4" s="1010"/>
      <c r="M4" s="1009" t="s">
        <v>443</v>
      </c>
    </row>
    <row r="5" spans="1:24" ht="15.75" customHeight="1">
      <c r="A5" s="1009"/>
      <c r="B5" s="1009"/>
      <c r="C5" s="1009" t="s">
        <v>444</v>
      </c>
      <c r="D5" s="1009"/>
      <c r="E5" s="292" t="s">
        <v>445</v>
      </c>
      <c r="F5" s="292" t="s">
        <v>10</v>
      </c>
      <c r="G5" s="1009" t="s">
        <v>444</v>
      </c>
      <c r="H5" s="1009"/>
      <c r="I5" s="292" t="s">
        <v>445</v>
      </c>
      <c r="J5" s="292" t="s">
        <v>10</v>
      </c>
      <c r="K5" s="292" t="s">
        <v>446</v>
      </c>
      <c r="L5" s="292" t="s">
        <v>447</v>
      </c>
      <c r="M5" s="1009"/>
    </row>
    <row r="6" spans="1:24" ht="16.5" customHeight="1">
      <c r="A6" s="292" t="s">
        <v>448</v>
      </c>
      <c r="B6" s="292" t="s">
        <v>449</v>
      </c>
      <c r="C6" s="1009" t="s">
        <v>450</v>
      </c>
      <c r="D6" s="1009"/>
      <c r="E6" s="292" t="s">
        <v>451</v>
      </c>
      <c r="F6" s="292" t="s">
        <v>452</v>
      </c>
      <c r="G6" s="1009" t="s">
        <v>453</v>
      </c>
      <c r="H6" s="1009"/>
      <c r="I6" s="292" t="s">
        <v>454</v>
      </c>
      <c r="J6" s="292" t="s">
        <v>455</v>
      </c>
      <c r="K6" s="292" t="s">
        <v>456</v>
      </c>
      <c r="L6" s="292" t="s">
        <v>317</v>
      </c>
      <c r="M6" s="292" t="s">
        <v>457</v>
      </c>
    </row>
    <row r="7" spans="1:24" s="88" customFormat="1" ht="20.25" hidden="1" customHeight="1">
      <c r="A7" s="83"/>
      <c r="B7" s="84" t="s">
        <v>458</v>
      </c>
      <c r="C7" s="151"/>
      <c r="D7" s="195"/>
      <c r="E7" s="86"/>
      <c r="F7" s="188"/>
      <c r="G7" s="90"/>
      <c r="H7" s="189"/>
      <c r="I7" s="94"/>
      <c r="J7" s="188"/>
      <c r="K7" s="87">
        <f t="shared" ref="K7" si="0">IF(J7&gt;F7,J7-F7,0)</f>
        <v>0</v>
      </c>
      <c r="L7" s="87">
        <f t="shared" ref="L7" si="1">IF(J7&lt;F7,F7-J7,0)</f>
        <v>0</v>
      </c>
      <c r="M7" s="83" t="s">
        <v>15</v>
      </c>
      <c r="N7" s="188">
        <f t="shared" ref="N7:N8" si="2">E7-I7</f>
        <v>0</v>
      </c>
    </row>
    <row r="8" spans="1:24" s="88" customFormat="1" ht="20.25" hidden="1" customHeight="1">
      <c r="A8" s="83" t="s">
        <v>448</v>
      </c>
      <c r="B8" s="89" t="s">
        <v>525</v>
      </c>
      <c r="C8" s="295"/>
      <c r="D8" s="296" t="s">
        <v>102</v>
      </c>
      <c r="E8" s="235">
        <v>6.06</v>
      </c>
      <c r="F8" s="18">
        <f t="shared" ref="F8:F12" si="3">ROUND(C8*E8,0)</f>
        <v>0</v>
      </c>
      <c r="G8" s="90">
        <f>ESTIMATE!I12</f>
        <v>0</v>
      </c>
      <c r="H8" s="85" t="s">
        <v>102</v>
      </c>
      <c r="I8" s="109">
        <f>ESTIMATE!K12</f>
        <v>6.06</v>
      </c>
      <c r="J8" s="18">
        <f>ROUND(G8*I8,0)</f>
        <v>0</v>
      </c>
      <c r="K8" s="87">
        <f t="shared" ref="K8" si="4">IF(J8&gt;F8,J8-F8,0)</f>
        <v>0</v>
      </c>
      <c r="L8" s="87">
        <f t="shared" ref="L8" si="5">IF(J8&lt;F8,F8-J8,0)</f>
        <v>0</v>
      </c>
      <c r="M8" s="83" t="s">
        <v>15</v>
      </c>
      <c r="N8" s="188">
        <f t="shared" si="2"/>
        <v>0</v>
      </c>
      <c r="S8" s="88">
        <v>157</v>
      </c>
      <c r="U8" s="152">
        <f>J8-S8</f>
        <v>-157</v>
      </c>
      <c r="W8" s="88">
        <v>23.72</v>
      </c>
      <c r="X8" s="152">
        <f>G8-W8</f>
        <v>-23.72</v>
      </c>
    </row>
    <row r="9" spans="1:24" s="88" customFormat="1" ht="20.25" hidden="1" customHeight="1">
      <c r="A9" s="83" t="s">
        <v>449</v>
      </c>
      <c r="B9" s="89" t="s">
        <v>459</v>
      </c>
      <c r="C9" s="295"/>
      <c r="D9" s="296" t="s">
        <v>5</v>
      </c>
      <c r="E9" s="235">
        <v>144.26</v>
      </c>
      <c r="F9" s="18">
        <f t="shared" si="3"/>
        <v>0</v>
      </c>
      <c r="G9" s="90">
        <f>ESTIMATE!I33</f>
        <v>0</v>
      </c>
      <c r="H9" s="85" t="s">
        <v>5</v>
      </c>
      <c r="I9" s="109">
        <f>ESTIMATE!K33</f>
        <v>246.07</v>
      </c>
      <c r="J9" s="18">
        <f t="shared" ref="J9:J100" si="6">ROUND(G9*I9,0)</f>
        <v>0</v>
      </c>
      <c r="K9" s="87">
        <f t="shared" ref="K9:K72" si="7">IF(J9&gt;F9,J9-F9,0)</f>
        <v>0</v>
      </c>
      <c r="L9" s="87">
        <f t="shared" ref="L9:L72" si="8">IF(J9&lt;F9,F9-J9,0)</f>
        <v>0</v>
      </c>
      <c r="M9" s="83" t="s">
        <v>15</v>
      </c>
      <c r="N9" s="188">
        <f t="shared" ref="N9:N72" si="9">E9-I9</f>
        <v>-101.81</v>
      </c>
      <c r="S9" s="88">
        <v>12298</v>
      </c>
      <c r="U9" s="152">
        <f t="shared" ref="U9:U90" si="10">J9-S9</f>
        <v>-12298</v>
      </c>
      <c r="W9" s="88">
        <v>98.86</v>
      </c>
      <c r="X9" s="152">
        <f t="shared" ref="X9:X90" si="11">G9-W9</f>
        <v>-98.86</v>
      </c>
    </row>
    <row r="10" spans="1:24" s="88" customFormat="1" ht="20.25" hidden="1" customHeight="1">
      <c r="A10" s="83" t="s">
        <v>450</v>
      </c>
      <c r="B10" s="89" t="s">
        <v>526</v>
      </c>
      <c r="C10" s="295"/>
      <c r="D10" s="296" t="s">
        <v>5</v>
      </c>
      <c r="E10" s="235">
        <v>4509.22</v>
      </c>
      <c r="F10" s="18">
        <f t="shared" si="3"/>
        <v>0</v>
      </c>
      <c r="G10" s="90">
        <f>ESTIMATE!I45</f>
        <v>5.4499999999999993</v>
      </c>
      <c r="H10" s="85" t="s">
        <v>5</v>
      </c>
      <c r="I10" s="109">
        <f>ESTIMATE!K45</f>
        <v>5252.57</v>
      </c>
      <c r="J10" s="18">
        <f t="shared" si="6"/>
        <v>28627</v>
      </c>
      <c r="K10" s="87">
        <f t="shared" si="7"/>
        <v>28627</v>
      </c>
      <c r="L10" s="87">
        <f t="shared" si="8"/>
        <v>0</v>
      </c>
      <c r="M10" s="83" t="s">
        <v>15</v>
      </c>
      <c r="N10" s="188">
        <f t="shared" si="9"/>
        <v>-743.34999999999945</v>
      </c>
      <c r="S10" s="88">
        <v>100538</v>
      </c>
      <c r="U10" s="152">
        <f t="shared" si="10"/>
        <v>-71911</v>
      </c>
      <c r="W10" s="88">
        <v>26.909999999999997</v>
      </c>
      <c r="X10" s="152">
        <f t="shared" si="11"/>
        <v>-21.459999999999997</v>
      </c>
    </row>
    <row r="11" spans="1:24" s="88" customFormat="1" ht="20.25" hidden="1" customHeight="1">
      <c r="A11" s="83" t="s">
        <v>451</v>
      </c>
      <c r="B11" s="89" t="s">
        <v>527</v>
      </c>
      <c r="C11" s="295"/>
      <c r="D11" s="296" t="s">
        <v>5</v>
      </c>
      <c r="E11" s="235">
        <v>4389.9900000000007</v>
      </c>
      <c r="F11" s="18">
        <f t="shared" si="3"/>
        <v>0</v>
      </c>
      <c r="G11" s="90">
        <f>ESTIMATE!I56</f>
        <v>0</v>
      </c>
      <c r="H11" s="85" t="s">
        <v>5</v>
      </c>
      <c r="I11" s="109">
        <f>ESTIMATE!K56</f>
        <v>4486.4399999999996</v>
      </c>
      <c r="J11" s="18">
        <f t="shared" si="6"/>
        <v>0</v>
      </c>
      <c r="K11" s="87">
        <f t="shared" si="7"/>
        <v>0</v>
      </c>
      <c r="L11" s="87">
        <f t="shared" si="8"/>
        <v>0</v>
      </c>
      <c r="M11" s="83" t="s">
        <v>15</v>
      </c>
      <c r="N11" s="188">
        <f t="shared" si="9"/>
        <v>-96.449999999998909</v>
      </c>
      <c r="S11" s="88">
        <v>0</v>
      </c>
      <c r="U11" s="152">
        <f t="shared" si="10"/>
        <v>0</v>
      </c>
      <c r="W11" s="88">
        <v>0</v>
      </c>
      <c r="X11" s="152">
        <f t="shared" si="11"/>
        <v>0</v>
      </c>
    </row>
    <row r="12" spans="1:24" s="88" customFormat="1" ht="20.25" hidden="1" customHeight="1">
      <c r="A12" s="83" t="s">
        <v>452</v>
      </c>
      <c r="B12" s="89" t="s">
        <v>985</v>
      </c>
      <c r="C12" s="295"/>
      <c r="D12" s="296" t="s">
        <v>5</v>
      </c>
      <c r="E12" s="235">
        <v>357.6</v>
      </c>
      <c r="F12" s="18">
        <f t="shared" si="3"/>
        <v>0</v>
      </c>
      <c r="G12" s="90">
        <f>ESTIMATE!I62</f>
        <v>0</v>
      </c>
      <c r="H12" s="85" t="s">
        <v>5</v>
      </c>
      <c r="I12" s="109">
        <f>ESTIMATE!K62</f>
        <v>440.28</v>
      </c>
      <c r="J12" s="18">
        <f t="shared" si="6"/>
        <v>0</v>
      </c>
      <c r="K12" s="87">
        <f t="shared" si="7"/>
        <v>0</v>
      </c>
      <c r="L12" s="87">
        <f t="shared" si="8"/>
        <v>0</v>
      </c>
      <c r="M12" s="83" t="s">
        <v>15</v>
      </c>
      <c r="N12" s="188">
        <f t="shared" si="9"/>
        <v>-82.67999999999995</v>
      </c>
      <c r="S12" s="88">
        <v>0</v>
      </c>
      <c r="U12" s="152">
        <f t="shared" si="10"/>
        <v>0</v>
      </c>
      <c r="W12" s="88">
        <v>0</v>
      </c>
      <c r="X12" s="152">
        <f t="shared" si="11"/>
        <v>0</v>
      </c>
    </row>
    <row r="13" spans="1:24" s="88" customFormat="1" ht="20.25" hidden="1" customHeight="1">
      <c r="A13" s="83" t="s">
        <v>452</v>
      </c>
      <c r="B13" s="89" t="s">
        <v>705</v>
      </c>
      <c r="C13" s="185"/>
      <c r="D13" s="195"/>
      <c r="E13" s="109"/>
      <c r="F13" s="18"/>
      <c r="G13" s="90">
        <f>ESTIMATE!I72</f>
        <v>0</v>
      </c>
      <c r="H13" s="85" t="s">
        <v>5</v>
      </c>
      <c r="I13" s="109">
        <f>ESTIMATE!K72</f>
        <v>461.28</v>
      </c>
      <c r="J13" s="18">
        <f t="shared" si="6"/>
        <v>0</v>
      </c>
      <c r="K13" s="87">
        <f t="shared" si="7"/>
        <v>0</v>
      </c>
      <c r="L13" s="87">
        <f t="shared" si="8"/>
        <v>0</v>
      </c>
      <c r="M13" s="83" t="s">
        <v>15</v>
      </c>
      <c r="N13" s="188">
        <f t="shared" si="9"/>
        <v>-461.28</v>
      </c>
      <c r="S13" s="88">
        <v>0</v>
      </c>
      <c r="U13" s="152">
        <f t="shared" si="10"/>
        <v>0</v>
      </c>
      <c r="W13" s="88">
        <v>0</v>
      </c>
      <c r="X13" s="152">
        <f t="shared" si="11"/>
        <v>0</v>
      </c>
    </row>
    <row r="14" spans="1:24" s="88" customFormat="1" ht="20.25" hidden="1" customHeight="1">
      <c r="A14" s="83" t="s">
        <v>453</v>
      </c>
      <c r="B14" s="89" t="s">
        <v>691</v>
      </c>
      <c r="C14" s="295"/>
      <c r="D14" s="296" t="s">
        <v>5</v>
      </c>
      <c r="E14" s="235">
        <v>710.59999999999991</v>
      </c>
      <c r="F14" s="18">
        <f t="shared" ref="F14:F22" si="12">ROUND(C14*E14,0)</f>
        <v>0</v>
      </c>
      <c r="G14" s="90">
        <f>ESTIMATE!I81</f>
        <v>1.53</v>
      </c>
      <c r="H14" s="85" t="s">
        <v>5</v>
      </c>
      <c r="I14" s="109">
        <f>ESTIMATE!K81</f>
        <v>150.05000000000001</v>
      </c>
      <c r="J14" s="18">
        <f t="shared" ref="J14" si="13">ROUND(G14*I14,0)</f>
        <v>230</v>
      </c>
      <c r="K14" s="87">
        <f t="shared" si="7"/>
        <v>230</v>
      </c>
      <c r="L14" s="87">
        <f t="shared" si="8"/>
        <v>0</v>
      </c>
      <c r="M14" s="83" t="s">
        <v>15</v>
      </c>
      <c r="N14" s="188">
        <f t="shared" si="9"/>
        <v>560.54999999999995</v>
      </c>
      <c r="S14" s="88">
        <v>65659</v>
      </c>
      <c r="U14" s="152">
        <f t="shared" si="10"/>
        <v>-65429</v>
      </c>
      <c r="W14" s="88">
        <v>52.81</v>
      </c>
      <c r="X14" s="152">
        <f t="shared" si="11"/>
        <v>-51.28</v>
      </c>
    </row>
    <row r="15" spans="1:24" s="88" customFormat="1" ht="20.25" hidden="1" customHeight="1">
      <c r="A15" s="83" t="s">
        <v>454</v>
      </c>
      <c r="B15" s="89" t="s">
        <v>528</v>
      </c>
      <c r="C15" s="295"/>
      <c r="D15" s="296" t="s">
        <v>5</v>
      </c>
      <c r="E15" s="235">
        <v>265.36</v>
      </c>
      <c r="F15" s="18">
        <f t="shared" si="12"/>
        <v>0</v>
      </c>
      <c r="G15" s="90">
        <f>ESTIMATE!I91</f>
        <v>0</v>
      </c>
      <c r="H15" s="85" t="s">
        <v>5</v>
      </c>
      <c r="I15" s="109">
        <f>ESTIMATE!K91</f>
        <v>365.84</v>
      </c>
      <c r="J15" s="18">
        <f t="shared" si="6"/>
        <v>0</v>
      </c>
      <c r="K15" s="87">
        <f t="shared" si="7"/>
        <v>0</v>
      </c>
      <c r="L15" s="87">
        <f t="shared" si="8"/>
        <v>0</v>
      </c>
      <c r="M15" s="83" t="s">
        <v>15</v>
      </c>
      <c r="N15" s="188">
        <f t="shared" si="9"/>
        <v>-100.47999999999996</v>
      </c>
      <c r="S15" s="88">
        <v>17066</v>
      </c>
      <c r="U15" s="152">
        <f t="shared" si="10"/>
        <v>-17066</v>
      </c>
      <c r="W15" s="88">
        <v>74.97</v>
      </c>
      <c r="X15" s="152">
        <f t="shared" si="11"/>
        <v>-74.97</v>
      </c>
    </row>
    <row r="16" spans="1:24" s="88" customFormat="1" ht="20.25" hidden="1" customHeight="1">
      <c r="A16" s="83" t="s">
        <v>455</v>
      </c>
      <c r="B16" s="89" t="s">
        <v>992</v>
      </c>
      <c r="C16" s="295"/>
      <c r="D16" s="296" t="s">
        <v>5</v>
      </c>
      <c r="E16" s="235">
        <v>7679.35</v>
      </c>
      <c r="F16" s="18">
        <f t="shared" si="12"/>
        <v>0</v>
      </c>
      <c r="G16" s="90">
        <f>ESTIMATE!I96</f>
        <v>0</v>
      </c>
      <c r="H16" s="85" t="s">
        <v>5</v>
      </c>
      <c r="I16" s="109">
        <f>ESTIMATE!K96</f>
        <v>9863.9500000000007</v>
      </c>
      <c r="J16" s="18">
        <f t="shared" si="6"/>
        <v>0</v>
      </c>
      <c r="K16" s="87">
        <f t="shared" si="7"/>
        <v>0</v>
      </c>
      <c r="L16" s="87">
        <f t="shared" si="8"/>
        <v>0</v>
      </c>
      <c r="M16" s="83" t="s">
        <v>15</v>
      </c>
      <c r="N16" s="188">
        <f t="shared" si="9"/>
        <v>-2184.6000000000004</v>
      </c>
      <c r="S16" s="88">
        <v>74617</v>
      </c>
      <c r="U16" s="152">
        <f t="shared" si="10"/>
        <v>-74617</v>
      </c>
      <c r="W16" s="88">
        <v>11.19</v>
      </c>
      <c r="X16" s="152">
        <f t="shared" si="11"/>
        <v>-11.19</v>
      </c>
    </row>
    <row r="17" spans="1:24" s="88" customFormat="1" ht="20.25" hidden="1" customHeight="1">
      <c r="A17" s="83" t="s">
        <v>456</v>
      </c>
      <c r="B17" s="89" t="s">
        <v>993</v>
      </c>
      <c r="C17" s="295"/>
      <c r="D17" s="296" t="s">
        <v>5</v>
      </c>
      <c r="E17" s="235">
        <v>8118.35</v>
      </c>
      <c r="F17" s="18">
        <f t="shared" si="12"/>
        <v>0</v>
      </c>
      <c r="G17" s="90">
        <f>ESTIMATE!I100</f>
        <v>0</v>
      </c>
      <c r="H17" s="85" t="s">
        <v>5</v>
      </c>
      <c r="I17" s="109">
        <f>ESTIMATE!K100</f>
        <v>10362.719999999999</v>
      </c>
      <c r="J17" s="18">
        <f t="shared" si="6"/>
        <v>0</v>
      </c>
      <c r="K17" s="87">
        <f t="shared" si="7"/>
        <v>0</v>
      </c>
      <c r="L17" s="87">
        <f t="shared" si="8"/>
        <v>0</v>
      </c>
      <c r="M17" s="83" t="s">
        <v>15</v>
      </c>
      <c r="N17" s="188">
        <f t="shared" si="9"/>
        <v>-2244.369999999999</v>
      </c>
      <c r="S17" s="88">
        <v>9701</v>
      </c>
      <c r="U17" s="152">
        <f t="shared" si="10"/>
        <v>-9701</v>
      </c>
      <c r="W17" s="88">
        <v>1.37</v>
      </c>
      <c r="X17" s="152">
        <f t="shared" si="11"/>
        <v>-1.37</v>
      </c>
    </row>
    <row r="18" spans="1:24" s="88" customFormat="1" ht="20.25" hidden="1" customHeight="1">
      <c r="A18" s="83" t="s">
        <v>317</v>
      </c>
      <c r="B18" s="89" t="s">
        <v>994</v>
      </c>
      <c r="C18" s="295"/>
      <c r="D18" s="296" t="s">
        <v>5</v>
      </c>
      <c r="E18" s="235">
        <v>9998.74</v>
      </c>
      <c r="F18" s="18">
        <f t="shared" si="12"/>
        <v>0</v>
      </c>
      <c r="G18" s="90">
        <f>ESTIMATE!I106</f>
        <v>0</v>
      </c>
      <c r="H18" s="85" t="s">
        <v>5</v>
      </c>
      <c r="I18" s="109">
        <f>ESTIMATE!K106</f>
        <v>12622.119999999999</v>
      </c>
      <c r="J18" s="18">
        <f t="shared" si="6"/>
        <v>0</v>
      </c>
      <c r="K18" s="87">
        <f t="shared" si="7"/>
        <v>0</v>
      </c>
      <c r="L18" s="87">
        <f t="shared" si="8"/>
        <v>0</v>
      </c>
      <c r="M18" s="83" t="s">
        <v>15</v>
      </c>
      <c r="N18" s="188">
        <f t="shared" si="9"/>
        <v>-2623.3799999999992</v>
      </c>
      <c r="S18" s="88">
        <v>44466</v>
      </c>
      <c r="U18" s="152">
        <f t="shared" si="10"/>
        <v>-44466</v>
      </c>
      <c r="W18" s="88">
        <v>5.0500000000000007</v>
      </c>
      <c r="X18" s="152">
        <f t="shared" si="11"/>
        <v>-5.0500000000000007</v>
      </c>
    </row>
    <row r="19" spans="1:24" s="88" customFormat="1" ht="20.25" hidden="1" customHeight="1">
      <c r="A19" s="83" t="s">
        <v>457</v>
      </c>
      <c r="B19" s="89" t="s">
        <v>995</v>
      </c>
      <c r="C19" s="295"/>
      <c r="D19" s="296" t="s">
        <v>5</v>
      </c>
      <c r="E19" s="235">
        <v>9779.35</v>
      </c>
      <c r="F19" s="18">
        <f t="shared" si="12"/>
        <v>0</v>
      </c>
      <c r="G19" s="90">
        <f>ESTIMATE!I113</f>
        <v>0</v>
      </c>
      <c r="H19" s="85" t="s">
        <v>5</v>
      </c>
      <c r="I19" s="109">
        <f>ESTIMATE!K113</f>
        <v>12249.869999999999</v>
      </c>
      <c r="J19" s="18">
        <f t="shared" si="6"/>
        <v>0</v>
      </c>
      <c r="K19" s="87">
        <f t="shared" si="7"/>
        <v>0</v>
      </c>
      <c r="L19" s="87">
        <f t="shared" si="8"/>
        <v>0</v>
      </c>
      <c r="M19" s="83" t="s">
        <v>15</v>
      </c>
      <c r="N19" s="188">
        <f t="shared" si="9"/>
        <v>-2470.5199999999986</v>
      </c>
      <c r="S19" s="88">
        <v>53866</v>
      </c>
      <c r="U19" s="152">
        <f t="shared" si="10"/>
        <v>-53866</v>
      </c>
      <c r="W19" s="88">
        <v>6.2200000000000006</v>
      </c>
      <c r="X19" s="152">
        <f t="shared" si="11"/>
        <v>-6.2200000000000006</v>
      </c>
    </row>
    <row r="20" spans="1:24" s="88" customFormat="1" ht="20.25" hidden="1" customHeight="1">
      <c r="A20" s="83" t="s">
        <v>460</v>
      </c>
      <c r="B20" s="89" t="s">
        <v>996</v>
      </c>
      <c r="C20" s="295"/>
      <c r="D20" s="297" t="s">
        <v>5</v>
      </c>
      <c r="E20" s="235">
        <v>9629.25</v>
      </c>
      <c r="F20" s="18">
        <f t="shared" si="12"/>
        <v>0</v>
      </c>
      <c r="G20" s="90">
        <f>ESTIMATE!I121</f>
        <v>3.3499999999999996</v>
      </c>
      <c r="H20" s="91" t="s">
        <v>5</v>
      </c>
      <c r="I20" s="109">
        <f>ESTIMATE!K121</f>
        <v>11812.980000000001</v>
      </c>
      <c r="J20" s="18">
        <f t="shared" si="6"/>
        <v>39573</v>
      </c>
      <c r="K20" s="87">
        <f t="shared" si="7"/>
        <v>39573</v>
      </c>
      <c r="L20" s="87">
        <f t="shared" si="8"/>
        <v>0</v>
      </c>
      <c r="M20" s="83" t="s">
        <v>15</v>
      </c>
      <c r="N20" s="188">
        <f t="shared" si="9"/>
        <v>-2183.7300000000014</v>
      </c>
      <c r="P20" s="152" t="e">
        <f>SUM(F8:F69)+F58+F59+#REF!+F145+F149+F153+#REF!</f>
        <v>#REF!</v>
      </c>
      <c r="S20" s="88">
        <v>72944</v>
      </c>
      <c r="U20" s="152">
        <f t="shared" si="10"/>
        <v>-33371</v>
      </c>
      <c r="W20" s="88">
        <v>8.44</v>
      </c>
      <c r="X20" s="152">
        <f t="shared" si="11"/>
        <v>-5.09</v>
      </c>
    </row>
    <row r="21" spans="1:24" s="88" customFormat="1" ht="20.25" hidden="1" customHeight="1">
      <c r="A21" s="83" t="s">
        <v>461</v>
      </c>
      <c r="B21" s="89" t="s">
        <v>997</v>
      </c>
      <c r="C21" s="295"/>
      <c r="D21" s="296" t="s">
        <v>102</v>
      </c>
      <c r="E21" s="235">
        <v>1165.9099999999999</v>
      </c>
      <c r="F21" s="18">
        <f t="shared" si="12"/>
        <v>0</v>
      </c>
      <c r="G21" s="90">
        <f>ESTIMATE!I131</f>
        <v>69.19</v>
      </c>
      <c r="H21" s="85" t="s">
        <v>102</v>
      </c>
      <c r="I21" s="109">
        <f>ESTIMATE!K131</f>
        <v>1433.73</v>
      </c>
      <c r="J21" s="18">
        <f t="shared" si="6"/>
        <v>99200</v>
      </c>
      <c r="K21" s="87">
        <f t="shared" si="7"/>
        <v>99200</v>
      </c>
      <c r="L21" s="87">
        <f t="shared" si="8"/>
        <v>0</v>
      </c>
      <c r="M21" s="83" t="s">
        <v>15</v>
      </c>
      <c r="N21" s="188">
        <f t="shared" si="9"/>
        <v>-267.82000000000016</v>
      </c>
      <c r="S21" s="88">
        <v>121079</v>
      </c>
      <c r="U21" s="152">
        <f t="shared" si="10"/>
        <v>-21879</v>
      </c>
      <c r="W21" s="88">
        <v>117.23</v>
      </c>
      <c r="X21" s="152">
        <f t="shared" si="11"/>
        <v>-48.040000000000006</v>
      </c>
    </row>
    <row r="22" spans="1:24" s="88" customFormat="1" ht="20.25" hidden="1" customHeight="1">
      <c r="A22" s="83" t="s">
        <v>462</v>
      </c>
      <c r="B22" s="89" t="s">
        <v>998</v>
      </c>
      <c r="C22" s="295"/>
      <c r="D22" s="296" t="s">
        <v>102</v>
      </c>
      <c r="E22" s="235">
        <v>1301.49</v>
      </c>
      <c r="F22" s="18">
        <f t="shared" si="12"/>
        <v>0</v>
      </c>
      <c r="G22" s="90">
        <f>ESTIMATE!I127</f>
        <v>0</v>
      </c>
      <c r="H22" s="85" t="s">
        <v>102</v>
      </c>
      <c r="I22" s="109">
        <f>ESTIMATE!K127</f>
        <v>1416.71</v>
      </c>
      <c r="J22" s="18">
        <f t="shared" si="6"/>
        <v>0</v>
      </c>
      <c r="K22" s="87">
        <f t="shared" si="7"/>
        <v>0</v>
      </c>
      <c r="L22" s="87">
        <f t="shared" si="8"/>
        <v>0</v>
      </c>
      <c r="M22" s="83" t="s">
        <v>15</v>
      </c>
      <c r="N22" s="188">
        <f t="shared" si="9"/>
        <v>-115.22000000000003</v>
      </c>
      <c r="S22" s="88">
        <v>9665</v>
      </c>
      <c r="U22" s="152">
        <f t="shared" si="10"/>
        <v>-9665</v>
      </c>
      <c r="W22" s="88">
        <v>8.41</v>
      </c>
      <c r="X22" s="152">
        <f t="shared" si="11"/>
        <v>-8.41</v>
      </c>
    </row>
    <row r="23" spans="1:24" s="88" customFormat="1" ht="20.25" hidden="1" customHeight="1">
      <c r="A23" s="83" t="s">
        <v>462</v>
      </c>
      <c r="B23" s="89" t="s">
        <v>999</v>
      </c>
      <c r="C23" s="185"/>
      <c r="D23" s="195"/>
      <c r="E23" s="109"/>
      <c r="F23" s="18"/>
      <c r="G23" s="90"/>
      <c r="H23" s="85"/>
      <c r="I23" s="109"/>
      <c r="J23" s="18">
        <f t="shared" ref="J23" si="14">ROUND(G23*I23,0)</f>
        <v>0</v>
      </c>
      <c r="K23" s="87">
        <f t="shared" si="7"/>
        <v>0</v>
      </c>
      <c r="L23" s="87">
        <f t="shared" si="8"/>
        <v>0</v>
      </c>
      <c r="M23" s="83" t="s">
        <v>15</v>
      </c>
      <c r="N23" s="188">
        <f t="shared" si="9"/>
        <v>0</v>
      </c>
      <c r="S23" s="88">
        <v>0</v>
      </c>
      <c r="U23" s="152">
        <f t="shared" si="10"/>
        <v>0</v>
      </c>
      <c r="X23" s="152">
        <f t="shared" si="11"/>
        <v>0</v>
      </c>
    </row>
    <row r="24" spans="1:24" s="88" customFormat="1" ht="20.25" hidden="1" customHeight="1">
      <c r="A24" s="83" t="s">
        <v>462</v>
      </c>
      <c r="B24" s="89" t="s">
        <v>1003</v>
      </c>
      <c r="C24" s="185"/>
      <c r="D24" s="195"/>
      <c r="E24" s="109"/>
      <c r="F24" s="18"/>
      <c r="G24" s="90">
        <f>ESTIMATE!I136</f>
        <v>0</v>
      </c>
      <c r="H24" s="85" t="s">
        <v>102</v>
      </c>
      <c r="I24" s="109">
        <f>ESTIMATE!K136</f>
        <v>1107.1399999999999</v>
      </c>
      <c r="J24" s="18">
        <f t="shared" ref="J24" si="15">ROUND(G24*I24,0)</f>
        <v>0</v>
      </c>
      <c r="K24" s="87">
        <f t="shared" si="7"/>
        <v>0</v>
      </c>
      <c r="L24" s="87">
        <f t="shared" si="8"/>
        <v>0</v>
      </c>
      <c r="M24" s="83" t="s">
        <v>15</v>
      </c>
      <c r="N24" s="188">
        <f t="shared" si="9"/>
        <v>-1107.1399999999999</v>
      </c>
      <c r="S24" s="88">
        <v>0</v>
      </c>
      <c r="U24" s="152">
        <f t="shared" ref="U24" si="16">J24-S24</f>
        <v>0</v>
      </c>
      <c r="X24" s="152">
        <f t="shared" ref="X24" si="17">G24-W24</f>
        <v>0</v>
      </c>
    </row>
    <row r="25" spans="1:24" s="88" customFormat="1" ht="20.25" hidden="1" customHeight="1">
      <c r="A25" s="83" t="s">
        <v>461</v>
      </c>
      <c r="B25" s="89" t="s">
        <v>1039</v>
      </c>
      <c r="C25" s="293"/>
      <c r="D25" s="247"/>
      <c r="E25" s="235"/>
      <c r="F25" s="234"/>
      <c r="G25" s="90">
        <f>ESTIMATE!I142</f>
        <v>0</v>
      </c>
      <c r="H25" s="85" t="s">
        <v>102</v>
      </c>
      <c r="I25" s="109">
        <f>ESTIMATE!K142</f>
        <v>624.56000000000006</v>
      </c>
      <c r="J25" s="18">
        <f t="shared" ref="J25" si="18">ROUND(G25*I25,0)</f>
        <v>0</v>
      </c>
      <c r="K25" s="87">
        <f t="shared" si="7"/>
        <v>0</v>
      </c>
      <c r="L25" s="87">
        <f t="shared" si="8"/>
        <v>0</v>
      </c>
      <c r="M25" s="83" t="s">
        <v>15</v>
      </c>
      <c r="N25" s="188">
        <f t="shared" si="9"/>
        <v>-624.56000000000006</v>
      </c>
      <c r="S25" s="88">
        <v>0</v>
      </c>
      <c r="U25" s="152">
        <f t="shared" ref="U25" si="19">J25-S25</f>
        <v>0</v>
      </c>
      <c r="X25" s="152">
        <f t="shared" ref="X25" si="20">G25-W25</f>
        <v>0</v>
      </c>
    </row>
    <row r="26" spans="1:24" s="88" customFormat="1" ht="20.25" hidden="1" customHeight="1">
      <c r="A26" s="83" t="s">
        <v>463</v>
      </c>
      <c r="B26" s="89" t="s">
        <v>1240</v>
      </c>
      <c r="C26" s="197"/>
      <c r="D26" s="195"/>
      <c r="E26" s="109"/>
      <c r="F26" s="18"/>
      <c r="G26" s="90">
        <f>ESTIMATE!I153</f>
        <v>0</v>
      </c>
      <c r="H26" s="85" t="s">
        <v>102</v>
      </c>
      <c r="I26" s="109">
        <f>ESTIMATE!K153</f>
        <v>450.89</v>
      </c>
      <c r="J26" s="18">
        <f t="shared" ref="J26" si="21">ROUND(G26*I26,0)</f>
        <v>0</v>
      </c>
      <c r="K26" s="87">
        <f t="shared" si="7"/>
        <v>0</v>
      </c>
      <c r="L26" s="87">
        <f t="shared" si="8"/>
        <v>0</v>
      </c>
      <c r="M26" s="83" t="s">
        <v>15</v>
      </c>
      <c r="N26" s="188">
        <f t="shared" si="9"/>
        <v>-450.89</v>
      </c>
      <c r="S26" s="88">
        <v>0</v>
      </c>
      <c r="U26" s="152">
        <f t="shared" ref="U26" si="22">J26-S26</f>
        <v>0</v>
      </c>
      <c r="X26" s="152">
        <f t="shared" ref="X26" si="23">G26-W26</f>
        <v>0</v>
      </c>
    </row>
    <row r="27" spans="1:24" s="88" customFormat="1" ht="20.25" hidden="1" customHeight="1">
      <c r="A27" s="83" t="s">
        <v>463</v>
      </c>
      <c r="B27" s="89" t="s">
        <v>1000</v>
      </c>
      <c r="C27" s="295"/>
      <c r="D27" s="296" t="s">
        <v>5</v>
      </c>
      <c r="E27" s="235">
        <v>10165.74</v>
      </c>
      <c r="F27" s="18">
        <f t="shared" ref="F27:F28" si="24">ROUND(C27*E27,0)</f>
        <v>0</v>
      </c>
      <c r="G27" s="90">
        <f>ESTIMATE!I160</f>
        <v>0.6</v>
      </c>
      <c r="H27" s="85" t="s">
        <v>5</v>
      </c>
      <c r="I27" s="109">
        <f>ESTIMATE!K160</f>
        <v>12811.849999999999</v>
      </c>
      <c r="J27" s="18">
        <f t="shared" ref="J27" si="25">ROUND(G27*I27,0)</f>
        <v>7687</v>
      </c>
      <c r="K27" s="87">
        <f t="shared" si="7"/>
        <v>7687</v>
      </c>
      <c r="L27" s="87">
        <f t="shared" si="8"/>
        <v>0</v>
      </c>
      <c r="M27" s="83" t="s">
        <v>15</v>
      </c>
      <c r="N27" s="188">
        <f t="shared" si="9"/>
        <v>-2646.1099999999988</v>
      </c>
      <c r="S27" s="88">
        <v>6104</v>
      </c>
      <c r="U27" s="152">
        <f t="shared" si="10"/>
        <v>1583</v>
      </c>
      <c r="W27" s="88">
        <v>0.68</v>
      </c>
      <c r="X27" s="152">
        <f t="shared" si="11"/>
        <v>-8.0000000000000071E-2</v>
      </c>
    </row>
    <row r="28" spans="1:24" s="88" customFormat="1" ht="20.25" hidden="1" customHeight="1">
      <c r="A28" s="83" t="s">
        <v>464</v>
      </c>
      <c r="B28" s="89" t="s">
        <v>1001</v>
      </c>
      <c r="C28" s="295"/>
      <c r="D28" s="296" t="s">
        <v>271</v>
      </c>
      <c r="E28" s="235">
        <v>710.37</v>
      </c>
      <c r="F28" s="18">
        <f t="shared" si="24"/>
        <v>0</v>
      </c>
      <c r="G28" s="90">
        <f>ESTIMATE!I165</f>
        <v>9.6</v>
      </c>
      <c r="H28" s="85" t="s">
        <v>271</v>
      </c>
      <c r="I28" s="109">
        <f>ESTIMATE!K165</f>
        <v>839.82</v>
      </c>
      <c r="J28" s="18">
        <f t="shared" ref="J28:J34" si="26">ROUND(G28*I28,0)</f>
        <v>8062</v>
      </c>
      <c r="K28" s="87">
        <f t="shared" si="7"/>
        <v>8062</v>
      </c>
      <c r="L28" s="87">
        <f t="shared" si="8"/>
        <v>0</v>
      </c>
      <c r="M28" s="83" t="s">
        <v>15</v>
      </c>
      <c r="N28" s="188">
        <f t="shared" si="9"/>
        <v>-129.45000000000005</v>
      </c>
      <c r="S28" s="88">
        <v>5900</v>
      </c>
      <c r="U28" s="152">
        <f t="shared" si="10"/>
        <v>2162</v>
      </c>
      <c r="W28" s="88">
        <v>9</v>
      </c>
      <c r="X28" s="152">
        <f t="shared" si="11"/>
        <v>0.59999999999999964</v>
      </c>
    </row>
    <row r="29" spans="1:24" s="88" customFormat="1" ht="20.25" hidden="1" customHeight="1">
      <c r="A29" s="83" t="s">
        <v>466</v>
      </c>
      <c r="B29" s="89" t="s">
        <v>1241</v>
      </c>
      <c r="C29" s="200"/>
      <c r="D29" s="196"/>
      <c r="E29" s="12"/>
      <c r="F29" s="18"/>
      <c r="G29" s="90">
        <f>ESTIMATE!I169</f>
        <v>69.19</v>
      </c>
      <c r="H29" s="92" t="s">
        <v>102</v>
      </c>
      <c r="I29" s="109">
        <f>ESTIMATE!K169</f>
        <v>376.15</v>
      </c>
      <c r="J29" s="18">
        <f t="shared" si="26"/>
        <v>26026</v>
      </c>
      <c r="K29" s="87">
        <f t="shared" si="7"/>
        <v>26026</v>
      </c>
      <c r="L29" s="87">
        <f t="shared" si="8"/>
        <v>0</v>
      </c>
      <c r="M29" s="83" t="s">
        <v>15</v>
      </c>
      <c r="N29" s="188">
        <f t="shared" si="9"/>
        <v>-376.15</v>
      </c>
      <c r="S29" s="88">
        <v>43353</v>
      </c>
      <c r="U29" s="152">
        <f t="shared" ref="U29" si="27">J29-S29</f>
        <v>-17327</v>
      </c>
      <c r="W29" s="88">
        <v>117.23</v>
      </c>
      <c r="X29" s="152">
        <f t="shared" ref="X29" si="28">G29-W29</f>
        <v>-48.040000000000006</v>
      </c>
    </row>
    <row r="30" spans="1:24" s="88" customFormat="1" ht="20.25" hidden="1" customHeight="1">
      <c r="A30" s="83" t="s">
        <v>464</v>
      </c>
      <c r="B30" s="89" t="s">
        <v>1242</v>
      </c>
      <c r="C30" s="200"/>
      <c r="D30" s="248"/>
      <c r="E30" s="12"/>
      <c r="F30" s="234"/>
      <c r="G30" s="90">
        <f>ESTIMATE!I175</f>
        <v>0</v>
      </c>
      <c r="H30" s="92" t="s">
        <v>102</v>
      </c>
      <c r="I30" s="109">
        <f>ESTIMATE!K175</f>
        <v>428.88</v>
      </c>
      <c r="J30" s="18">
        <f t="shared" ref="J30" si="29">ROUND(G30*I30,0)</f>
        <v>0</v>
      </c>
      <c r="K30" s="87">
        <f t="shared" si="7"/>
        <v>0</v>
      </c>
      <c r="L30" s="87">
        <f t="shared" si="8"/>
        <v>0</v>
      </c>
      <c r="M30" s="83" t="s">
        <v>15</v>
      </c>
      <c r="N30" s="188">
        <f t="shared" si="9"/>
        <v>-428.88</v>
      </c>
      <c r="S30" s="88">
        <v>43353</v>
      </c>
      <c r="U30" s="152">
        <f t="shared" ref="U30" si="30">J30-S30</f>
        <v>-43353</v>
      </c>
      <c r="W30" s="88">
        <v>117.23</v>
      </c>
      <c r="X30" s="152">
        <f t="shared" ref="X30" si="31">G30-W30</f>
        <v>-117.23</v>
      </c>
    </row>
    <row r="31" spans="1:24" s="88" customFormat="1" ht="20.25" hidden="1" customHeight="1">
      <c r="A31" s="83" t="s">
        <v>461</v>
      </c>
      <c r="B31" s="89" t="s">
        <v>1002</v>
      </c>
      <c r="C31" s="151"/>
      <c r="D31" s="195"/>
      <c r="E31" s="15"/>
      <c r="F31" s="18"/>
      <c r="G31" s="90">
        <f>ESTIMATE!I324</f>
        <v>0</v>
      </c>
      <c r="H31" s="85" t="s">
        <v>5</v>
      </c>
      <c r="I31" s="109">
        <f>ESTIMATE!K324</f>
        <v>6819.9000000000005</v>
      </c>
      <c r="J31" s="18">
        <f t="shared" si="6"/>
        <v>0</v>
      </c>
      <c r="K31" s="87">
        <f t="shared" si="7"/>
        <v>0</v>
      </c>
      <c r="L31" s="87">
        <f t="shared" si="8"/>
        <v>0</v>
      </c>
      <c r="M31" s="83" t="s">
        <v>15</v>
      </c>
      <c r="N31" s="188">
        <f t="shared" si="9"/>
        <v>-6819.9000000000005</v>
      </c>
      <c r="S31" s="88">
        <v>0</v>
      </c>
      <c r="U31" s="152">
        <f t="shared" si="10"/>
        <v>0</v>
      </c>
      <c r="W31" s="88">
        <v>0</v>
      </c>
      <c r="X31" s="152">
        <f t="shared" si="11"/>
        <v>0</v>
      </c>
    </row>
    <row r="32" spans="1:24" s="88" customFormat="1" ht="20.25" hidden="1" customHeight="1">
      <c r="A32" s="83" t="s">
        <v>466</v>
      </c>
      <c r="B32" s="89" t="s">
        <v>986</v>
      </c>
      <c r="C32" s="295"/>
      <c r="D32" s="296" t="s">
        <v>5</v>
      </c>
      <c r="E32" s="235">
        <v>3707.4300000000003</v>
      </c>
      <c r="F32" s="18">
        <f t="shared" ref="F32:F33" si="32">ROUND(C32*E32,0)</f>
        <v>0</v>
      </c>
      <c r="G32" s="90">
        <f>ESTIMATE!I185</f>
        <v>0</v>
      </c>
      <c r="H32" s="85" t="s">
        <v>5</v>
      </c>
      <c r="I32" s="109">
        <f>ESTIMATE!K185</f>
        <v>4055.51</v>
      </c>
      <c r="J32" s="18">
        <f t="shared" si="6"/>
        <v>0</v>
      </c>
      <c r="K32" s="87">
        <f t="shared" si="7"/>
        <v>0</v>
      </c>
      <c r="L32" s="87">
        <f t="shared" si="8"/>
        <v>0</v>
      </c>
      <c r="M32" s="83" t="s">
        <v>15</v>
      </c>
      <c r="N32" s="188">
        <f t="shared" si="9"/>
        <v>-348.07999999999993</v>
      </c>
      <c r="S32" s="88">
        <v>109300</v>
      </c>
      <c r="U32" s="152">
        <f t="shared" ref="U32" si="33">J32-S32</f>
        <v>-109300</v>
      </c>
      <c r="W32" s="88">
        <v>21.22</v>
      </c>
      <c r="X32" s="152">
        <f t="shared" ref="X32" si="34">G32-W32</f>
        <v>-21.22</v>
      </c>
    </row>
    <row r="33" spans="1:24" s="88" customFormat="1" ht="20.25" hidden="1" customHeight="1">
      <c r="A33" s="83" t="s">
        <v>467</v>
      </c>
      <c r="B33" s="89" t="s">
        <v>781</v>
      </c>
      <c r="C33" s="295"/>
      <c r="D33" s="296" t="s">
        <v>5</v>
      </c>
      <c r="E33" s="235">
        <v>6171.4600000000009</v>
      </c>
      <c r="F33" s="18">
        <f t="shared" si="32"/>
        <v>0</v>
      </c>
      <c r="G33" s="90">
        <f>ESTIMATE!I212</f>
        <v>19.079999999999998</v>
      </c>
      <c r="H33" s="85" t="s">
        <v>5</v>
      </c>
      <c r="I33" s="109">
        <f>ESTIMATE!K212</f>
        <v>8224.67</v>
      </c>
      <c r="J33" s="18">
        <f t="shared" si="26"/>
        <v>156927</v>
      </c>
      <c r="K33" s="87">
        <f t="shared" si="7"/>
        <v>156927</v>
      </c>
      <c r="L33" s="87">
        <f t="shared" si="8"/>
        <v>0</v>
      </c>
      <c r="M33" s="83" t="s">
        <v>15</v>
      </c>
      <c r="N33" s="188">
        <f t="shared" si="9"/>
        <v>-2053.2099999999991</v>
      </c>
      <c r="S33" s="88">
        <v>109300</v>
      </c>
      <c r="U33" s="152">
        <f t="shared" si="10"/>
        <v>47627</v>
      </c>
      <c r="W33" s="88">
        <v>21.22</v>
      </c>
      <c r="X33" s="152">
        <f t="shared" si="11"/>
        <v>-2.1400000000000006</v>
      </c>
    </row>
    <row r="34" spans="1:24" s="88" customFormat="1" ht="20.25" hidden="1" customHeight="1">
      <c r="A34" s="83" t="s">
        <v>468</v>
      </c>
      <c r="B34" s="89" t="s">
        <v>782</v>
      </c>
      <c r="C34" s="200"/>
      <c r="D34" s="247"/>
      <c r="E34" s="12"/>
      <c r="F34" s="234"/>
      <c r="G34" s="90"/>
      <c r="H34" s="85"/>
      <c r="I34" s="109"/>
      <c r="J34" s="18">
        <f t="shared" si="26"/>
        <v>0</v>
      </c>
      <c r="K34" s="87">
        <f t="shared" si="7"/>
        <v>0</v>
      </c>
      <c r="L34" s="87">
        <f t="shared" si="8"/>
        <v>0</v>
      </c>
      <c r="M34" s="83" t="s">
        <v>15</v>
      </c>
      <c r="N34" s="188">
        <f t="shared" si="9"/>
        <v>0</v>
      </c>
      <c r="S34" s="88">
        <v>99325</v>
      </c>
      <c r="U34" s="152">
        <f t="shared" ref="U34" si="35">J34-S34</f>
        <v>-99325</v>
      </c>
      <c r="W34" s="88">
        <v>17.780000000000005</v>
      </c>
      <c r="X34" s="152">
        <f t="shared" ref="X34" si="36">G34-W34</f>
        <v>-17.780000000000005</v>
      </c>
    </row>
    <row r="35" spans="1:24" s="88" customFormat="1" ht="20.25" hidden="1" customHeight="1">
      <c r="A35" s="83" t="s">
        <v>468</v>
      </c>
      <c r="B35" s="89" t="s">
        <v>782</v>
      </c>
      <c r="C35" s="295"/>
      <c r="D35" s="296" t="s">
        <v>5</v>
      </c>
      <c r="E35" s="235">
        <v>6215.6200000000008</v>
      </c>
      <c r="F35" s="18">
        <f t="shared" ref="F35" si="37">ROUND(C35*E35,0)</f>
        <v>0</v>
      </c>
      <c r="G35" s="90">
        <f>ESTIMATE!I220</f>
        <v>0</v>
      </c>
      <c r="H35" s="85" t="s">
        <v>5</v>
      </c>
      <c r="I35" s="109">
        <f>ESTIMATE!K220</f>
        <v>8282.18</v>
      </c>
      <c r="J35" s="18">
        <f t="shared" ref="J35" si="38">ROUND(G35*I35,0)</f>
        <v>0</v>
      </c>
      <c r="K35" s="87">
        <f t="shared" si="7"/>
        <v>0</v>
      </c>
      <c r="L35" s="87">
        <f t="shared" si="8"/>
        <v>0</v>
      </c>
      <c r="M35" s="83" t="s">
        <v>15</v>
      </c>
      <c r="N35" s="188">
        <f t="shared" si="9"/>
        <v>-2066.5599999999995</v>
      </c>
      <c r="S35" s="88">
        <v>99325</v>
      </c>
      <c r="U35" s="152">
        <f t="shared" si="10"/>
        <v>-99325</v>
      </c>
      <c r="W35" s="88">
        <v>17.780000000000005</v>
      </c>
      <c r="X35" s="152">
        <f t="shared" si="11"/>
        <v>-17.780000000000005</v>
      </c>
    </row>
    <row r="36" spans="1:24" s="88" customFormat="1" ht="25.5" hidden="1">
      <c r="A36" s="83" t="s">
        <v>469</v>
      </c>
      <c r="B36" s="89" t="s">
        <v>692</v>
      </c>
      <c r="C36" s="295"/>
      <c r="D36" s="296" t="s">
        <v>102</v>
      </c>
      <c r="E36" s="235">
        <v>793.65</v>
      </c>
      <c r="F36" s="18">
        <f>ROUND(C36*E36/1,0)</f>
        <v>0</v>
      </c>
      <c r="G36" s="90">
        <f>ESTIMATE!I226</f>
        <v>0</v>
      </c>
      <c r="H36" s="85" t="s">
        <v>102</v>
      </c>
      <c r="I36" s="109">
        <f>ESTIMATE!K226</f>
        <v>926.11</v>
      </c>
      <c r="J36" s="18">
        <f>ROUND(G36*I36/1,0)</f>
        <v>0</v>
      </c>
      <c r="K36" s="87">
        <f t="shared" si="7"/>
        <v>0</v>
      </c>
      <c r="L36" s="87">
        <f t="shared" si="8"/>
        <v>0</v>
      </c>
      <c r="M36" s="83" t="s">
        <v>15</v>
      </c>
      <c r="N36" s="188">
        <f t="shared" si="9"/>
        <v>-132.46000000000004</v>
      </c>
      <c r="S36" s="88">
        <v>36813</v>
      </c>
      <c r="U36" s="152">
        <f t="shared" si="10"/>
        <v>-36813</v>
      </c>
      <c r="W36" s="88">
        <v>52.63</v>
      </c>
      <c r="X36" s="152">
        <f t="shared" si="11"/>
        <v>-52.63</v>
      </c>
    </row>
    <row r="37" spans="1:24" s="88" customFormat="1" hidden="1">
      <c r="A37" s="83" t="s">
        <v>471</v>
      </c>
      <c r="B37" s="89" t="s">
        <v>989</v>
      </c>
      <c r="C37" s="200"/>
      <c r="D37" s="195"/>
      <c r="E37" s="12"/>
      <c r="F37" s="18"/>
      <c r="G37" s="90">
        <f>ESTIMATE!I234</f>
        <v>0</v>
      </c>
      <c r="H37" s="85" t="s">
        <v>102</v>
      </c>
      <c r="I37" s="109">
        <f>ESTIMATE!K234</f>
        <v>6487.56</v>
      </c>
      <c r="J37" s="18">
        <f>ROUND(G37*I37/1,0)</f>
        <v>0</v>
      </c>
      <c r="K37" s="87">
        <f t="shared" si="7"/>
        <v>0</v>
      </c>
      <c r="L37" s="87">
        <f t="shared" si="8"/>
        <v>0</v>
      </c>
      <c r="M37" s="83" t="s">
        <v>15</v>
      </c>
      <c r="N37" s="188">
        <f t="shared" si="9"/>
        <v>-6487.56</v>
      </c>
      <c r="U37" s="152"/>
      <c r="X37" s="152"/>
    </row>
    <row r="38" spans="1:24" s="88" customFormat="1" hidden="1">
      <c r="A38" s="83" t="s">
        <v>473</v>
      </c>
      <c r="B38" s="89" t="s">
        <v>981</v>
      </c>
      <c r="C38" s="197"/>
      <c r="D38" s="195"/>
      <c r="E38" s="198"/>
      <c r="F38" s="18"/>
      <c r="G38" s="90">
        <f>ESTIMATE!I239</f>
        <v>0</v>
      </c>
      <c r="H38" s="85" t="s">
        <v>102</v>
      </c>
      <c r="I38" s="109">
        <f>ESTIMATE!K239</f>
        <v>2479.09</v>
      </c>
      <c r="J38" s="18">
        <f>ROUND(G38*I38/1,0)</f>
        <v>0</v>
      </c>
      <c r="K38" s="87">
        <f t="shared" si="7"/>
        <v>0</v>
      </c>
      <c r="L38" s="87">
        <f t="shared" si="8"/>
        <v>0</v>
      </c>
      <c r="M38" s="83" t="s">
        <v>15</v>
      </c>
      <c r="N38" s="188">
        <f t="shared" si="9"/>
        <v>-2479.09</v>
      </c>
      <c r="U38" s="152"/>
      <c r="X38" s="152"/>
    </row>
    <row r="39" spans="1:24" s="88" customFormat="1" ht="20.25" hidden="1" customHeight="1">
      <c r="A39" s="83" t="s">
        <v>471</v>
      </c>
      <c r="B39" s="89" t="s">
        <v>470</v>
      </c>
      <c r="C39" s="295"/>
      <c r="D39" s="296" t="s">
        <v>102</v>
      </c>
      <c r="E39" s="235">
        <v>308.82</v>
      </c>
      <c r="F39" s="18">
        <f t="shared" ref="F39" si="39">ROUND(C39*E39,0)</f>
        <v>0</v>
      </c>
      <c r="G39" s="90">
        <f>ESTIMATE!I256</f>
        <v>79.63</v>
      </c>
      <c r="H39" s="85" t="s">
        <v>102</v>
      </c>
      <c r="I39" s="109">
        <f>ESTIMATE!K256</f>
        <v>378.77</v>
      </c>
      <c r="J39" s="18">
        <f t="shared" ref="J39:J43" si="40">ROUND(G39*I39,0)</f>
        <v>30161</v>
      </c>
      <c r="K39" s="87">
        <f t="shared" si="7"/>
        <v>30161</v>
      </c>
      <c r="L39" s="87">
        <f t="shared" si="8"/>
        <v>0</v>
      </c>
      <c r="M39" s="83" t="s">
        <v>15</v>
      </c>
      <c r="N39" s="188">
        <f t="shared" si="9"/>
        <v>-69.949999999999989</v>
      </c>
      <c r="S39" s="88">
        <v>30479</v>
      </c>
      <c r="U39" s="152">
        <f t="shared" si="10"/>
        <v>-318</v>
      </c>
      <c r="W39" s="88">
        <v>118.44</v>
      </c>
      <c r="X39" s="152">
        <f t="shared" si="11"/>
        <v>-38.81</v>
      </c>
    </row>
    <row r="40" spans="1:24" s="88" customFormat="1" ht="20.25" hidden="1" customHeight="1">
      <c r="A40" s="83" t="s">
        <v>472</v>
      </c>
      <c r="B40" s="89" t="s">
        <v>491</v>
      </c>
      <c r="C40" s="185"/>
      <c r="D40" s="195"/>
      <c r="E40" s="109"/>
      <c r="F40" s="18"/>
      <c r="G40" s="90">
        <f>ESTIMATE!I272</f>
        <v>0</v>
      </c>
      <c r="H40" s="85" t="s">
        <v>102</v>
      </c>
      <c r="I40" s="109">
        <f>ESTIMATE!K272</f>
        <v>311.27</v>
      </c>
      <c r="J40" s="18">
        <f t="shared" si="40"/>
        <v>0</v>
      </c>
      <c r="K40" s="87">
        <f t="shared" si="7"/>
        <v>0</v>
      </c>
      <c r="L40" s="87">
        <f t="shared" si="8"/>
        <v>0</v>
      </c>
      <c r="M40" s="83" t="s">
        <v>15</v>
      </c>
      <c r="N40" s="188">
        <f t="shared" si="9"/>
        <v>-311.27</v>
      </c>
      <c r="S40" s="88">
        <v>0</v>
      </c>
      <c r="U40" s="152">
        <f t="shared" si="10"/>
        <v>0</v>
      </c>
      <c r="W40" s="88">
        <v>0</v>
      </c>
      <c r="X40" s="152">
        <f t="shared" si="11"/>
        <v>0</v>
      </c>
    </row>
    <row r="41" spans="1:24" s="88" customFormat="1" ht="20.25" hidden="1" customHeight="1">
      <c r="A41" s="83" t="s">
        <v>473</v>
      </c>
      <c r="B41" s="89" t="s">
        <v>616</v>
      </c>
      <c r="C41" s="151"/>
      <c r="D41" s="195"/>
      <c r="E41" s="109"/>
      <c r="F41" s="18"/>
      <c r="G41" s="90">
        <f>ESTIMATE!I277</f>
        <v>0</v>
      </c>
      <c r="H41" s="85" t="s">
        <v>102</v>
      </c>
      <c r="I41" s="109">
        <f>ESTIMATE!K277</f>
        <v>325.66000000000003</v>
      </c>
      <c r="J41" s="18">
        <f t="shared" ref="J41" si="41">ROUND(G41*I41,0)</f>
        <v>0</v>
      </c>
      <c r="K41" s="87">
        <f t="shared" si="7"/>
        <v>0</v>
      </c>
      <c r="L41" s="87">
        <f t="shared" si="8"/>
        <v>0</v>
      </c>
      <c r="M41" s="83" t="s">
        <v>15</v>
      </c>
      <c r="N41" s="188">
        <f t="shared" si="9"/>
        <v>-325.66000000000003</v>
      </c>
      <c r="S41" s="88">
        <v>0</v>
      </c>
      <c r="U41" s="152">
        <f>J41-S41</f>
        <v>0</v>
      </c>
      <c r="W41" s="88">
        <v>0</v>
      </c>
      <c r="X41" s="152">
        <f>G41-W41</f>
        <v>0</v>
      </c>
    </row>
    <row r="42" spans="1:24" s="88" customFormat="1" ht="20.25" hidden="1" customHeight="1">
      <c r="A42" s="83" t="s">
        <v>474</v>
      </c>
      <c r="B42" s="89" t="s">
        <v>783</v>
      </c>
      <c r="C42" s="295"/>
      <c r="D42" s="296" t="s">
        <v>102</v>
      </c>
      <c r="E42" s="235">
        <v>374.07</v>
      </c>
      <c r="F42" s="18">
        <f t="shared" ref="F42:F45" si="42">ROUND(C42*E42,0)</f>
        <v>0</v>
      </c>
      <c r="G42" s="90">
        <f>ESTIMATE!I290</f>
        <v>100.18</v>
      </c>
      <c r="H42" s="85" t="s">
        <v>102</v>
      </c>
      <c r="I42" s="109">
        <f>ESTIMATE!K290</f>
        <v>473.87</v>
      </c>
      <c r="J42" s="18">
        <f t="shared" ref="J42" si="43">ROUND(G42*I42,0)</f>
        <v>47472</v>
      </c>
      <c r="K42" s="87">
        <f t="shared" si="7"/>
        <v>47472</v>
      </c>
      <c r="L42" s="87">
        <f t="shared" si="8"/>
        <v>0</v>
      </c>
      <c r="M42" s="83" t="s">
        <v>15</v>
      </c>
      <c r="N42" s="188">
        <f t="shared" si="9"/>
        <v>-99.800000000000011</v>
      </c>
      <c r="S42" s="88">
        <v>57741</v>
      </c>
      <c r="U42" s="152">
        <f t="shared" si="10"/>
        <v>-10269</v>
      </c>
      <c r="W42" s="88">
        <v>242.58999999999997</v>
      </c>
      <c r="X42" s="152">
        <f t="shared" si="11"/>
        <v>-142.40999999999997</v>
      </c>
    </row>
    <row r="43" spans="1:24" s="88" customFormat="1" ht="20.25" hidden="1" customHeight="1">
      <c r="A43" s="83" t="s">
        <v>475</v>
      </c>
      <c r="B43" s="89" t="s">
        <v>529</v>
      </c>
      <c r="C43" s="295"/>
      <c r="D43" s="296" t="s">
        <v>102</v>
      </c>
      <c r="E43" s="235">
        <v>395.47</v>
      </c>
      <c r="F43" s="18">
        <f t="shared" si="42"/>
        <v>0</v>
      </c>
      <c r="G43" s="90">
        <f>ESTIMATE!I307</f>
        <v>119.98</v>
      </c>
      <c r="H43" s="85" t="s">
        <v>102</v>
      </c>
      <c r="I43" s="109">
        <f>ESTIMATE!K307</f>
        <v>485.1</v>
      </c>
      <c r="J43" s="18">
        <f t="shared" si="40"/>
        <v>58202</v>
      </c>
      <c r="K43" s="87">
        <f t="shared" si="7"/>
        <v>58202</v>
      </c>
      <c r="L43" s="87">
        <f t="shared" si="8"/>
        <v>0</v>
      </c>
      <c r="M43" s="83" t="s">
        <v>15</v>
      </c>
      <c r="N43" s="188">
        <f t="shared" si="9"/>
        <v>-89.63</v>
      </c>
      <c r="S43" s="88">
        <v>29292</v>
      </c>
      <c r="U43" s="152">
        <f t="shared" si="10"/>
        <v>28910</v>
      </c>
      <c r="W43" s="88">
        <v>116.91</v>
      </c>
      <c r="X43" s="152">
        <f t="shared" si="11"/>
        <v>3.0700000000000074</v>
      </c>
    </row>
    <row r="44" spans="1:24" s="88" customFormat="1" ht="20.25" hidden="1" customHeight="1">
      <c r="A44" s="83" t="s">
        <v>476</v>
      </c>
      <c r="B44" s="89" t="s">
        <v>493</v>
      </c>
      <c r="C44" s="295"/>
      <c r="D44" s="296" t="s">
        <v>102</v>
      </c>
      <c r="E44" s="235">
        <v>1023.97</v>
      </c>
      <c r="F44" s="18">
        <f t="shared" si="42"/>
        <v>0</v>
      </c>
      <c r="G44" s="90">
        <f>ESTIMATE!I333</f>
        <v>50.230000000000004</v>
      </c>
      <c r="H44" s="85" t="s">
        <v>102</v>
      </c>
      <c r="I44" s="109">
        <f>ESTIMATE!K333</f>
        <v>1238.02</v>
      </c>
      <c r="J44" s="18">
        <f t="shared" ref="J44:J62" si="44">ROUND(G44*I44,0)</f>
        <v>62186</v>
      </c>
      <c r="K44" s="87">
        <f t="shared" si="7"/>
        <v>62186</v>
      </c>
      <c r="L44" s="87">
        <f t="shared" si="8"/>
        <v>0</v>
      </c>
      <c r="M44" s="83" t="s">
        <v>15</v>
      </c>
      <c r="N44" s="188">
        <f t="shared" si="9"/>
        <v>-214.04999999999995</v>
      </c>
      <c r="S44" s="88">
        <v>94056</v>
      </c>
      <c r="U44" s="152">
        <f t="shared" si="10"/>
        <v>-31870</v>
      </c>
      <c r="W44" s="88">
        <v>96.46</v>
      </c>
      <c r="X44" s="152">
        <f t="shared" si="11"/>
        <v>-46.22999999999999</v>
      </c>
    </row>
    <row r="45" spans="1:24" s="88" customFormat="1" ht="20.25" hidden="1" customHeight="1">
      <c r="A45" s="83" t="s">
        <v>477</v>
      </c>
      <c r="B45" s="89" t="s">
        <v>1243</v>
      </c>
      <c r="C45" s="295"/>
      <c r="D45" s="296" t="s">
        <v>102</v>
      </c>
      <c r="E45" s="235">
        <v>1016.56</v>
      </c>
      <c r="F45" s="18">
        <f t="shared" si="42"/>
        <v>0</v>
      </c>
      <c r="G45" s="90">
        <f>ESTIMATE!I346</f>
        <v>5.2499999999999991</v>
      </c>
      <c r="H45" s="85" t="s">
        <v>102</v>
      </c>
      <c r="I45" s="109">
        <f>ESTIMATE!K346</f>
        <v>1233.1500000000001</v>
      </c>
      <c r="J45" s="18">
        <f t="shared" ref="J45:J52" si="45">ROUND(G45*I45,0)</f>
        <v>6474</v>
      </c>
      <c r="K45" s="87">
        <f t="shared" si="7"/>
        <v>6474</v>
      </c>
      <c r="L45" s="87">
        <f t="shared" si="8"/>
        <v>0</v>
      </c>
      <c r="M45" s="83" t="s">
        <v>15</v>
      </c>
      <c r="N45" s="188">
        <f t="shared" si="9"/>
        <v>-216.59000000000015</v>
      </c>
      <c r="S45" s="88">
        <v>7479</v>
      </c>
      <c r="U45" s="152">
        <f t="shared" ref="U45:U51" si="46">J45-S45</f>
        <v>-1005</v>
      </c>
      <c r="W45" s="88">
        <v>7.629999999999999</v>
      </c>
      <c r="X45" s="152">
        <f t="shared" ref="X45:X51" si="47">G45-W45</f>
        <v>-2.38</v>
      </c>
    </row>
    <row r="46" spans="1:24" s="88" customFormat="1" ht="20.25" hidden="1" customHeight="1">
      <c r="A46" s="83" t="s">
        <v>474</v>
      </c>
      <c r="B46" s="89" t="s">
        <v>695</v>
      </c>
      <c r="C46" s="293"/>
      <c r="D46" s="247"/>
      <c r="E46" s="235"/>
      <c r="F46" s="234"/>
      <c r="G46" s="90">
        <f>ESTIMATE!I353</f>
        <v>0</v>
      </c>
      <c r="H46" s="85" t="s">
        <v>77</v>
      </c>
      <c r="I46" s="109">
        <f>ESTIMATE!K353</f>
        <v>3203.54</v>
      </c>
      <c r="J46" s="18">
        <f t="shared" si="45"/>
        <v>0</v>
      </c>
      <c r="K46" s="87">
        <f t="shared" si="7"/>
        <v>0</v>
      </c>
      <c r="L46" s="87">
        <f t="shared" si="8"/>
        <v>0</v>
      </c>
      <c r="M46" s="83" t="s">
        <v>15</v>
      </c>
      <c r="N46" s="188">
        <f t="shared" si="9"/>
        <v>-3203.54</v>
      </c>
      <c r="S46" s="88">
        <v>47579</v>
      </c>
      <c r="U46" s="152">
        <f t="shared" si="46"/>
        <v>-47579</v>
      </c>
      <c r="W46" s="88">
        <v>17.350000000000001</v>
      </c>
      <c r="X46" s="152">
        <f t="shared" si="47"/>
        <v>-17.350000000000001</v>
      </c>
    </row>
    <row r="47" spans="1:24" s="88" customFormat="1" ht="20.25" hidden="1" customHeight="1">
      <c r="A47" s="83" t="s">
        <v>475</v>
      </c>
      <c r="B47" s="89" t="s">
        <v>696</v>
      </c>
      <c r="C47" s="185"/>
      <c r="D47" s="195"/>
      <c r="E47" s="109"/>
      <c r="F47" s="18"/>
      <c r="G47" s="90">
        <f>ESTIMATE!I360</f>
        <v>0</v>
      </c>
      <c r="H47" s="85" t="s">
        <v>102</v>
      </c>
      <c r="I47" s="109">
        <f>ESTIMATE!K360</f>
        <v>2970.99</v>
      </c>
      <c r="J47" s="18">
        <f t="shared" si="45"/>
        <v>0</v>
      </c>
      <c r="K47" s="87">
        <f t="shared" si="7"/>
        <v>0</v>
      </c>
      <c r="L47" s="87">
        <f t="shared" si="8"/>
        <v>0</v>
      </c>
      <c r="M47" s="83" t="s">
        <v>15</v>
      </c>
      <c r="N47" s="188">
        <f t="shared" si="9"/>
        <v>-2970.99</v>
      </c>
      <c r="S47" s="88">
        <v>17444</v>
      </c>
      <c r="U47" s="152">
        <f t="shared" si="46"/>
        <v>-17444</v>
      </c>
      <c r="W47" s="88">
        <v>6.76</v>
      </c>
      <c r="X47" s="152">
        <f t="shared" si="47"/>
        <v>-6.76</v>
      </c>
    </row>
    <row r="48" spans="1:24" s="88" customFormat="1" ht="20.25" hidden="1" customHeight="1">
      <c r="A48" s="83" t="s">
        <v>487</v>
      </c>
      <c r="B48" s="89" t="s">
        <v>697</v>
      </c>
      <c r="C48" s="197"/>
      <c r="D48" s="195"/>
      <c r="E48" s="109"/>
      <c r="F48" s="18"/>
      <c r="G48" s="90">
        <f>ESTIMATE!I372</f>
        <v>0</v>
      </c>
      <c r="H48" s="85" t="s">
        <v>102</v>
      </c>
      <c r="I48" s="109">
        <f>ESTIMATE!K372</f>
        <v>748.41</v>
      </c>
      <c r="J48" s="18">
        <f t="shared" si="45"/>
        <v>0</v>
      </c>
      <c r="K48" s="87">
        <f t="shared" si="7"/>
        <v>0</v>
      </c>
      <c r="L48" s="87">
        <f t="shared" si="8"/>
        <v>0</v>
      </c>
      <c r="M48" s="83" t="s">
        <v>15</v>
      </c>
      <c r="N48" s="188">
        <f t="shared" si="9"/>
        <v>-748.41</v>
      </c>
      <c r="S48" s="88">
        <v>5003</v>
      </c>
      <c r="U48" s="152">
        <f t="shared" si="46"/>
        <v>-5003</v>
      </c>
      <c r="W48" s="88">
        <v>13.879999999999999</v>
      </c>
      <c r="X48" s="152">
        <f t="shared" si="47"/>
        <v>-13.879999999999999</v>
      </c>
    </row>
    <row r="49" spans="1:24" s="88" customFormat="1" ht="20.25" hidden="1" customHeight="1">
      <c r="A49" s="83" t="s">
        <v>488</v>
      </c>
      <c r="B49" s="89" t="s">
        <v>698</v>
      </c>
      <c r="C49" s="185"/>
      <c r="D49" s="195"/>
      <c r="E49" s="109"/>
      <c r="F49" s="18"/>
      <c r="G49" s="90">
        <f>ESTIMATE!I382</f>
        <v>0</v>
      </c>
      <c r="H49" s="85" t="s">
        <v>102</v>
      </c>
      <c r="I49" s="109">
        <f>ESTIMATE!K382</f>
        <v>772.27</v>
      </c>
      <c r="J49" s="18">
        <f t="shared" si="45"/>
        <v>0</v>
      </c>
      <c r="K49" s="87">
        <f t="shared" si="7"/>
        <v>0</v>
      </c>
      <c r="L49" s="87">
        <f t="shared" si="8"/>
        <v>0</v>
      </c>
      <c r="M49" s="83" t="s">
        <v>15</v>
      </c>
      <c r="N49" s="188">
        <f t="shared" si="9"/>
        <v>-772.27</v>
      </c>
      <c r="S49" s="88">
        <v>0</v>
      </c>
      <c r="U49" s="152">
        <f t="shared" si="46"/>
        <v>0</v>
      </c>
      <c r="W49" s="88">
        <v>0</v>
      </c>
      <c r="X49" s="152">
        <f t="shared" si="47"/>
        <v>0</v>
      </c>
    </row>
    <row r="50" spans="1:24" s="88" customFormat="1" ht="20.25" hidden="1" customHeight="1">
      <c r="A50" s="83" t="s">
        <v>478</v>
      </c>
      <c r="B50" s="89" t="s">
        <v>497</v>
      </c>
      <c r="C50" s="295"/>
      <c r="D50" s="296" t="s">
        <v>102</v>
      </c>
      <c r="E50" s="235">
        <v>767.37</v>
      </c>
      <c r="F50" s="18">
        <f t="shared" ref="F50" si="48">ROUND(C50*E50,0)</f>
        <v>0</v>
      </c>
      <c r="G50" s="90">
        <f>ESTIMATE!I386</f>
        <v>0</v>
      </c>
      <c r="H50" s="85" t="s">
        <v>102</v>
      </c>
      <c r="I50" s="109">
        <f>ESTIMATE!K386</f>
        <v>849.02</v>
      </c>
      <c r="J50" s="18">
        <f t="shared" si="45"/>
        <v>0</v>
      </c>
      <c r="K50" s="87">
        <f t="shared" si="7"/>
        <v>0</v>
      </c>
      <c r="L50" s="87">
        <f t="shared" si="8"/>
        <v>0</v>
      </c>
      <c r="M50" s="83" t="s">
        <v>15</v>
      </c>
      <c r="N50" s="188">
        <f t="shared" si="9"/>
        <v>-81.649999999999977</v>
      </c>
      <c r="S50" s="88">
        <v>0</v>
      </c>
      <c r="U50" s="152">
        <f t="shared" si="46"/>
        <v>0</v>
      </c>
      <c r="W50" s="88">
        <v>0</v>
      </c>
      <c r="X50" s="152">
        <f t="shared" si="47"/>
        <v>0</v>
      </c>
    </row>
    <row r="51" spans="1:24" s="88" customFormat="1" ht="20.25" hidden="1" customHeight="1">
      <c r="A51" s="83" t="s">
        <v>472</v>
      </c>
      <c r="B51" s="89" t="s">
        <v>558</v>
      </c>
      <c r="C51" s="151"/>
      <c r="D51" s="195"/>
      <c r="E51" s="15"/>
      <c r="F51" s="18"/>
      <c r="G51" s="90">
        <f>ESTIMATE!I392</f>
        <v>0</v>
      </c>
      <c r="H51" s="85" t="s">
        <v>102</v>
      </c>
      <c r="I51" s="109">
        <f>ESTIMATE!K392</f>
        <v>499.42</v>
      </c>
      <c r="J51" s="18">
        <f t="shared" si="45"/>
        <v>0</v>
      </c>
      <c r="K51" s="87">
        <f t="shared" si="7"/>
        <v>0</v>
      </c>
      <c r="L51" s="87">
        <f t="shared" si="8"/>
        <v>0</v>
      </c>
      <c r="M51" s="83" t="s">
        <v>15</v>
      </c>
      <c r="N51" s="188">
        <f t="shared" si="9"/>
        <v>-499.42</v>
      </c>
      <c r="S51" s="88">
        <v>0</v>
      </c>
      <c r="U51" s="152">
        <f t="shared" si="46"/>
        <v>0</v>
      </c>
      <c r="W51" s="88">
        <v>0</v>
      </c>
      <c r="X51" s="152">
        <f t="shared" si="47"/>
        <v>0</v>
      </c>
    </row>
    <row r="52" spans="1:24" s="88" customFormat="1" ht="20.25" hidden="1" customHeight="1">
      <c r="A52" s="83" t="s">
        <v>479</v>
      </c>
      <c r="B52" s="89" t="s">
        <v>990</v>
      </c>
      <c r="C52" s="185"/>
      <c r="D52" s="195"/>
      <c r="E52" s="109"/>
      <c r="F52" s="18"/>
      <c r="G52" s="90">
        <f>ESTIMATE!I397</f>
        <v>0</v>
      </c>
      <c r="H52" s="85" t="s">
        <v>102</v>
      </c>
      <c r="I52" s="109">
        <f>ESTIMATE!K397</f>
        <v>1381.57</v>
      </c>
      <c r="J52" s="18">
        <f t="shared" si="45"/>
        <v>0</v>
      </c>
      <c r="K52" s="87">
        <f t="shared" si="7"/>
        <v>0</v>
      </c>
      <c r="L52" s="87">
        <f t="shared" si="8"/>
        <v>0</v>
      </c>
      <c r="M52" s="83" t="s">
        <v>15</v>
      </c>
      <c r="N52" s="188">
        <f t="shared" si="9"/>
        <v>-1381.57</v>
      </c>
      <c r="U52" s="152"/>
      <c r="X52" s="152"/>
    </row>
    <row r="53" spans="1:24" s="88" customFormat="1" ht="20.25" hidden="1" customHeight="1">
      <c r="A53" s="83" t="s">
        <v>478</v>
      </c>
      <c r="B53" s="89" t="s">
        <v>493</v>
      </c>
      <c r="C53" s="197"/>
      <c r="D53" s="195"/>
      <c r="E53" s="12"/>
      <c r="F53" s="18"/>
      <c r="G53" s="90">
        <f>ESTIMATE!I334</f>
        <v>0</v>
      </c>
      <c r="H53" s="85" t="s">
        <v>102</v>
      </c>
      <c r="I53" s="109">
        <f>ESTIMATE!K334</f>
        <v>0</v>
      </c>
      <c r="J53" s="18">
        <f t="shared" ref="J53" si="49">ROUND(G53*I53,0)</f>
        <v>0</v>
      </c>
      <c r="K53" s="87">
        <f t="shared" si="7"/>
        <v>0</v>
      </c>
      <c r="L53" s="87">
        <f t="shared" si="8"/>
        <v>0</v>
      </c>
      <c r="M53" s="83" t="s">
        <v>15</v>
      </c>
      <c r="N53" s="188">
        <f t="shared" si="9"/>
        <v>0</v>
      </c>
      <c r="U53" s="152"/>
      <c r="X53" s="152"/>
    </row>
    <row r="54" spans="1:24" s="88" customFormat="1" ht="20.25" hidden="1" customHeight="1">
      <c r="A54" s="83" t="s">
        <v>480</v>
      </c>
      <c r="B54" s="89" t="s">
        <v>495</v>
      </c>
      <c r="C54" s="197"/>
      <c r="D54" s="195"/>
      <c r="E54" s="12"/>
      <c r="F54" s="18"/>
      <c r="G54" s="90"/>
      <c r="H54" s="85"/>
      <c r="I54" s="109"/>
      <c r="J54" s="18"/>
      <c r="K54" s="87">
        <f t="shared" si="7"/>
        <v>0</v>
      </c>
      <c r="L54" s="87">
        <f t="shared" si="8"/>
        <v>0</v>
      </c>
      <c r="M54" s="83" t="s">
        <v>15</v>
      </c>
      <c r="N54" s="188">
        <f t="shared" si="9"/>
        <v>0</v>
      </c>
      <c r="U54" s="152"/>
      <c r="X54" s="152"/>
    </row>
    <row r="55" spans="1:24" s="88" customFormat="1" ht="20.25" hidden="1" customHeight="1">
      <c r="A55" s="83" t="s">
        <v>477</v>
      </c>
      <c r="B55" s="89" t="s">
        <v>784</v>
      </c>
      <c r="C55" s="200"/>
      <c r="D55" s="252"/>
      <c r="E55" s="12"/>
      <c r="F55" s="18">
        <f t="shared" ref="F55" si="50">ROUND(C55*E55,0)</f>
        <v>0</v>
      </c>
      <c r="G55" s="90"/>
      <c r="H55" s="85"/>
      <c r="I55" s="109"/>
      <c r="J55" s="18"/>
      <c r="K55" s="87">
        <f t="shared" si="7"/>
        <v>0</v>
      </c>
      <c r="L55" s="87">
        <f t="shared" si="8"/>
        <v>0</v>
      </c>
      <c r="M55" s="83" t="s">
        <v>15</v>
      </c>
      <c r="N55" s="188">
        <f t="shared" si="9"/>
        <v>0</v>
      </c>
      <c r="U55" s="152">
        <f t="shared" si="10"/>
        <v>0</v>
      </c>
      <c r="X55" s="152">
        <f t="shared" si="11"/>
        <v>0</v>
      </c>
    </row>
    <row r="56" spans="1:24" s="88" customFormat="1" ht="20.25" hidden="1" customHeight="1">
      <c r="A56" s="83" t="s">
        <v>480</v>
      </c>
      <c r="B56" s="89" t="s">
        <v>902</v>
      </c>
      <c r="C56" s="293"/>
      <c r="D56" s="247"/>
      <c r="E56" s="235"/>
      <c r="F56" s="234"/>
      <c r="G56" s="90">
        <f>ESTIMATE!I438</f>
        <v>0</v>
      </c>
      <c r="H56" s="85" t="s">
        <v>102</v>
      </c>
      <c r="I56" s="109">
        <f>ESTIMATE!K438</f>
        <v>26.75</v>
      </c>
      <c r="J56" s="18">
        <f t="shared" si="44"/>
        <v>0</v>
      </c>
      <c r="K56" s="87">
        <f t="shared" si="7"/>
        <v>0</v>
      </c>
      <c r="L56" s="87">
        <f t="shared" si="8"/>
        <v>0</v>
      </c>
      <c r="M56" s="83" t="s">
        <v>15</v>
      </c>
      <c r="N56" s="188">
        <f t="shared" si="9"/>
        <v>-26.75</v>
      </c>
      <c r="S56" s="88">
        <v>9497</v>
      </c>
      <c r="U56" s="152">
        <f t="shared" si="10"/>
        <v>-9497</v>
      </c>
      <c r="W56" s="88">
        <v>477.94</v>
      </c>
      <c r="X56" s="152">
        <f t="shared" si="11"/>
        <v>-477.94</v>
      </c>
    </row>
    <row r="57" spans="1:24" s="88" customFormat="1" ht="20.25" hidden="1" customHeight="1">
      <c r="A57" s="83" t="s">
        <v>478</v>
      </c>
      <c r="B57" s="89" t="s">
        <v>903</v>
      </c>
      <c r="C57" s="185"/>
      <c r="D57" s="195"/>
      <c r="E57" s="109"/>
      <c r="F57" s="18"/>
      <c r="G57" s="90">
        <f>ESTIMATE!I448</f>
        <v>0</v>
      </c>
      <c r="H57" s="85" t="s">
        <v>102</v>
      </c>
      <c r="I57" s="109">
        <f>ESTIMATE!K448</f>
        <v>188.29</v>
      </c>
      <c r="J57" s="18">
        <f t="shared" si="44"/>
        <v>0</v>
      </c>
      <c r="K57" s="87">
        <f t="shared" si="7"/>
        <v>0</v>
      </c>
      <c r="L57" s="87">
        <f t="shared" si="8"/>
        <v>0</v>
      </c>
      <c r="M57" s="83" t="s">
        <v>15</v>
      </c>
      <c r="N57" s="188">
        <f t="shared" si="9"/>
        <v>-188.29</v>
      </c>
      <c r="S57" s="88">
        <v>53458</v>
      </c>
      <c r="U57" s="152">
        <f t="shared" si="10"/>
        <v>-53458</v>
      </c>
      <c r="W57" s="88">
        <v>361.02999999999992</v>
      </c>
      <c r="X57" s="152">
        <f t="shared" si="11"/>
        <v>-361.02999999999992</v>
      </c>
    </row>
    <row r="58" spans="1:24" s="88" customFormat="1" ht="20.25" hidden="1" customHeight="1">
      <c r="A58" s="83" t="s">
        <v>479</v>
      </c>
      <c r="B58" s="89" t="s">
        <v>937</v>
      </c>
      <c r="C58" s="295"/>
      <c r="D58" s="296" t="s">
        <v>102</v>
      </c>
      <c r="E58" s="235">
        <v>134.84</v>
      </c>
      <c r="F58" s="18">
        <f t="shared" ref="F58:F60" si="51">ROUND(C58*E58,0)</f>
        <v>0</v>
      </c>
      <c r="G58" s="90">
        <f>ESTIMATE!I474</f>
        <v>178.10999999999999</v>
      </c>
      <c r="H58" s="85" t="s">
        <v>102</v>
      </c>
      <c r="I58" s="109">
        <f>ESTIMATE!K474</f>
        <v>186.63</v>
      </c>
      <c r="J58" s="18">
        <f>ROUND(G58*I58,0)</f>
        <v>33241</v>
      </c>
      <c r="K58" s="87">
        <f t="shared" si="7"/>
        <v>33241</v>
      </c>
      <c r="L58" s="87">
        <f t="shared" si="8"/>
        <v>0</v>
      </c>
      <c r="M58" s="83" t="s">
        <v>15</v>
      </c>
      <c r="N58" s="188">
        <f t="shared" si="9"/>
        <v>-51.789999999999992</v>
      </c>
      <c r="S58" s="88">
        <v>45249</v>
      </c>
      <c r="U58" s="152">
        <f>J58-S58</f>
        <v>-12008</v>
      </c>
      <c r="W58" s="88">
        <v>322.30999999999995</v>
      </c>
      <c r="X58" s="152">
        <f>G58-W58</f>
        <v>-144.19999999999996</v>
      </c>
    </row>
    <row r="59" spans="1:24" s="88" customFormat="1" ht="20.25" hidden="1" customHeight="1">
      <c r="A59" s="83" t="s">
        <v>480</v>
      </c>
      <c r="B59" s="89" t="s">
        <v>938</v>
      </c>
      <c r="C59" s="295"/>
      <c r="D59" s="296" t="s">
        <v>102</v>
      </c>
      <c r="E59" s="235">
        <v>186.14</v>
      </c>
      <c r="F59" s="18">
        <f t="shared" si="51"/>
        <v>0</v>
      </c>
      <c r="G59" s="90">
        <f>ESTIMATE!I491</f>
        <v>148.20000000000002</v>
      </c>
      <c r="H59" s="85" t="s">
        <v>102</v>
      </c>
      <c r="I59" s="109">
        <f>ESTIMATE!K491</f>
        <v>255.64</v>
      </c>
      <c r="J59" s="18">
        <f>ROUND(G59*I59,0)</f>
        <v>37886</v>
      </c>
      <c r="K59" s="87">
        <f t="shared" si="7"/>
        <v>37886</v>
      </c>
      <c r="L59" s="87">
        <f t="shared" si="8"/>
        <v>0</v>
      </c>
      <c r="M59" s="83" t="s">
        <v>15</v>
      </c>
      <c r="N59" s="188">
        <f t="shared" si="9"/>
        <v>-69.5</v>
      </c>
      <c r="S59" s="88">
        <v>21122</v>
      </c>
      <c r="U59" s="152">
        <f>J59-S59</f>
        <v>16764</v>
      </c>
      <c r="W59" s="88">
        <v>116.91</v>
      </c>
      <c r="X59" s="152">
        <f>G59-W59</f>
        <v>31.29000000000002</v>
      </c>
    </row>
    <row r="60" spans="1:24" s="88" customFormat="1" ht="25.5" hidden="1">
      <c r="A60" s="83" t="s">
        <v>1274</v>
      </c>
      <c r="B60" s="89" t="s">
        <v>991</v>
      </c>
      <c r="C60" s="185"/>
      <c r="D60" s="195" t="s">
        <v>102</v>
      </c>
      <c r="E60" s="109">
        <v>897.27</v>
      </c>
      <c r="F60" s="18">
        <f t="shared" si="51"/>
        <v>0</v>
      </c>
      <c r="G60" s="90">
        <f>ESTIMATE!I499</f>
        <v>0</v>
      </c>
      <c r="H60" s="85" t="s">
        <v>102</v>
      </c>
      <c r="I60" s="109">
        <f>ESTIMATE!K499</f>
        <v>1090.98</v>
      </c>
      <c r="J60" s="18">
        <f t="shared" ref="J60" si="52">ROUND(G60*I60,0)</f>
        <v>0</v>
      </c>
      <c r="K60" s="87">
        <f t="shared" si="7"/>
        <v>0</v>
      </c>
      <c r="L60" s="87">
        <f t="shared" si="8"/>
        <v>0</v>
      </c>
      <c r="M60" s="83" t="s">
        <v>15</v>
      </c>
      <c r="N60" s="188">
        <f t="shared" si="9"/>
        <v>-193.71000000000004</v>
      </c>
      <c r="S60" s="88">
        <v>6572</v>
      </c>
      <c r="U60" s="152">
        <f t="shared" ref="U60" si="53">J60-S60</f>
        <v>-6572</v>
      </c>
      <c r="W60" s="88">
        <v>38.090000000000003</v>
      </c>
      <c r="X60" s="152">
        <f t="shared" ref="X60" si="54">G60-W60</f>
        <v>-38.090000000000003</v>
      </c>
    </row>
    <row r="61" spans="1:24" s="88" customFormat="1" ht="20.25" hidden="1" customHeight="1">
      <c r="A61" s="83" t="s">
        <v>1274</v>
      </c>
      <c r="B61" s="89" t="s">
        <v>693</v>
      </c>
      <c r="C61" s="112"/>
      <c r="D61" s="251"/>
      <c r="E61" s="12"/>
      <c r="F61" s="18">
        <f>ROUND(C61*E61/1000,0)</f>
        <v>0</v>
      </c>
      <c r="G61" s="181">
        <f>ESTIMATE!I504</f>
        <v>0</v>
      </c>
      <c r="H61" s="92" t="s">
        <v>102</v>
      </c>
      <c r="I61" s="182">
        <f>ESTIMATE!K504</f>
        <v>4481</v>
      </c>
      <c r="J61" s="18">
        <f>ROUND(G61*I61,0)</f>
        <v>0</v>
      </c>
      <c r="K61" s="87">
        <f t="shared" si="7"/>
        <v>0</v>
      </c>
      <c r="L61" s="87">
        <f t="shared" si="8"/>
        <v>0</v>
      </c>
      <c r="M61" s="83" t="s">
        <v>15</v>
      </c>
      <c r="N61" s="188">
        <f t="shared" si="9"/>
        <v>-4481</v>
      </c>
      <c r="S61" s="88">
        <v>17909</v>
      </c>
      <c r="U61" s="152">
        <f>J61-S61</f>
        <v>-17909</v>
      </c>
      <c r="W61" s="88">
        <v>5.6</v>
      </c>
      <c r="X61" s="152">
        <f>G61-W61</f>
        <v>-5.6</v>
      </c>
    </row>
    <row r="62" spans="1:24" s="88" customFormat="1" ht="25.5" hidden="1">
      <c r="A62" s="83" t="s">
        <v>481</v>
      </c>
      <c r="B62" s="89" t="s">
        <v>904</v>
      </c>
      <c r="C62" s="295"/>
      <c r="D62" s="296" t="s">
        <v>102</v>
      </c>
      <c r="E62" s="235">
        <v>185.4</v>
      </c>
      <c r="F62" s="18">
        <f t="shared" ref="F62:F63" si="55">ROUND(C62*E62,0)</f>
        <v>0</v>
      </c>
      <c r="G62" s="90">
        <f>ESTIMATE!I495</f>
        <v>0</v>
      </c>
      <c r="H62" s="85" t="s">
        <v>102</v>
      </c>
      <c r="I62" s="109">
        <f>ESTIMATE!K495</f>
        <v>162.18</v>
      </c>
      <c r="J62" s="18">
        <f t="shared" si="44"/>
        <v>0</v>
      </c>
      <c r="K62" s="87">
        <f t="shared" si="7"/>
        <v>0</v>
      </c>
      <c r="L62" s="87">
        <f t="shared" si="8"/>
        <v>0</v>
      </c>
      <c r="M62" s="83" t="s">
        <v>15</v>
      </c>
      <c r="N62" s="188">
        <f t="shared" si="9"/>
        <v>23.22</v>
      </c>
      <c r="S62" s="88">
        <v>6572</v>
      </c>
      <c r="U62" s="152">
        <f t="shared" si="10"/>
        <v>-6572</v>
      </c>
      <c r="W62" s="88">
        <v>38.090000000000003</v>
      </c>
      <c r="X62" s="152">
        <f t="shared" si="11"/>
        <v>-38.090000000000003</v>
      </c>
    </row>
    <row r="63" spans="1:24" s="88" customFormat="1" ht="25.5" hidden="1">
      <c r="A63" s="83" t="s">
        <v>482</v>
      </c>
      <c r="B63" s="89" t="s">
        <v>904</v>
      </c>
      <c r="C63" s="200"/>
      <c r="D63" s="252"/>
      <c r="E63" s="12"/>
      <c r="F63" s="18">
        <f t="shared" si="55"/>
        <v>0</v>
      </c>
      <c r="G63" s="90"/>
      <c r="H63" s="85"/>
      <c r="I63" s="109"/>
      <c r="J63" s="18"/>
      <c r="K63" s="87">
        <f t="shared" si="7"/>
        <v>0</v>
      </c>
      <c r="L63" s="87">
        <f t="shared" si="8"/>
        <v>0</v>
      </c>
      <c r="M63" s="83" t="s">
        <v>15</v>
      </c>
      <c r="N63" s="188">
        <f t="shared" si="9"/>
        <v>0</v>
      </c>
      <c r="U63" s="152"/>
      <c r="X63" s="152"/>
    </row>
    <row r="64" spans="1:24" s="88" customFormat="1" hidden="1">
      <c r="A64" s="83" t="s">
        <v>1277</v>
      </c>
      <c r="B64" s="89"/>
      <c r="C64" s="293"/>
      <c r="D64" s="247"/>
      <c r="E64" s="235"/>
      <c r="F64" s="234"/>
      <c r="G64" s="90"/>
      <c r="H64" s="85"/>
      <c r="I64" s="109"/>
      <c r="J64" s="18"/>
      <c r="K64" s="87">
        <f t="shared" si="7"/>
        <v>0</v>
      </c>
      <c r="L64" s="87">
        <f t="shared" si="8"/>
        <v>0</v>
      </c>
      <c r="M64" s="83" t="s">
        <v>15</v>
      </c>
      <c r="N64" s="188">
        <f t="shared" si="9"/>
        <v>0</v>
      </c>
      <c r="U64" s="152"/>
      <c r="X64" s="152"/>
    </row>
    <row r="65" spans="1:24" s="88" customFormat="1" ht="20.25" hidden="1" customHeight="1">
      <c r="A65" s="83" t="s">
        <v>481</v>
      </c>
      <c r="B65" s="89" t="s">
        <v>1244</v>
      </c>
      <c r="C65" s="151"/>
      <c r="D65" s="195"/>
      <c r="E65" s="15"/>
      <c r="F65" s="18"/>
      <c r="G65" s="90">
        <f>ESTIMATE!I511</f>
        <v>0</v>
      </c>
      <c r="H65" s="85" t="s">
        <v>114</v>
      </c>
      <c r="I65" s="109">
        <f>ESTIMATE!K511</f>
        <v>1040</v>
      </c>
      <c r="J65" s="18">
        <f>ROUND(G65*I65,0)</f>
        <v>0</v>
      </c>
      <c r="K65" s="87">
        <f t="shared" si="7"/>
        <v>0</v>
      </c>
      <c r="L65" s="87">
        <f t="shared" si="8"/>
        <v>0</v>
      </c>
      <c r="M65" s="83" t="s">
        <v>15</v>
      </c>
      <c r="N65" s="188">
        <f t="shared" si="9"/>
        <v>-1040</v>
      </c>
      <c r="S65" s="88">
        <v>130</v>
      </c>
      <c r="U65" s="152">
        <f>J65-S65</f>
        <v>-130</v>
      </c>
      <c r="W65" s="88">
        <v>1</v>
      </c>
      <c r="X65" s="152">
        <f>G65-W65</f>
        <v>-1</v>
      </c>
    </row>
    <row r="66" spans="1:24" s="88" customFormat="1" ht="20.25" hidden="1" customHeight="1">
      <c r="A66" s="83" t="s">
        <v>481</v>
      </c>
      <c r="B66" s="89" t="s">
        <v>1245</v>
      </c>
      <c r="C66" s="151"/>
      <c r="D66" s="195"/>
      <c r="E66" s="15"/>
      <c r="F66" s="18"/>
      <c r="G66" s="90">
        <f>ESTIMATE!I515</f>
        <v>0</v>
      </c>
      <c r="H66" s="85" t="s">
        <v>114</v>
      </c>
      <c r="I66" s="109">
        <f>ESTIMATE!K515</f>
        <v>780</v>
      </c>
      <c r="J66" s="18">
        <f>ROUND(G66*I66,0)</f>
        <v>0</v>
      </c>
      <c r="K66" s="87">
        <f t="shared" si="7"/>
        <v>0</v>
      </c>
      <c r="L66" s="87">
        <f t="shared" si="8"/>
        <v>0</v>
      </c>
      <c r="M66" s="83" t="s">
        <v>15</v>
      </c>
      <c r="N66" s="188">
        <f t="shared" si="9"/>
        <v>-780</v>
      </c>
      <c r="S66" s="88">
        <v>130</v>
      </c>
      <c r="U66" s="152">
        <f>J66-S66</f>
        <v>-130</v>
      </c>
      <c r="W66" s="88">
        <v>1</v>
      </c>
      <c r="X66" s="152">
        <f>G66-W66</f>
        <v>-1</v>
      </c>
    </row>
    <row r="67" spans="1:24" s="88" customFormat="1" ht="27" hidden="1" customHeight="1">
      <c r="A67" s="83" t="s">
        <v>494</v>
      </c>
      <c r="B67" s="89" t="s">
        <v>1246</v>
      </c>
      <c r="C67" s="151"/>
      <c r="D67" s="195"/>
      <c r="E67" s="15"/>
      <c r="F67" s="18"/>
      <c r="G67" s="90">
        <f>ESTIMATE!I518</f>
        <v>0</v>
      </c>
      <c r="H67" s="85" t="s">
        <v>114</v>
      </c>
      <c r="I67" s="109">
        <f>ESTIMATE!K518</f>
        <v>250</v>
      </c>
      <c r="J67" s="18">
        <f t="shared" ref="J67:J68" si="56">ROUND(G67*I67,0)</f>
        <v>0</v>
      </c>
      <c r="K67" s="87">
        <f t="shared" si="7"/>
        <v>0</v>
      </c>
      <c r="L67" s="87">
        <f t="shared" si="8"/>
        <v>0</v>
      </c>
      <c r="M67" s="83" t="s">
        <v>15</v>
      </c>
      <c r="N67" s="188">
        <f t="shared" si="9"/>
        <v>-250</v>
      </c>
      <c r="S67" s="88">
        <v>5333</v>
      </c>
      <c r="U67" s="152">
        <f t="shared" si="10"/>
        <v>-5333</v>
      </c>
      <c r="W67" s="88">
        <v>8</v>
      </c>
      <c r="X67" s="152">
        <f t="shared" si="11"/>
        <v>-8</v>
      </c>
    </row>
    <row r="68" spans="1:24" s="88" customFormat="1" ht="20.25" hidden="1" customHeight="1">
      <c r="A68" s="83" t="s">
        <v>482</v>
      </c>
      <c r="B68" s="89" t="s">
        <v>465</v>
      </c>
      <c r="C68" s="298"/>
      <c r="D68" s="180" t="s">
        <v>29</v>
      </c>
      <c r="E68" s="299">
        <v>68459</v>
      </c>
      <c r="F68" s="18">
        <f>ROUND(C68*E68/1,0)</f>
        <v>0</v>
      </c>
      <c r="G68" s="181">
        <f>ESTIMATE!I522</f>
        <v>1</v>
      </c>
      <c r="H68" s="92" t="s">
        <v>29</v>
      </c>
      <c r="I68" s="182">
        <f>ESTIMATE!K522</f>
        <v>86045.18</v>
      </c>
      <c r="J68" s="18">
        <f t="shared" si="56"/>
        <v>86045</v>
      </c>
      <c r="K68" s="87">
        <f t="shared" si="7"/>
        <v>86045</v>
      </c>
      <c r="L68" s="87">
        <f t="shared" si="8"/>
        <v>0</v>
      </c>
      <c r="M68" s="83" t="s">
        <v>15</v>
      </c>
      <c r="N68" s="188">
        <f t="shared" si="9"/>
        <v>-17586.179999999993</v>
      </c>
      <c r="S68" s="88">
        <v>349556</v>
      </c>
      <c r="U68" s="152">
        <f t="shared" si="10"/>
        <v>-263511</v>
      </c>
      <c r="W68" s="88">
        <v>5.62</v>
      </c>
      <c r="X68" s="152">
        <f t="shared" si="11"/>
        <v>-4.62</v>
      </c>
    </row>
    <row r="69" spans="1:24" s="88" customFormat="1" ht="20.25" hidden="1" customHeight="1">
      <c r="A69" s="83" t="s">
        <v>484</v>
      </c>
      <c r="B69" s="89"/>
      <c r="C69" s="112"/>
      <c r="D69" s="252"/>
      <c r="E69" s="12"/>
      <c r="F69" s="18">
        <f>ROUND(C69*E69/1000,0)</f>
        <v>0</v>
      </c>
      <c r="G69" s="181"/>
      <c r="H69" s="92"/>
      <c r="I69" s="182"/>
      <c r="J69" s="18"/>
      <c r="K69" s="87">
        <f t="shared" si="7"/>
        <v>0</v>
      </c>
      <c r="L69" s="87">
        <f t="shared" si="8"/>
        <v>0</v>
      </c>
      <c r="M69" s="83" t="s">
        <v>15</v>
      </c>
      <c r="N69" s="188">
        <f t="shared" si="9"/>
        <v>0</v>
      </c>
      <c r="U69" s="152">
        <f t="shared" si="10"/>
        <v>0</v>
      </c>
      <c r="X69" s="152">
        <f t="shared" si="11"/>
        <v>0</v>
      </c>
    </row>
    <row r="70" spans="1:24" s="88" customFormat="1" ht="20.25" customHeight="1">
      <c r="A70" s="83"/>
      <c r="B70" s="84" t="s">
        <v>485</v>
      </c>
      <c r="C70" s="151"/>
      <c r="D70" s="189"/>
      <c r="E70" s="15"/>
      <c r="F70" s="18"/>
      <c r="G70" s="90"/>
      <c r="H70" s="189"/>
      <c r="I70" s="109"/>
      <c r="J70" s="18">
        <f t="shared" si="6"/>
        <v>0</v>
      </c>
      <c r="K70" s="87">
        <f t="shared" si="7"/>
        <v>0</v>
      </c>
      <c r="L70" s="87">
        <f t="shared" si="8"/>
        <v>0</v>
      </c>
      <c r="M70" s="83" t="s">
        <v>15</v>
      </c>
      <c r="N70" s="188">
        <f t="shared" si="9"/>
        <v>0</v>
      </c>
      <c r="S70" s="88">
        <v>0</v>
      </c>
      <c r="U70" s="152">
        <f t="shared" si="10"/>
        <v>0</v>
      </c>
      <c r="X70" s="152">
        <f t="shared" si="11"/>
        <v>0</v>
      </c>
    </row>
    <row r="71" spans="1:24" s="88" customFormat="1" ht="20.25" hidden="1" customHeight="1">
      <c r="A71" s="83" t="s">
        <v>483</v>
      </c>
      <c r="B71" s="89" t="s">
        <v>994</v>
      </c>
      <c r="C71" s="295"/>
      <c r="D71" s="296" t="s">
        <v>5</v>
      </c>
      <c r="E71" s="235">
        <v>10755.279999999999</v>
      </c>
      <c r="F71" s="18">
        <f t="shared" ref="F71:F73" si="57">ROUND(C71*E71,0)</f>
        <v>0</v>
      </c>
      <c r="G71" s="90">
        <f>ESTIMATE!I528</f>
        <v>0</v>
      </c>
      <c r="H71" s="85" t="s">
        <v>5</v>
      </c>
      <c r="I71" s="109">
        <f>ESTIMATE!K528</f>
        <v>13542.279999999999</v>
      </c>
      <c r="J71" s="18">
        <f t="shared" si="6"/>
        <v>0</v>
      </c>
      <c r="K71" s="87">
        <f t="shared" si="7"/>
        <v>0</v>
      </c>
      <c r="L71" s="87">
        <f t="shared" si="8"/>
        <v>0</v>
      </c>
      <c r="M71" s="83" t="s">
        <v>15</v>
      </c>
      <c r="N71" s="188">
        <f t="shared" si="9"/>
        <v>-2787</v>
      </c>
      <c r="S71" s="88">
        <v>32680</v>
      </c>
      <c r="U71" s="152">
        <f t="shared" si="10"/>
        <v>-32680</v>
      </c>
      <c r="W71" s="88">
        <v>3.45</v>
      </c>
      <c r="X71" s="152">
        <f t="shared" si="11"/>
        <v>-3.45</v>
      </c>
    </row>
    <row r="72" spans="1:24" s="88" customFormat="1" ht="20.25" hidden="1" customHeight="1">
      <c r="A72" s="83" t="s">
        <v>484</v>
      </c>
      <c r="B72" s="89" t="s">
        <v>996</v>
      </c>
      <c r="C72" s="295"/>
      <c r="D72" s="296" t="s">
        <v>5</v>
      </c>
      <c r="E72" s="235">
        <v>10188.65</v>
      </c>
      <c r="F72" s="18">
        <f t="shared" si="57"/>
        <v>0</v>
      </c>
      <c r="G72" s="90">
        <f>ESTIMATE!I534</f>
        <v>0</v>
      </c>
      <c r="H72" s="85" t="s">
        <v>5</v>
      </c>
      <c r="I72" s="109">
        <f>ESTIMATE!K534</f>
        <v>12481.060000000001</v>
      </c>
      <c r="J72" s="18">
        <f t="shared" si="6"/>
        <v>0</v>
      </c>
      <c r="K72" s="87">
        <f t="shared" si="7"/>
        <v>0</v>
      </c>
      <c r="L72" s="87">
        <f t="shared" si="8"/>
        <v>0</v>
      </c>
      <c r="M72" s="83" t="s">
        <v>15</v>
      </c>
      <c r="N72" s="188">
        <f t="shared" si="9"/>
        <v>-2292.4100000000017</v>
      </c>
      <c r="S72" s="88">
        <v>67160</v>
      </c>
      <c r="U72" s="152">
        <f t="shared" si="10"/>
        <v>-67160</v>
      </c>
      <c r="W72" s="88">
        <v>7.3500000000000005</v>
      </c>
      <c r="X72" s="152">
        <f t="shared" si="11"/>
        <v>-7.3500000000000005</v>
      </c>
    </row>
    <row r="73" spans="1:24" s="88" customFormat="1" ht="20.25" hidden="1" customHeight="1">
      <c r="A73" s="83" t="s">
        <v>1275</v>
      </c>
      <c r="B73" s="89" t="s">
        <v>997</v>
      </c>
      <c r="C73" s="295"/>
      <c r="D73" s="296" t="s">
        <v>102</v>
      </c>
      <c r="E73" s="235">
        <v>1349.81</v>
      </c>
      <c r="F73" s="18">
        <f t="shared" si="57"/>
        <v>0</v>
      </c>
      <c r="G73" s="90">
        <f>ESTIMATE!I546</f>
        <v>0</v>
      </c>
      <c r="H73" s="85" t="s">
        <v>102</v>
      </c>
      <c r="I73" s="109">
        <f>ESTIMATE!K546</f>
        <v>1675.19</v>
      </c>
      <c r="J73" s="18">
        <f t="shared" si="6"/>
        <v>0</v>
      </c>
      <c r="K73" s="87">
        <f t="shared" ref="K73:K136" si="58">IF(J73&gt;F73,J73-F73,0)</f>
        <v>0</v>
      </c>
      <c r="L73" s="87">
        <f t="shared" ref="L73:L136" si="59">IF(J73&lt;F73,F73-J73,0)</f>
        <v>0</v>
      </c>
      <c r="M73" s="83" t="s">
        <v>15</v>
      </c>
      <c r="N73" s="188">
        <f t="shared" ref="N73:N136" si="60">E73-I73</f>
        <v>-325.38000000000011</v>
      </c>
      <c r="S73" s="88">
        <v>139597</v>
      </c>
      <c r="U73" s="152">
        <f t="shared" si="10"/>
        <v>-139597</v>
      </c>
      <c r="W73" s="88">
        <v>117.23</v>
      </c>
      <c r="X73" s="152">
        <f t="shared" si="11"/>
        <v>-117.23</v>
      </c>
    </row>
    <row r="74" spans="1:24" s="88" customFormat="1" ht="20.25" hidden="1" customHeight="1">
      <c r="A74" s="83" t="s">
        <v>476</v>
      </c>
      <c r="B74" s="89" t="s">
        <v>1003</v>
      </c>
      <c r="C74" s="151"/>
      <c r="D74" s="195"/>
      <c r="E74" s="15"/>
      <c r="F74" s="18"/>
      <c r="G74" s="90">
        <f>ESTIMATE!I551</f>
        <v>0</v>
      </c>
      <c r="H74" s="85" t="s">
        <v>102</v>
      </c>
      <c r="I74" s="109">
        <f>ESTIMATE!K551</f>
        <v>1319.6599999999999</v>
      </c>
      <c r="J74" s="18">
        <f t="shared" ref="J74" si="61">ROUND(G74*I74,0)</f>
        <v>0</v>
      </c>
      <c r="K74" s="87">
        <f t="shared" si="58"/>
        <v>0</v>
      </c>
      <c r="L74" s="87">
        <f t="shared" si="59"/>
        <v>0</v>
      </c>
      <c r="M74" s="83" t="s">
        <v>15</v>
      </c>
      <c r="N74" s="188">
        <f t="shared" si="60"/>
        <v>-1319.6599999999999</v>
      </c>
      <c r="S74" s="88">
        <v>0</v>
      </c>
      <c r="U74" s="152">
        <f t="shared" si="10"/>
        <v>0</v>
      </c>
      <c r="X74" s="152">
        <f t="shared" si="11"/>
        <v>0</v>
      </c>
    </row>
    <row r="75" spans="1:24" s="88" customFormat="1" ht="20.25" hidden="1" customHeight="1">
      <c r="A75" s="83" t="s">
        <v>1278</v>
      </c>
      <c r="B75" s="89" t="s">
        <v>998</v>
      </c>
      <c r="C75" s="112"/>
      <c r="D75" s="251"/>
      <c r="E75" s="12"/>
      <c r="F75" s="18">
        <f t="shared" ref="F75" si="62">ROUND(C75*E75,0)</f>
        <v>0</v>
      </c>
      <c r="G75" s="90">
        <f>ESTIMATE!I542</f>
        <v>0</v>
      </c>
      <c r="H75" s="92" t="s">
        <v>102</v>
      </c>
      <c r="I75" s="109">
        <f>ESTIMATE!K542</f>
        <v>1468.99</v>
      </c>
      <c r="J75" s="18">
        <f t="shared" si="6"/>
        <v>0</v>
      </c>
      <c r="K75" s="87">
        <f t="shared" si="58"/>
        <v>0</v>
      </c>
      <c r="L75" s="87">
        <f t="shared" si="59"/>
        <v>0</v>
      </c>
      <c r="M75" s="83" t="s">
        <v>15</v>
      </c>
      <c r="N75" s="188">
        <f t="shared" si="60"/>
        <v>-1468.99</v>
      </c>
      <c r="S75" s="88">
        <v>23110</v>
      </c>
      <c r="U75" s="152">
        <f t="shared" si="10"/>
        <v>-23110</v>
      </c>
      <c r="W75" s="88">
        <v>13.670000000000002</v>
      </c>
      <c r="X75" s="152">
        <f t="shared" si="11"/>
        <v>-13.670000000000002</v>
      </c>
    </row>
    <row r="76" spans="1:24" s="88" customFormat="1" ht="20.25" hidden="1" customHeight="1">
      <c r="A76" s="83" t="s">
        <v>503</v>
      </c>
      <c r="B76" s="89" t="s">
        <v>1040</v>
      </c>
      <c r="C76" s="197"/>
      <c r="D76" s="196"/>
      <c r="E76" s="198"/>
      <c r="F76" s="18"/>
      <c r="G76" s="90">
        <f>ESTIMATE!I562</f>
        <v>0</v>
      </c>
      <c r="H76" s="92" t="s">
        <v>102</v>
      </c>
      <c r="I76" s="109">
        <f>ESTIMATE!K562</f>
        <v>837.33</v>
      </c>
      <c r="J76" s="18">
        <f t="shared" ref="J76" si="63">ROUND(G76*I76,0)</f>
        <v>0</v>
      </c>
      <c r="K76" s="87">
        <f t="shared" si="58"/>
        <v>0</v>
      </c>
      <c r="L76" s="87">
        <f t="shared" si="59"/>
        <v>0</v>
      </c>
      <c r="M76" s="83" t="s">
        <v>15</v>
      </c>
      <c r="N76" s="188">
        <f t="shared" si="60"/>
        <v>-837.33</v>
      </c>
      <c r="S76" s="88">
        <v>0</v>
      </c>
      <c r="U76" s="152">
        <f t="shared" ref="U76" si="64">J76-S76</f>
        <v>0</v>
      </c>
      <c r="X76" s="152">
        <f t="shared" ref="X76" si="65">G76-W76</f>
        <v>0</v>
      </c>
    </row>
    <row r="77" spans="1:24" s="88" customFormat="1" ht="20.25" hidden="1" customHeight="1">
      <c r="A77" s="83" t="s">
        <v>503</v>
      </c>
      <c r="B77" s="89" t="s">
        <v>1247</v>
      </c>
      <c r="C77" s="197"/>
      <c r="D77" s="196"/>
      <c r="E77" s="198"/>
      <c r="F77" s="18"/>
      <c r="G77" s="90">
        <f>ESTIMATE!I573</f>
        <v>0</v>
      </c>
      <c r="H77" s="92" t="s">
        <v>102</v>
      </c>
      <c r="I77" s="109">
        <f>ESTIMATE!K573</f>
        <v>663.66</v>
      </c>
      <c r="J77" s="18">
        <f t="shared" ref="J77" si="66">ROUND(G77*I77,0)</f>
        <v>0</v>
      </c>
      <c r="K77" s="87">
        <f t="shared" si="58"/>
        <v>0</v>
      </c>
      <c r="L77" s="87">
        <f t="shared" si="59"/>
        <v>0</v>
      </c>
      <c r="M77" s="83" t="s">
        <v>15</v>
      </c>
      <c r="N77" s="188">
        <f t="shared" si="60"/>
        <v>-663.66</v>
      </c>
      <c r="S77" s="88">
        <v>0</v>
      </c>
      <c r="U77" s="152">
        <f t="shared" ref="U77" si="67">J77-S77</f>
        <v>0</v>
      </c>
      <c r="X77" s="152">
        <f t="shared" ref="X77" si="68">G77-W77</f>
        <v>0</v>
      </c>
    </row>
    <row r="78" spans="1:24" s="88" customFormat="1" ht="20.25" hidden="1" customHeight="1">
      <c r="A78" s="83" t="s">
        <v>1276</v>
      </c>
      <c r="B78" s="89" t="s">
        <v>1000</v>
      </c>
      <c r="C78" s="295"/>
      <c r="D78" s="296" t="s">
        <v>5</v>
      </c>
      <c r="E78" s="235">
        <v>10775.78</v>
      </c>
      <c r="F78" s="18">
        <f t="shared" ref="F78:F80" si="69">ROUND(C78*E78,0)</f>
        <v>0</v>
      </c>
      <c r="G78" s="90">
        <f>ESTIMATE!I578</f>
        <v>0</v>
      </c>
      <c r="H78" s="85" t="s">
        <v>5</v>
      </c>
      <c r="I78" s="109">
        <f>ESTIMATE!K578</f>
        <v>13565.57</v>
      </c>
      <c r="J78" s="18">
        <f t="shared" si="6"/>
        <v>0</v>
      </c>
      <c r="K78" s="87">
        <f t="shared" si="58"/>
        <v>0</v>
      </c>
      <c r="L78" s="87">
        <f t="shared" si="59"/>
        <v>0</v>
      </c>
      <c r="M78" s="83" t="s">
        <v>15</v>
      </c>
      <c r="N78" s="188">
        <f t="shared" si="60"/>
        <v>-2789.7899999999991</v>
      </c>
      <c r="S78" s="88">
        <v>12749</v>
      </c>
      <c r="U78" s="152">
        <f t="shared" si="10"/>
        <v>-12749</v>
      </c>
      <c r="W78" s="88">
        <v>1.3400000000000003</v>
      </c>
      <c r="X78" s="152">
        <f t="shared" si="11"/>
        <v>-1.3400000000000003</v>
      </c>
    </row>
    <row r="79" spans="1:24" s="88" customFormat="1" ht="20.25" hidden="1" customHeight="1">
      <c r="A79" s="83" t="s">
        <v>1277</v>
      </c>
      <c r="B79" s="89" t="s">
        <v>1001</v>
      </c>
      <c r="C79" s="295"/>
      <c r="D79" s="180" t="s">
        <v>271</v>
      </c>
      <c r="E79" s="235">
        <v>898.77</v>
      </c>
      <c r="F79" s="18">
        <f t="shared" si="69"/>
        <v>0</v>
      </c>
      <c r="G79" s="90">
        <f>ESTIMATE!I582</f>
        <v>0</v>
      </c>
      <c r="H79" s="92" t="s">
        <v>271</v>
      </c>
      <c r="I79" s="109">
        <f>ESTIMATE!K582</f>
        <v>1086.3900000000001</v>
      </c>
      <c r="J79" s="18">
        <f t="shared" si="6"/>
        <v>0</v>
      </c>
      <c r="K79" s="87">
        <f t="shared" si="58"/>
        <v>0</v>
      </c>
      <c r="L79" s="87">
        <f t="shared" si="59"/>
        <v>0</v>
      </c>
      <c r="M79" s="83" t="s">
        <v>15</v>
      </c>
      <c r="N79" s="188">
        <f t="shared" si="60"/>
        <v>-187.62000000000012</v>
      </c>
      <c r="S79" s="88">
        <v>10248</v>
      </c>
      <c r="U79" s="152">
        <f t="shared" si="10"/>
        <v>-10248</v>
      </c>
      <c r="W79" s="88">
        <v>12.5</v>
      </c>
      <c r="X79" s="152">
        <f t="shared" si="11"/>
        <v>-12.5</v>
      </c>
    </row>
    <row r="80" spans="1:24" s="88" customFormat="1" ht="20.25" customHeight="1">
      <c r="A80" s="83" t="s">
        <v>448</v>
      </c>
      <c r="B80" s="89" t="s">
        <v>1241</v>
      </c>
      <c r="C80" s="295"/>
      <c r="D80" s="180"/>
      <c r="E80" s="235"/>
      <c r="F80" s="18">
        <f t="shared" si="69"/>
        <v>0</v>
      </c>
      <c r="G80" s="90">
        <f>ESTIMATE!I588</f>
        <v>0</v>
      </c>
      <c r="H80" s="92" t="s">
        <v>102</v>
      </c>
      <c r="I80" s="109">
        <f>ESTIMATE!K588</f>
        <v>406.34</v>
      </c>
      <c r="J80" s="18">
        <f t="shared" si="6"/>
        <v>0</v>
      </c>
      <c r="K80" s="87">
        <f t="shared" si="58"/>
        <v>0</v>
      </c>
      <c r="L80" s="87">
        <f t="shared" si="59"/>
        <v>0</v>
      </c>
      <c r="M80" s="83" t="s">
        <v>15</v>
      </c>
      <c r="N80" s="188">
        <f t="shared" si="60"/>
        <v>-406.34</v>
      </c>
      <c r="S80" s="88">
        <v>43353</v>
      </c>
      <c r="U80" s="152">
        <f t="shared" si="10"/>
        <v>-43353</v>
      </c>
      <c r="W80" s="88">
        <v>117.23</v>
      </c>
      <c r="X80" s="152">
        <f t="shared" si="11"/>
        <v>-117.23</v>
      </c>
    </row>
    <row r="81" spans="1:24" s="88" customFormat="1" ht="20.25" hidden="1" customHeight="1">
      <c r="A81" s="83" t="s">
        <v>506</v>
      </c>
      <c r="B81" s="89" t="s">
        <v>1242</v>
      </c>
      <c r="C81" s="197"/>
      <c r="D81" s="196"/>
      <c r="E81" s="198"/>
      <c r="F81" s="18"/>
      <c r="G81" s="90">
        <f>ESTIMATE!I594</f>
        <v>0</v>
      </c>
      <c r="H81" s="92" t="s">
        <v>102</v>
      </c>
      <c r="I81" s="109">
        <f>ESTIMATE!K594</f>
        <v>465.44</v>
      </c>
      <c r="J81" s="18">
        <f t="shared" ref="J81" si="70">ROUND(G81*I81,0)</f>
        <v>0</v>
      </c>
      <c r="K81" s="87">
        <f t="shared" si="58"/>
        <v>0</v>
      </c>
      <c r="L81" s="87">
        <f t="shared" si="59"/>
        <v>0</v>
      </c>
      <c r="M81" s="83" t="s">
        <v>15</v>
      </c>
      <c r="N81" s="188">
        <f t="shared" si="60"/>
        <v>-465.44</v>
      </c>
      <c r="S81" s="88">
        <v>43353</v>
      </c>
      <c r="U81" s="152">
        <f t="shared" ref="U81" si="71">J81-S81</f>
        <v>-43353</v>
      </c>
      <c r="W81" s="88">
        <v>117.23</v>
      </c>
      <c r="X81" s="152">
        <f t="shared" ref="X81" si="72">G81-W81</f>
        <v>-117.23</v>
      </c>
    </row>
    <row r="82" spans="1:24" s="88" customFormat="1" ht="20.25" hidden="1" customHeight="1">
      <c r="A82" s="83" t="s">
        <v>488</v>
      </c>
      <c r="B82" s="89" t="s">
        <v>782</v>
      </c>
      <c r="C82" s="200"/>
      <c r="D82" s="252"/>
      <c r="E82" s="12"/>
      <c r="F82" s="18">
        <f t="shared" ref="F82:F83" si="73">ROUND(C82*E82,0)</f>
        <v>0</v>
      </c>
      <c r="G82" s="90">
        <f>ESTIMATE!I631</f>
        <v>0</v>
      </c>
      <c r="H82" s="85" t="s">
        <v>5</v>
      </c>
      <c r="I82" s="109">
        <f>ESTIMATE!K631</f>
        <v>8710.5999999999985</v>
      </c>
      <c r="J82" s="18">
        <f t="shared" ref="J82" si="74">ROUND(G82*I82,0)</f>
        <v>0</v>
      </c>
      <c r="K82" s="87">
        <f t="shared" si="58"/>
        <v>0</v>
      </c>
      <c r="L82" s="87">
        <f t="shared" si="59"/>
        <v>0</v>
      </c>
      <c r="M82" s="83" t="s">
        <v>15</v>
      </c>
      <c r="N82" s="188">
        <f t="shared" si="60"/>
        <v>-8710.5999999999985</v>
      </c>
      <c r="S82" s="88">
        <v>98200</v>
      </c>
      <c r="U82" s="152">
        <f t="shared" si="10"/>
        <v>-98200</v>
      </c>
      <c r="W82" s="88">
        <v>16.680000000000003</v>
      </c>
      <c r="X82" s="152">
        <f t="shared" si="11"/>
        <v>-16.680000000000003</v>
      </c>
    </row>
    <row r="83" spans="1:24" s="88" customFormat="1" ht="20.25" hidden="1" customHeight="1">
      <c r="A83" s="83" t="s">
        <v>1279</v>
      </c>
      <c r="B83" s="89" t="s">
        <v>781</v>
      </c>
      <c r="C83" s="295"/>
      <c r="D83" s="296" t="s">
        <v>5</v>
      </c>
      <c r="E83" s="235">
        <v>6519.2500000000009</v>
      </c>
      <c r="F83" s="18">
        <f t="shared" si="73"/>
        <v>0</v>
      </c>
      <c r="G83" s="90">
        <f>ESTIMATE!I606</f>
        <v>0</v>
      </c>
      <c r="H83" s="85" t="s">
        <v>5</v>
      </c>
      <c r="I83" s="109">
        <f>ESTIMATE!K606</f>
        <v>8653.09</v>
      </c>
      <c r="J83" s="18">
        <f t="shared" si="6"/>
        <v>0</v>
      </c>
      <c r="K83" s="87">
        <f t="shared" si="58"/>
        <v>0</v>
      </c>
      <c r="L83" s="87">
        <f t="shared" si="59"/>
        <v>0</v>
      </c>
      <c r="M83" s="83" t="s">
        <v>15</v>
      </c>
      <c r="N83" s="188">
        <f t="shared" si="60"/>
        <v>-2133.8399999999992</v>
      </c>
      <c r="S83" s="88">
        <v>0</v>
      </c>
      <c r="U83" s="152">
        <f t="shared" si="10"/>
        <v>0</v>
      </c>
      <c r="X83" s="152">
        <f t="shared" si="11"/>
        <v>0</v>
      </c>
    </row>
    <row r="84" spans="1:24" s="88" customFormat="1" ht="27" hidden="1" customHeight="1">
      <c r="A84" s="83" t="s">
        <v>489</v>
      </c>
      <c r="B84" s="89" t="s">
        <v>692</v>
      </c>
      <c r="C84" s="200"/>
      <c r="D84" s="252"/>
      <c r="E84" s="12"/>
      <c r="F84" s="18">
        <f>ROUND(C84*E84/10,0)</f>
        <v>0</v>
      </c>
      <c r="G84" s="90">
        <f>ESTIMATE!I658</f>
        <v>0</v>
      </c>
      <c r="H84" s="85" t="s">
        <v>102</v>
      </c>
      <c r="I84" s="109">
        <f>ESTIMATE!K658</f>
        <v>992.92</v>
      </c>
      <c r="J84" s="18">
        <f>ROUND(G84*I84/1,0)</f>
        <v>0</v>
      </c>
      <c r="K84" s="87">
        <f t="shared" si="58"/>
        <v>0</v>
      </c>
      <c r="L84" s="87">
        <f t="shared" si="59"/>
        <v>0</v>
      </c>
      <c r="M84" s="83" t="s">
        <v>15</v>
      </c>
      <c r="N84" s="188">
        <f t="shared" si="60"/>
        <v>-992.92</v>
      </c>
      <c r="S84" s="88">
        <v>70796</v>
      </c>
      <c r="U84" s="152">
        <f t="shared" si="10"/>
        <v>-70796</v>
      </c>
      <c r="W84" s="88">
        <v>93.950000000000017</v>
      </c>
      <c r="X84" s="152">
        <f t="shared" si="11"/>
        <v>-93.950000000000017</v>
      </c>
    </row>
    <row r="85" spans="1:24" s="88" customFormat="1" hidden="1">
      <c r="A85" s="83" t="s">
        <v>472</v>
      </c>
      <c r="B85" s="89" t="s">
        <v>989</v>
      </c>
      <c r="C85" s="200"/>
      <c r="D85" s="195"/>
      <c r="E85" s="12"/>
      <c r="F85" s="18"/>
      <c r="G85" s="90">
        <f>ESTIMATE!I669</f>
        <v>0</v>
      </c>
      <c r="H85" s="85" t="s">
        <v>102</v>
      </c>
      <c r="I85" s="109">
        <f>ESTIMATE!K669</f>
        <v>7262.62</v>
      </c>
      <c r="J85" s="18">
        <f>ROUND(G85*I85/1,0)</f>
        <v>0</v>
      </c>
      <c r="K85" s="87">
        <f t="shared" si="58"/>
        <v>0</v>
      </c>
      <c r="L85" s="87">
        <f t="shared" si="59"/>
        <v>0</v>
      </c>
      <c r="M85" s="83" t="s">
        <v>15</v>
      </c>
      <c r="N85" s="188">
        <f t="shared" si="60"/>
        <v>-7262.62</v>
      </c>
      <c r="U85" s="152"/>
      <c r="X85" s="152"/>
    </row>
    <row r="86" spans="1:24" s="88" customFormat="1" hidden="1">
      <c r="A86" s="83" t="s">
        <v>473</v>
      </c>
      <c r="B86" s="89" t="s">
        <v>981</v>
      </c>
      <c r="C86" s="197"/>
      <c r="D86" s="195"/>
      <c r="E86" s="198"/>
      <c r="F86" s="18"/>
      <c r="G86" s="90">
        <f>ESTIMATE!I675</f>
        <v>0</v>
      </c>
      <c r="H86" s="85" t="s">
        <v>102</v>
      </c>
      <c r="I86" s="109">
        <f>ESTIMATE!K675</f>
        <v>2600.25</v>
      </c>
      <c r="J86" s="18">
        <f>ROUND(G86*I86/1,0)</f>
        <v>0</v>
      </c>
      <c r="K86" s="87">
        <f t="shared" si="58"/>
        <v>0</v>
      </c>
      <c r="L86" s="87">
        <f t="shared" si="59"/>
        <v>0</v>
      </c>
      <c r="M86" s="83" t="s">
        <v>15</v>
      </c>
      <c r="N86" s="188">
        <f t="shared" si="60"/>
        <v>-2600.25</v>
      </c>
      <c r="U86" s="152"/>
      <c r="X86" s="152"/>
    </row>
    <row r="87" spans="1:24" s="88" customFormat="1" ht="20.25" hidden="1" customHeight="1">
      <c r="A87" s="83" t="s">
        <v>486</v>
      </c>
      <c r="B87" s="89" t="s">
        <v>470</v>
      </c>
      <c r="C87" s="295"/>
      <c r="D87" s="296" t="s">
        <v>102</v>
      </c>
      <c r="E87" s="235">
        <v>340.19</v>
      </c>
      <c r="F87" s="18">
        <f t="shared" ref="F87" si="75">ROUND(C87*E87,0)</f>
        <v>0</v>
      </c>
      <c r="G87" s="90">
        <f>ESTIMATE!I683</f>
        <v>0</v>
      </c>
      <c r="H87" s="85" t="s">
        <v>102</v>
      </c>
      <c r="I87" s="109">
        <f>ESTIMATE!K683</f>
        <v>419.76</v>
      </c>
      <c r="J87" s="18">
        <f t="shared" si="6"/>
        <v>0</v>
      </c>
      <c r="K87" s="87">
        <f t="shared" si="58"/>
        <v>0</v>
      </c>
      <c r="L87" s="87">
        <f t="shared" si="59"/>
        <v>0</v>
      </c>
      <c r="M87" s="83" t="s">
        <v>15</v>
      </c>
      <c r="N87" s="188">
        <f t="shared" si="60"/>
        <v>-79.569999999999993</v>
      </c>
      <c r="S87" s="88">
        <v>40647</v>
      </c>
      <c r="U87" s="152">
        <f t="shared" si="10"/>
        <v>-40647</v>
      </c>
      <c r="W87" s="88">
        <v>142.76000000000002</v>
      </c>
      <c r="X87" s="152">
        <f t="shared" si="11"/>
        <v>-142.76000000000002</v>
      </c>
    </row>
    <row r="88" spans="1:24" s="88" customFormat="1" ht="20.25" hidden="1" customHeight="1">
      <c r="A88" s="83" t="s">
        <v>487</v>
      </c>
      <c r="B88" s="89" t="s">
        <v>491</v>
      </c>
      <c r="C88" s="151"/>
      <c r="D88" s="195"/>
      <c r="E88" s="109"/>
      <c r="F88" s="18"/>
      <c r="G88" s="90">
        <f>ESTIMATE!I693</f>
        <v>0</v>
      </c>
      <c r="H88" s="85" t="s">
        <v>102</v>
      </c>
      <c r="I88" s="109">
        <f>ESTIMATE!K693</f>
        <v>342.71</v>
      </c>
      <c r="J88" s="18">
        <f t="shared" si="6"/>
        <v>0</v>
      </c>
      <c r="K88" s="87">
        <f t="shared" si="58"/>
        <v>0</v>
      </c>
      <c r="L88" s="87">
        <f t="shared" si="59"/>
        <v>0</v>
      </c>
      <c r="M88" s="83" t="s">
        <v>15</v>
      </c>
      <c r="N88" s="188">
        <f t="shared" si="60"/>
        <v>-342.71</v>
      </c>
      <c r="S88" s="88">
        <v>0</v>
      </c>
      <c r="U88" s="152">
        <f t="shared" si="10"/>
        <v>0</v>
      </c>
      <c r="X88" s="152">
        <f t="shared" si="11"/>
        <v>0</v>
      </c>
    </row>
    <row r="89" spans="1:24" s="88" customFormat="1" ht="20.25" hidden="1" customHeight="1">
      <c r="A89" s="83" t="s">
        <v>488</v>
      </c>
      <c r="B89" s="89" t="s">
        <v>745</v>
      </c>
      <c r="C89" s="151"/>
      <c r="D89" s="195"/>
      <c r="E89" s="109"/>
      <c r="F89" s="18"/>
      <c r="G89" s="90">
        <f>ESTIMATE!I701</f>
        <v>0</v>
      </c>
      <c r="H89" s="85" t="s">
        <v>102</v>
      </c>
      <c r="I89" s="109">
        <f>ESTIMATE!K701</f>
        <v>357.1</v>
      </c>
      <c r="J89" s="18">
        <f t="shared" ref="J89:J90" si="76">ROUND(G89*I89,0)</f>
        <v>0</v>
      </c>
      <c r="K89" s="87">
        <f t="shared" si="58"/>
        <v>0</v>
      </c>
      <c r="L89" s="87">
        <f t="shared" si="59"/>
        <v>0</v>
      </c>
      <c r="M89" s="83" t="s">
        <v>15</v>
      </c>
      <c r="N89" s="188">
        <f t="shared" si="60"/>
        <v>-357.1</v>
      </c>
      <c r="S89" s="88">
        <v>0</v>
      </c>
      <c r="U89" s="152">
        <f t="shared" si="10"/>
        <v>0</v>
      </c>
      <c r="X89" s="152">
        <f t="shared" si="11"/>
        <v>0</v>
      </c>
    </row>
    <row r="90" spans="1:24" s="88" customFormat="1" ht="20.25" customHeight="1">
      <c r="A90" s="83" t="s">
        <v>449</v>
      </c>
      <c r="B90" s="89" t="s">
        <v>783</v>
      </c>
      <c r="C90" s="295">
        <v>150.41</v>
      </c>
      <c r="D90" s="296" t="s">
        <v>102</v>
      </c>
      <c r="E90" s="235">
        <v>435.97</v>
      </c>
      <c r="F90" s="18">
        <f t="shared" ref="F90:F91" si="77">ROUND(C90*E90,0)</f>
        <v>65574</v>
      </c>
      <c r="G90" s="90">
        <f>ESTIMATE!I726</f>
        <v>0</v>
      </c>
      <c r="H90" s="85" t="s">
        <v>102</v>
      </c>
      <c r="I90" s="109">
        <f>ESTIMATE!K726</f>
        <v>521.53</v>
      </c>
      <c r="J90" s="18">
        <f t="shared" si="76"/>
        <v>0</v>
      </c>
      <c r="K90" s="87">
        <f t="shared" si="58"/>
        <v>0</v>
      </c>
      <c r="L90" s="87">
        <f t="shared" si="59"/>
        <v>65574</v>
      </c>
      <c r="M90" s="83" t="s">
        <v>15</v>
      </c>
      <c r="N90" s="188">
        <f t="shared" si="60"/>
        <v>-85.559999999999945</v>
      </c>
      <c r="S90" s="88">
        <v>73418</v>
      </c>
      <c r="U90" s="152">
        <f t="shared" si="10"/>
        <v>-73418</v>
      </c>
      <c r="W90" s="88" t="s">
        <v>942</v>
      </c>
      <c r="X90" s="152">
        <f t="shared" si="11"/>
        <v>-281.20999999999998</v>
      </c>
    </row>
    <row r="91" spans="1:24" s="88" customFormat="1" ht="20.25" hidden="1" customHeight="1">
      <c r="A91" s="83" t="s">
        <v>490</v>
      </c>
      <c r="B91" s="89" t="s">
        <v>529</v>
      </c>
      <c r="C91" s="295"/>
      <c r="D91" s="296" t="s">
        <v>102</v>
      </c>
      <c r="E91" s="235">
        <v>430.85</v>
      </c>
      <c r="F91" s="18">
        <f t="shared" si="77"/>
        <v>0</v>
      </c>
      <c r="G91" s="90">
        <f>ESTIMATE!I734</f>
        <v>0</v>
      </c>
      <c r="H91" s="85" t="s">
        <v>102</v>
      </c>
      <c r="I91" s="109">
        <f>ESTIMATE!K734</f>
        <v>532.75</v>
      </c>
      <c r="J91" s="18">
        <f t="shared" si="6"/>
        <v>0</v>
      </c>
      <c r="K91" s="87">
        <f t="shared" si="58"/>
        <v>0</v>
      </c>
      <c r="L91" s="87">
        <f t="shared" si="59"/>
        <v>0</v>
      </c>
      <c r="M91" s="83" t="s">
        <v>15</v>
      </c>
      <c r="N91" s="188">
        <f t="shared" si="60"/>
        <v>-101.89999999999998</v>
      </c>
      <c r="S91" s="88">
        <v>43157</v>
      </c>
      <c r="U91" s="152">
        <f t="shared" ref="U91:U172" si="78">J91-S91</f>
        <v>-43157</v>
      </c>
      <c r="W91" s="88">
        <v>157.73000000000002</v>
      </c>
      <c r="X91" s="152">
        <f t="shared" ref="X91:X172" si="79">G91-W91</f>
        <v>-157.73000000000002</v>
      </c>
    </row>
    <row r="92" spans="1:24" s="88" customFormat="1" ht="20.25" hidden="1" customHeight="1">
      <c r="A92" s="83" t="s">
        <v>461</v>
      </c>
      <c r="B92" s="89" t="s">
        <v>1002</v>
      </c>
      <c r="C92" s="151"/>
      <c r="D92" s="195"/>
      <c r="E92" s="15"/>
      <c r="F92" s="18"/>
      <c r="G92" s="90">
        <f>ESTIMATE!I740</f>
        <v>0</v>
      </c>
      <c r="H92" s="85" t="s">
        <v>5</v>
      </c>
      <c r="I92" s="109">
        <f>ESTIMATE!K740</f>
        <v>6970.28</v>
      </c>
      <c r="J92" s="18">
        <f t="shared" ref="J92" si="80">ROUND(G92*I92,0)</f>
        <v>0</v>
      </c>
      <c r="K92" s="87">
        <f t="shared" si="58"/>
        <v>0</v>
      </c>
      <c r="L92" s="87">
        <f t="shared" si="59"/>
        <v>0</v>
      </c>
      <c r="M92" s="83" t="s">
        <v>15</v>
      </c>
      <c r="N92" s="188">
        <f t="shared" si="60"/>
        <v>-6970.28</v>
      </c>
      <c r="S92" s="88">
        <v>0</v>
      </c>
      <c r="U92" s="152">
        <f t="shared" si="78"/>
        <v>0</v>
      </c>
      <c r="W92" s="88">
        <v>0</v>
      </c>
      <c r="X92" s="152">
        <f t="shared" si="79"/>
        <v>0</v>
      </c>
    </row>
    <row r="93" spans="1:24" s="88" customFormat="1" ht="20.25" customHeight="1">
      <c r="A93" s="83" t="s">
        <v>450</v>
      </c>
      <c r="B93" s="89" t="s">
        <v>493</v>
      </c>
      <c r="C93" s="295">
        <v>42.19</v>
      </c>
      <c r="D93" s="296" t="s">
        <v>102</v>
      </c>
      <c r="E93" s="235">
        <v>1087.5999999999999</v>
      </c>
      <c r="F93" s="18">
        <f t="shared" ref="F93:F94" si="81">ROUND(C93*E93,0)</f>
        <v>45886</v>
      </c>
      <c r="G93" s="90">
        <f>ESTIMATE!I748</f>
        <v>0</v>
      </c>
      <c r="H93" s="85" t="s">
        <v>102</v>
      </c>
      <c r="I93" s="109">
        <f>ESTIMATE!K748</f>
        <v>1284.3599999999999</v>
      </c>
      <c r="J93" s="18">
        <f t="shared" si="6"/>
        <v>0</v>
      </c>
      <c r="K93" s="87">
        <f t="shared" si="58"/>
        <v>0</v>
      </c>
      <c r="L93" s="87">
        <f t="shared" si="59"/>
        <v>45886</v>
      </c>
      <c r="M93" s="83" t="s">
        <v>15</v>
      </c>
      <c r="N93" s="188">
        <f t="shared" si="60"/>
        <v>-196.76</v>
      </c>
      <c r="S93" s="88">
        <v>105936</v>
      </c>
      <c r="U93" s="152">
        <f t="shared" si="78"/>
        <v>-105936</v>
      </c>
      <c r="W93" s="88">
        <v>105.51</v>
      </c>
      <c r="X93" s="152">
        <f t="shared" si="79"/>
        <v>-105.51</v>
      </c>
    </row>
    <row r="94" spans="1:24" s="88" customFormat="1" ht="20.25" customHeight="1">
      <c r="A94" s="83" t="s">
        <v>451</v>
      </c>
      <c r="B94" s="89" t="s">
        <v>495</v>
      </c>
      <c r="C94" s="295">
        <v>4.51</v>
      </c>
      <c r="D94" s="296" t="s">
        <v>102</v>
      </c>
      <c r="E94" s="235">
        <v>1080.4000000000001</v>
      </c>
      <c r="F94" s="18">
        <f t="shared" si="81"/>
        <v>4873</v>
      </c>
      <c r="G94" s="90">
        <f>ESTIMATE!I763</f>
        <v>0</v>
      </c>
      <c r="H94" s="85" t="s">
        <v>102</v>
      </c>
      <c r="I94" s="109">
        <f>ESTIMATE!K763</f>
        <v>1279.49</v>
      </c>
      <c r="J94" s="18">
        <f>ROUND(G94*I94,0)</f>
        <v>0</v>
      </c>
      <c r="K94" s="87">
        <f t="shared" si="58"/>
        <v>0</v>
      </c>
      <c r="L94" s="87">
        <f t="shared" si="59"/>
        <v>4873</v>
      </c>
      <c r="M94" s="83" t="s">
        <v>15</v>
      </c>
      <c r="N94" s="188">
        <f t="shared" si="60"/>
        <v>-199.08999999999992</v>
      </c>
      <c r="S94" s="88">
        <v>9527</v>
      </c>
      <c r="U94" s="152">
        <f>J94-S94</f>
        <v>-9527</v>
      </c>
      <c r="W94" s="88">
        <v>9.4400000000000013</v>
      </c>
      <c r="X94" s="152">
        <f>G94-W94</f>
        <v>-9.4400000000000013</v>
      </c>
    </row>
    <row r="95" spans="1:24" s="88" customFormat="1" ht="20.25" hidden="1" customHeight="1">
      <c r="A95" s="83" t="s">
        <v>494</v>
      </c>
      <c r="B95" s="89" t="s">
        <v>695</v>
      </c>
      <c r="C95" s="185"/>
      <c r="D95" s="195"/>
      <c r="E95" s="109"/>
      <c r="F95" s="18"/>
      <c r="G95" s="90">
        <f>ESTIMATE!I770</f>
        <v>0</v>
      </c>
      <c r="H95" s="85" t="s">
        <v>77</v>
      </c>
      <c r="I95" s="109">
        <f>ESTIMATE!K770</f>
        <v>3278.84</v>
      </c>
      <c r="J95" s="18">
        <f t="shared" si="6"/>
        <v>0</v>
      </c>
      <c r="K95" s="87">
        <f t="shared" si="58"/>
        <v>0</v>
      </c>
      <c r="L95" s="87">
        <f t="shared" si="59"/>
        <v>0</v>
      </c>
      <c r="M95" s="83" t="s">
        <v>15</v>
      </c>
      <c r="N95" s="188">
        <f t="shared" si="60"/>
        <v>-3278.84</v>
      </c>
      <c r="S95" s="88">
        <v>33993</v>
      </c>
      <c r="U95" s="152">
        <f t="shared" si="78"/>
        <v>-33993</v>
      </c>
      <c r="W95" s="88">
        <v>12.16</v>
      </c>
      <c r="X95" s="152">
        <f t="shared" si="79"/>
        <v>-12.16</v>
      </c>
    </row>
    <row r="96" spans="1:24" s="88" customFormat="1" ht="20.25" hidden="1" customHeight="1">
      <c r="A96" s="83" t="s">
        <v>496</v>
      </c>
      <c r="B96" s="89" t="s">
        <v>827</v>
      </c>
      <c r="C96" s="185"/>
      <c r="D96" s="195"/>
      <c r="E96" s="109"/>
      <c r="F96" s="18"/>
      <c r="G96" s="90">
        <f>ESTIMATE!I776</f>
        <v>0</v>
      </c>
      <c r="H96" s="85" t="s">
        <v>102</v>
      </c>
      <c r="I96" s="109">
        <f>ESTIMATE!K776</f>
        <v>3022.02</v>
      </c>
      <c r="J96" s="18">
        <f t="shared" si="6"/>
        <v>0</v>
      </c>
      <c r="K96" s="87">
        <f t="shared" si="58"/>
        <v>0</v>
      </c>
      <c r="L96" s="87">
        <f t="shared" si="59"/>
        <v>0</v>
      </c>
      <c r="M96" s="83" t="s">
        <v>15</v>
      </c>
      <c r="N96" s="188">
        <f t="shared" si="60"/>
        <v>-3022.02</v>
      </c>
      <c r="S96" s="88">
        <v>11672</v>
      </c>
      <c r="U96" s="152">
        <f t="shared" si="78"/>
        <v>-11672</v>
      </c>
      <c r="W96" s="88">
        <v>4.46</v>
      </c>
      <c r="X96" s="152">
        <f t="shared" si="79"/>
        <v>-4.46</v>
      </c>
    </row>
    <row r="97" spans="1:24" s="88" customFormat="1" ht="20.25" hidden="1" customHeight="1">
      <c r="A97" s="83" t="s">
        <v>515</v>
      </c>
      <c r="B97" s="89" t="s">
        <v>697</v>
      </c>
      <c r="C97" s="185"/>
      <c r="D97" s="195"/>
      <c r="E97" s="109"/>
      <c r="F97" s="18"/>
      <c r="G97" s="90">
        <f>ESTIMATE!I791</f>
        <v>0</v>
      </c>
      <c r="H97" s="85" t="s">
        <v>102</v>
      </c>
      <c r="I97" s="109">
        <f>ESTIMATE!K791</f>
        <v>787.52</v>
      </c>
      <c r="J97" s="18">
        <f t="shared" si="6"/>
        <v>0</v>
      </c>
      <c r="K97" s="87">
        <f t="shared" si="58"/>
        <v>0</v>
      </c>
      <c r="L97" s="87">
        <f t="shared" si="59"/>
        <v>0</v>
      </c>
      <c r="M97" s="83" t="s">
        <v>15</v>
      </c>
      <c r="N97" s="188">
        <f t="shared" si="60"/>
        <v>-787.52</v>
      </c>
      <c r="S97" s="88">
        <v>5003</v>
      </c>
      <c r="U97" s="152">
        <f t="shared" si="78"/>
        <v>-5003</v>
      </c>
      <c r="W97" s="88">
        <v>13.879999999999999</v>
      </c>
      <c r="X97" s="152">
        <f t="shared" si="79"/>
        <v>-13.879999999999999</v>
      </c>
    </row>
    <row r="98" spans="1:24" s="88" customFormat="1" ht="20.25" hidden="1" customHeight="1">
      <c r="A98" s="83" t="s">
        <v>516</v>
      </c>
      <c r="B98" s="89" t="s">
        <v>698</v>
      </c>
      <c r="C98" s="185"/>
      <c r="D98" s="195"/>
      <c r="E98" s="109"/>
      <c r="F98" s="18"/>
      <c r="G98" s="90">
        <f>ESTIMATE!I801</f>
        <v>0</v>
      </c>
      <c r="H98" s="85" t="s">
        <v>102</v>
      </c>
      <c r="I98" s="109">
        <f>ESTIMATE!K801</f>
        <v>813.06</v>
      </c>
      <c r="J98" s="18">
        <f>ROUND(G98*I98,0)</f>
        <v>0</v>
      </c>
      <c r="K98" s="87">
        <f t="shared" si="58"/>
        <v>0</v>
      </c>
      <c r="L98" s="87">
        <f t="shared" si="59"/>
        <v>0</v>
      </c>
      <c r="M98" s="83" t="s">
        <v>15</v>
      </c>
      <c r="N98" s="188">
        <f t="shared" si="60"/>
        <v>-813.06</v>
      </c>
      <c r="S98" s="88">
        <v>0</v>
      </c>
      <c r="U98" s="152">
        <f>J98-S98</f>
        <v>0</v>
      </c>
      <c r="W98" s="88">
        <v>0</v>
      </c>
      <c r="X98" s="152">
        <f>G98-W98</f>
        <v>0</v>
      </c>
    </row>
    <row r="99" spans="1:24" s="88" customFormat="1" ht="20.25" customHeight="1">
      <c r="A99" s="83" t="s">
        <v>452</v>
      </c>
      <c r="B99" s="89" t="s">
        <v>497</v>
      </c>
      <c r="C99" s="295">
        <v>2.16</v>
      </c>
      <c r="D99" s="296" t="s">
        <v>102</v>
      </c>
      <c r="E99" s="235">
        <v>830.52</v>
      </c>
      <c r="F99" s="18">
        <f t="shared" ref="F99" si="82">ROUND(C99*E99,0)</f>
        <v>1794</v>
      </c>
      <c r="G99" s="90">
        <f>ESTIMATE!I806</f>
        <v>0</v>
      </c>
      <c r="H99" s="85" t="s">
        <v>102</v>
      </c>
      <c r="I99" s="109">
        <f>ESTIMATE!K806</f>
        <v>889.81</v>
      </c>
      <c r="J99" s="18">
        <f t="shared" si="6"/>
        <v>0</v>
      </c>
      <c r="K99" s="87">
        <f t="shared" si="58"/>
        <v>0</v>
      </c>
      <c r="L99" s="87">
        <f t="shared" si="59"/>
        <v>1794</v>
      </c>
      <c r="M99" s="83" t="s">
        <v>15</v>
      </c>
      <c r="N99" s="188">
        <f t="shared" si="60"/>
        <v>-59.289999999999964</v>
      </c>
      <c r="S99" s="88">
        <v>6476</v>
      </c>
      <c r="U99" s="152">
        <f t="shared" si="78"/>
        <v>-6476</v>
      </c>
      <c r="W99" s="88">
        <v>9.24</v>
      </c>
      <c r="X99" s="152">
        <f t="shared" si="79"/>
        <v>-9.24</v>
      </c>
    </row>
    <row r="100" spans="1:24" s="88" customFormat="1" ht="20.25" customHeight="1">
      <c r="A100" s="83" t="s">
        <v>453</v>
      </c>
      <c r="B100" s="89" t="s">
        <v>558</v>
      </c>
      <c r="C100" s="295">
        <v>11.02</v>
      </c>
      <c r="D100" s="296" t="s">
        <v>102</v>
      </c>
      <c r="E100" s="235">
        <v>516.42999999999995</v>
      </c>
      <c r="F100" s="18">
        <f t="shared" ref="F100" si="83">ROUND(C100*E100,0)</f>
        <v>5691</v>
      </c>
      <c r="G100" s="90">
        <f>ESTIMATE!I812</f>
        <v>0</v>
      </c>
      <c r="H100" s="85" t="s">
        <v>102</v>
      </c>
      <c r="I100" s="109">
        <f>ESTIMATE!K812</f>
        <v>509.65</v>
      </c>
      <c r="J100" s="18">
        <f t="shared" si="6"/>
        <v>0</v>
      </c>
      <c r="K100" s="87">
        <f t="shared" si="58"/>
        <v>0</v>
      </c>
      <c r="L100" s="87">
        <f t="shared" si="59"/>
        <v>5691</v>
      </c>
      <c r="M100" s="83" t="s">
        <v>15</v>
      </c>
      <c r="N100" s="188">
        <f t="shared" si="60"/>
        <v>6.7799999999999727</v>
      </c>
      <c r="S100" s="88">
        <v>20815</v>
      </c>
      <c r="U100" s="152">
        <f t="shared" si="78"/>
        <v>-20815</v>
      </c>
      <c r="W100" s="88">
        <v>42.84</v>
      </c>
      <c r="X100" s="152">
        <f t="shared" si="79"/>
        <v>-42.84</v>
      </c>
    </row>
    <row r="101" spans="1:24" s="88" customFormat="1" ht="20.25" hidden="1" customHeight="1">
      <c r="A101" s="83" t="s">
        <v>481</v>
      </c>
      <c r="B101" s="89" t="s">
        <v>990</v>
      </c>
      <c r="C101" s="185"/>
      <c r="D101" s="195"/>
      <c r="E101" s="109"/>
      <c r="F101" s="18">
        <f t="shared" ref="F101" si="84">ROUND(C101*E101,0)</f>
        <v>0</v>
      </c>
      <c r="G101" s="90">
        <f>ESTIMATE!I820</f>
        <v>0</v>
      </c>
      <c r="H101" s="85" t="s">
        <v>102</v>
      </c>
      <c r="I101" s="109">
        <f>ESTIMATE!K820</f>
        <v>1428.3</v>
      </c>
      <c r="J101" s="18">
        <f>ROUND(G101*I101,0)</f>
        <v>0</v>
      </c>
      <c r="K101" s="87">
        <f t="shared" si="58"/>
        <v>0</v>
      </c>
      <c r="L101" s="87">
        <f t="shared" si="59"/>
        <v>0</v>
      </c>
      <c r="M101" s="83" t="s">
        <v>15</v>
      </c>
      <c r="N101" s="188">
        <f t="shared" si="60"/>
        <v>-1428.3</v>
      </c>
      <c r="U101" s="152"/>
      <c r="X101" s="152"/>
    </row>
    <row r="102" spans="1:24" s="88" customFormat="1" ht="20.25" hidden="1" customHeight="1">
      <c r="A102" s="83" t="s">
        <v>519</v>
      </c>
      <c r="B102" s="89" t="s">
        <v>694</v>
      </c>
      <c r="C102" s="197"/>
      <c r="D102" s="195"/>
      <c r="E102" s="198"/>
      <c r="F102" s="18"/>
      <c r="G102" s="90">
        <f>ESTIMATE!I855</f>
        <v>0</v>
      </c>
      <c r="H102" s="85" t="s">
        <v>102</v>
      </c>
      <c r="I102" s="109">
        <f>ESTIMATE!K855</f>
        <v>28.94</v>
      </c>
      <c r="J102" s="18">
        <f t="shared" ref="J102:J107" si="85">ROUND(G102*I102,0)</f>
        <v>0</v>
      </c>
      <c r="K102" s="87">
        <f t="shared" si="58"/>
        <v>0</v>
      </c>
      <c r="L102" s="87">
        <f t="shared" si="59"/>
        <v>0</v>
      </c>
      <c r="M102" s="83" t="s">
        <v>15</v>
      </c>
      <c r="N102" s="188">
        <f t="shared" si="60"/>
        <v>-28.94</v>
      </c>
      <c r="S102" s="88">
        <v>12466</v>
      </c>
      <c r="U102" s="152">
        <f t="shared" si="78"/>
        <v>-12466</v>
      </c>
      <c r="W102" s="88">
        <v>581.69999999999993</v>
      </c>
      <c r="X102" s="152">
        <f t="shared" si="79"/>
        <v>-581.69999999999993</v>
      </c>
    </row>
    <row r="103" spans="1:24" s="88" customFormat="1" ht="20.25" customHeight="1">
      <c r="A103" s="83" t="s">
        <v>454</v>
      </c>
      <c r="B103" s="89" t="s">
        <v>838</v>
      </c>
      <c r="C103" s="185">
        <v>133.27000000000001</v>
      </c>
      <c r="D103" s="195" t="s">
        <v>102</v>
      </c>
      <c r="E103" s="109">
        <v>184.03</v>
      </c>
      <c r="F103" s="18">
        <f t="shared" ref="F103" si="86">ROUND(C103*E103,0)</f>
        <v>24526</v>
      </c>
      <c r="G103" s="90">
        <f>ESTIMATE!I877</f>
        <v>0</v>
      </c>
      <c r="H103" s="85" t="s">
        <v>102</v>
      </c>
      <c r="I103" s="109">
        <f>ESTIMATE!K877</f>
        <v>199.95</v>
      </c>
      <c r="J103" s="18">
        <f t="shared" ref="J103:J104" si="87">ROUND(G103*I103,0)</f>
        <v>0</v>
      </c>
      <c r="K103" s="87">
        <f t="shared" si="58"/>
        <v>0</v>
      </c>
      <c r="L103" s="87">
        <f t="shared" si="59"/>
        <v>24526</v>
      </c>
      <c r="M103" s="83" t="s">
        <v>15</v>
      </c>
      <c r="N103" s="188">
        <f t="shared" si="60"/>
        <v>-15.919999999999987</v>
      </c>
      <c r="S103" s="88">
        <v>68284</v>
      </c>
      <c r="U103" s="152">
        <f t="shared" si="78"/>
        <v>-68284</v>
      </c>
      <c r="W103" s="88">
        <v>436.56999999999994</v>
      </c>
      <c r="X103" s="152">
        <f t="shared" si="79"/>
        <v>-436.56999999999994</v>
      </c>
    </row>
    <row r="104" spans="1:24" s="88" customFormat="1" ht="20.25" customHeight="1">
      <c r="A104" s="83" t="s">
        <v>455</v>
      </c>
      <c r="B104" s="89" t="s">
        <v>559</v>
      </c>
      <c r="C104" s="295">
        <v>200.07</v>
      </c>
      <c r="D104" s="296" t="s">
        <v>102</v>
      </c>
      <c r="E104" s="235">
        <v>158.36000000000001</v>
      </c>
      <c r="F104" s="18">
        <f t="shared" ref="F104:F107" si="88">ROUND(C104*E104,0)</f>
        <v>31683</v>
      </c>
      <c r="G104" s="90">
        <f>ESTIMATE!I908</f>
        <v>0</v>
      </c>
      <c r="H104" s="85" t="s">
        <v>102</v>
      </c>
      <c r="I104" s="109">
        <f>ESTIMATE!K908</f>
        <v>201.45</v>
      </c>
      <c r="J104" s="18">
        <f t="shared" si="87"/>
        <v>0</v>
      </c>
      <c r="K104" s="87">
        <f t="shared" si="58"/>
        <v>0</v>
      </c>
      <c r="L104" s="87">
        <f t="shared" si="59"/>
        <v>31683</v>
      </c>
      <c r="M104" s="83" t="s">
        <v>15</v>
      </c>
      <c r="N104" s="188">
        <f t="shared" si="60"/>
        <v>-43.089999999999975</v>
      </c>
      <c r="S104" s="88">
        <v>0</v>
      </c>
      <c r="U104" s="152">
        <f t="shared" si="78"/>
        <v>0</v>
      </c>
      <c r="W104" s="88">
        <v>0</v>
      </c>
      <c r="X104" s="152">
        <f t="shared" si="79"/>
        <v>0</v>
      </c>
    </row>
    <row r="105" spans="1:24" s="88" customFormat="1" ht="20.25" customHeight="1">
      <c r="A105" s="83" t="s">
        <v>456</v>
      </c>
      <c r="B105" s="89" t="s">
        <v>1005</v>
      </c>
      <c r="C105" s="295">
        <v>105.04</v>
      </c>
      <c r="D105" s="296" t="s">
        <v>102</v>
      </c>
      <c r="E105" s="235">
        <v>217.22</v>
      </c>
      <c r="F105" s="18">
        <f t="shared" si="88"/>
        <v>22817</v>
      </c>
      <c r="G105" s="90">
        <f>ESTIMATE!I916</f>
        <v>0</v>
      </c>
      <c r="H105" s="85" t="s">
        <v>102</v>
      </c>
      <c r="I105" s="109">
        <f>ESTIMATE!K916</f>
        <v>276.7</v>
      </c>
      <c r="J105" s="18">
        <f t="shared" si="85"/>
        <v>0</v>
      </c>
      <c r="K105" s="87">
        <f t="shared" si="58"/>
        <v>0</v>
      </c>
      <c r="L105" s="87">
        <f t="shared" si="59"/>
        <v>22817</v>
      </c>
      <c r="M105" s="83" t="s">
        <v>15</v>
      </c>
      <c r="N105" s="188">
        <f t="shared" si="60"/>
        <v>-59.47999999999999</v>
      </c>
      <c r="S105" s="88">
        <v>29548</v>
      </c>
      <c r="U105" s="152">
        <f t="shared" si="78"/>
        <v>-29548</v>
      </c>
      <c r="W105" s="88">
        <v>157.73000000000002</v>
      </c>
      <c r="X105" s="152">
        <f t="shared" si="79"/>
        <v>-157.73000000000002</v>
      </c>
    </row>
    <row r="106" spans="1:24" s="88" customFormat="1" ht="27.75" customHeight="1">
      <c r="A106" s="83" t="s">
        <v>317</v>
      </c>
      <c r="B106" s="89" t="s">
        <v>1898</v>
      </c>
      <c r="C106" s="295">
        <v>26</v>
      </c>
      <c r="D106" s="296" t="s">
        <v>102</v>
      </c>
      <c r="E106" s="235">
        <v>1760.41</v>
      </c>
      <c r="F106" s="18">
        <f t="shared" ref="F106" si="89">ROUND(C106*E106,0)</f>
        <v>45771</v>
      </c>
      <c r="G106" s="90">
        <f>ESTIMATE!I922</f>
        <v>0</v>
      </c>
      <c r="H106" s="85" t="s">
        <v>102</v>
      </c>
      <c r="I106" s="109">
        <f>ESTIMATE!K922</f>
        <v>1760.4100000000003</v>
      </c>
      <c r="J106" s="18">
        <f t="shared" si="85"/>
        <v>0</v>
      </c>
      <c r="K106" s="87">
        <f t="shared" si="58"/>
        <v>0</v>
      </c>
      <c r="L106" s="87">
        <f t="shared" si="59"/>
        <v>45771</v>
      </c>
      <c r="M106" s="83" t="s">
        <v>15</v>
      </c>
      <c r="N106" s="188">
        <f t="shared" si="60"/>
        <v>0</v>
      </c>
      <c r="U106" s="152"/>
      <c r="X106" s="152"/>
    </row>
    <row r="107" spans="1:24" s="88" customFormat="1" ht="20.25" hidden="1" customHeight="1">
      <c r="A107" s="83" t="s">
        <v>494</v>
      </c>
      <c r="B107" s="89" t="s">
        <v>465</v>
      </c>
      <c r="C107" s="298"/>
      <c r="D107" s="180" t="s">
        <v>29</v>
      </c>
      <c r="E107" s="299">
        <v>69649</v>
      </c>
      <c r="F107" s="18">
        <f t="shared" si="88"/>
        <v>0</v>
      </c>
      <c r="G107" s="181">
        <f>ESTIMATE!I927</f>
        <v>0</v>
      </c>
      <c r="H107" s="92" t="s">
        <v>29</v>
      </c>
      <c r="I107" s="182">
        <f>ESTIMATE!K927</f>
        <v>87686.92</v>
      </c>
      <c r="J107" s="18">
        <f t="shared" si="85"/>
        <v>0</v>
      </c>
      <c r="K107" s="87">
        <f t="shared" si="58"/>
        <v>0</v>
      </c>
      <c r="L107" s="87">
        <f t="shared" si="59"/>
        <v>0</v>
      </c>
      <c r="M107" s="83" t="s">
        <v>15</v>
      </c>
      <c r="N107" s="188">
        <f t="shared" si="60"/>
        <v>-18037.919999999998</v>
      </c>
      <c r="S107" s="88">
        <v>254871</v>
      </c>
      <c r="U107" s="152">
        <f t="shared" si="78"/>
        <v>-254871</v>
      </c>
      <c r="W107" s="88">
        <v>4.03</v>
      </c>
      <c r="X107" s="152">
        <f t="shared" si="79"/>
        <v>-4.03</v>
      </c>
    </row>
    <row r="108" spans="1:24" s="88" customFormat="1" ht="20.25" hidden="1" customHeight="1">
      <c r="A108" s="83"/>
      <c r="B108" s="84" t="s">
        <v>839</v>
      </c>
      <c r="C108" s="151"/>
      <c r="D108" s="189"/>
      <c r="E108" s="15"/>
      <c r="F108" s="18"/>
      <c r="G108" s="90"/>
      <c r="H108" s="189"/>
      <c r="I108" s="109"/>
      <c r="J108" s="18">
        <f t="shared" ref="J108:J121" si="90">ROUND(G108*I108,0)</f>
        <v>0</v>
      </c>
      <c r="K108" s="87">
        <f t="shared" si="58"/>
        <v>0</v>
      </c>
      <c r="L108" s="87">
        <f t="shared" si="59"/>
        <v>0</v>
      </c>
      <c r="M108" s="83" t="s">
        <v>15</v>
      </c>
      <c r="N108" s="188">
        <f t="shared" si="60"/>
        <v>0</v>
      </c>
      <c r="S108" s="88">
        <v>0</v>
      </c>
      <c r="U108" s="152">
        <f t="shared" si="78"/>
        <v>0</v>
      </c>
      <c r="X108" s="152">
        <f t="shared" si="79"/>
        <v>0</v>
      </c>
    </row>
    <row r="109" spans="1:24" s="88" customFormat="1" ht="20.25" hidden="1" customHeight="1">
      <c r="A109" s="83" t="s">
        <v>503</v>
      </c>
      <c r="B109" s="89" t="s">
        <v>994</v>
      </c>
      <c r="C109" s="197"/>
      <c r="D109" s="195"/>
      <c r="E109" s="198"/>
      <c r="F109" s="18"/>
      <c r="G109" s="90">
        <f>ESTIMATE!I933</f>
        <v>0</v>
      </c>
      <c r="H109" s="85" t="s">
        <v>5</v>
      </c>
      <c r="I109" s="109">
        <f>ESTIMATE!K933</f>
        <v>14516.07</v>
      </c>
      <c r="J109" s="18">
        <f t="shared" si="90"/>
        <v>0</v>
      </c>
      <c r="K109" s="87">
        <f t="shared" si="58"/>
        <v>0</v>
      </c>
      <c r="L109" s="87">
        <f t="shared" si="59"/>
        <v>0</v>
      </c>
      <c r="M109" s="83" t="s">
        <v>15</v>
      </c>
      <c r="N109" s="188">
        <f t="shared" si="60"/>
        <v>-14516.07</v>
      </c>
      <c r="S109" s="88">
        <v>32680</v>
      </c>
      <c r="U109" s="152">
        <f t="shared" si="78"/>
        <v>-32680</v>
      </c>
      <c r="W109" s="88">
        <v>3.45</v>
      </c>
      <c r="X109" s="152">
        <f t="shared" si="79"/>
        <v>-3.45</v>
      </c>
    </row>
    <row r="110" spans="1:24" s="88" customFormat="1" ht="20.25" hidden="1" customHeight="1">
      <c r="A110" s="83" t="s">
        <v>500</v>
      </c>
      <c r="B110" s="89" t="s">
        <v>996</v>
      </c>
      <c r="C110" s="197"/>
      <c r="D110" s="195"/>
      <c r="E110" s="198"/>
      <c r="F110" s="18"/>
      <c r="G110" s="90">
        <f>ESTIMATE!I939</f>
        <v>0</v>
      </c>
      <c r="H110" s="85" t="s">
        <v>5</v>
      </c>
      <c r="I110" s="109">
        <f>ESTIMATE!K939</f>
        <v>13193.910000000002</v>
      </c>
      <c r="J110" s="18">
        <f t="shared" si="90"/>
        <v>0</v>
      </c>
      <c r="K110" s="87">
        <f t="shared" si="58"/>
        <v>0</v>
      </c>
      <c r="L110" s="87">
        <f t="shared" si="59"/>
        <v>0</v>
      </c>
      <c r="M110" s="83" t="s">
        <v>15</v>
      </c>
      <c r="N110" s="188">
        <f t="shared" si="60"/>
        <v>-13193.910000000002</v>
      </c>
      <c r="S110" s="88">
        <v>67160</v>
      </c>
      <c r="U110" s="152">
        <f t="shared" si="78"/>
        <v>-67160</v>
      </c>
      <c r="W110" s="88">
        <v>7.3500000000000005</v>
      </c>
      <c r="X110" s="152">
        <f t="shared" si="79"/>
        <v>-7.3500000000000005</v>
      </c>
    </row>
    <row r="111" spans="1:24" s="88" customFormat="1" ht="20.25" hidden="1" customHeight="1">
      <c r="A111" s="83" t="s">
        <v>504</v>
      </c>
      <c r="B111" s="89" t="s">
        <v>997</v>
      </c>
      <c r="C111" s="197"/>
      <c r="D111" s="195"/>
      <c r="E111" s="198"/>
      <c r="F111" s="18"/>
      <c r="G111" s="90">
        <f>ESTIMATE!I952</f>
        <v>0</v>
      </c>
      <c r="H111" s="85" t="s">
        <v>102</v>
      </c>
      <c r="I111" s="109">
        <f>ESTIMATE!K952</f>
        <v>1705.18</v>
      </c>
      <c r="J111" s="18">
        <f t="shared" si="90"/>
        <v>0</v>
      </c>
      <c r="K111" s="87">
        <f t="shared" si="58"/>
        <v>0</v>
      </c>
      <c r="L111" s="87">
        <f t="shared" si="59"/>
        <v>0</v>
      </c>
      <c r="M111" s="83" t="s">
        <v>15</v>
      </c>
      <c r="N111" s="188">
        <f t="shared" si="60"/>
        <v>-1705.18</v>
      </c>
      <c r="S111" s="88">
        <v>139597</v>
      </c>
      <c r="U111" s="152">
        <f t="shared" si="78"/>
        <v>-139597</v>
      </c>
      <c r="W111" s="88">
        <v>117.23</v>
      </c>
      <c r="X111" s="152">
        <f t="shared" si="79"/>
        <v>-117.23</v>
      </c>
    </row>
    <row r="112" spans="1:24" s="88" customFormat="1" ht="20.25" hidden="1" customHeight="1">
      <c r="A112" s="83" t="s">
        <v>476</v>
      </c>
      <c r="B112" s="89" t="s">
        <v>1003</v>
      </c>
      <c r="C112" s="151"/>
      <c r="D112" s="195"/>
      <c r="E112" s="15"/>
      <c r="F112" s="18"/>
      <c r="G112" s="90">
        <f>ESTIMATE!I957</f>
        <v>0</v>
      </c>
      <c r="H112" s="85" t="s">
        <v>102</v>
      </c>
      <c r="I112" s="109">
        <f>ESTIMATE!K957</f>
        <v>1346.06</v>
      </c>
      <c r="J112" s="18">
        <f t="shared" si="90"/>
        <v>0</v>
      </c>
      <c r="K112" s="87">
        <f t="shared" si="58"/>
        <v>0</v>
      </c>
      <c r="L112" s="87">
        <f t="shared" si="59"/>
        <v>0</v>
      </c>
      <c r="M112" s="83" t="s">
        <v>15</v>
      </c>
      <c r="N112" s="188">
        <f t="shared" si="60"/>
        <v>-1346.06</v>
      </c>
      <c r="S112" s="88">
        <v>0</v>
      </c>
      <c r="U112" s="152">
        <f t="shared" si="78"/>
        <v>0</v>
      </c>
      <c r="X112" s="152">
        <f t="shared" si="79"/>
        <v>0</v>
      </c>
    </row>
    <row r="113" spans="1:24" s="88" customFormat="1" ht="20.25" hidden="1" customHeight="1">
      <c r="A113" s="83" t="s">
        <v>502</v>
      </c>
      <c r="B113" s="89" t="s">
        <v>998</v>
      </c>
      <c r="C113" s="197"/>
      <c r="D113" s="196"/>
      <c r="E113" s="198"/>
      <c r="F113" s="18"/>
      <c r="G113" s="90">
        <f>ESTIMATE!I947</f>
        <v>0</v>
      </c>
      <c r="H113" s="92" t="s">
        <v>102</v>
      </c>
      <c r="I113" s="109">
        <f>ESTIMATE!K947</f>
        <v>1493.3500000000001</v>
      </c>
      <c r="J113" s="18">
        <f t="shared" si="90"/>
        <v>0</v>
      </c>
      <c r="K113" s="87">
        <f t="shared" si="58"/>
        <v>0</v>
      </c>
      <c r="L113" s="87">
        <f t="shared" si="59"/>
        <v>0</v>
      </c>
      <c r="M113" s="83" t="s">
        <v>15</v>
      </c>
      <c r="N113" s="188">
        <f t="shared" si="60"/>
        <v>-1493.3500000000001</v>
      </c>
      <c r="S113" s="88">
        <v>23110</v>
      </c>
      <c r="U113" s="152">
        <f t="shared" si="78"/>
        <v>-23110</v>
      </c>
      <c r="W113" s="88">
        <v>13.670000000000002</v>
      </c>
      <c r="X113" s="152">
        <f t="shared" si="79"/>
        <v>-13.670000000000002</v>
      </c>
    </row>
    <row r="114" spans="1:24" s="88" customFormat="1" ht="20.25" hidden="1" customHeight="1">
      <c r="A114" s="83" t="s">
        <v>503</v>
      </c>
      <c r="B114" s="89" t="s">
        <v>1040</v>
      </c>
      <c r="C114" s="197"/>
      <c r="D114" s="196"/>
      <c r="E114" s="198"/>
      <c r="F114" s="18"/>
      <c r="G114" s="90">
        <f>ESTIMATE!I968</f>
        <v>0</v>
      </c>
      <c r="H114" s="92" t="s">
        <v>102</v>
      </c>
      <c r="I114" s="109">
        <f>ESTIMATE!K968</f>
        <v>1052.8200000000002</v>
      </c>
      <c r="J114" s="18">
        <f t="shared" si="90"/>
        <v>0</v>
      </c>
      <c r="K114" s="87">
        <f t="shared" si="58"/>
        <v>0</v>
      </c>
      <c r="L114" s="87">
        <f t="shared" si="59"/>
        <v>0</v>
      </c>
      <c r="M114" s="83" t="s">
        <v>15</v>
      </c>
      <c r="N114" s="188">
        <f t="shared" si="60"/>
        <v>-1052.8200000000002</v>
      </c>
      <c r="S114" s="88">
        <v>0</v>
      </c>
      <c r="U114" s="152">
        <f t="shared" si="78"/>
        <v>0</v>
      </c>
      <c r="X114" s="152">
        <f t="shared" si="79"/>
        <v>0</v>
      </c>
    </row>
    <row r="115" spans="1:24" s="88" customFormat="1" ht="20.25" hidden="1" customHeight="1">
      <c r="A115" s="83" t="s">
        <v>503</v>
      </c>
      <c r="B115" s="89" t="s">
        <v>1247</v>
      </c>
      <c r="C115" s="197"/>
      <c r="D115" s="196"/>
      <c r="E115" s="198"/>
      <c r="F115" s="18"/>
      <c r="G115" s="90">
        <f>ESTIMATE!I979</f>
        <v>0</v>
      </c>
      <c r="H115" s="92" t="s">
        <v>102</v>
      </c>
      <c r="I115" s="109">
        <f>ESTIMATE!K979</f>
        <v>678.66000000000008</v>
      </c>
      <c r="J115" s="18">
        <f t="shared" si="90"/>
        <v>0</v>
      </c>
      <c r="K115" s="87">
        <f t="shared" si="58"/>
        <v>0</v>
      </c>
      <c r="L115" s="87">
        <f t="shared" si="59"/>
        <v>0</v>
      </c>
      <c r="M115" s="83" t="s">
        <v>15</v>
      </c>
      <c r="N115" s="188">
        <f t="shared" si="60"/>
        <v>-678.66000000000008</v>
      </c>
      <c r="S115" s="88">
        <v>0</v>
      </c>
      <c r="U115" s="152">
        <f t="shared" si="78"/>
        <v>0</v>
      </c>
      <c r="X115" s="152">
        <f t="shared" si="79"/>
        <v>0</v>
      </c>
    </row>
    <row r="116" spans="1:24" s="88" customFormat="1" ht="20.25" hidden="1" customHeight="1">
      <c r="A116" s="83" t="s">
        <v>504</v>
      </c>
      <c r="B116" s="89" t="s">
        <v>1000</v>
      </c>
      <c r="C116" s="197"/>
      <c r="D116" s="195"/>
      <c r="E116" s="198"/>
      <c r="F116" s="18"/>
      <c r="G116" s="90">
        <f>ESTIMATE!I987</f>
        <v>0</v>
      </c>
      <c r="H116" s="85" t="s">
        <v>5</v>
      </c>
      <c r="I116" s="109">
        <f>ESTIMATE!K987</f>
        <v>14358.369999999999</v>
      </c>
      <c r="J116" s="18">
        <f t="shared" si="90"/>
        <v>0</v>
      </c>
      <c r="K116" s="87">
        <f t="shared" si="58"/>
        <v>0</v>
      </c>
      <c r="L116" s="87">
        <f t="shared" si="59"/>
        <v>0</v>
      </c>
      <c r="M116" s="83" t="s">
        <v>15</v>
      </c>
      <c r="N116" s="188">
        <f t="shared" si="60"/>
        <v>-14358.369999999999</v>
      </c>
      <c r="S116" s="88">
        <v>12749</v>
      </c>
      <c r="U116" s="152">
        <f t="shared" si="78"/>
        <v>-12749</v>
      </c>
      <c r="W116" s="88">
        <v>1.3400000000000003</v>
      </c>
      <c r="X116" s="152">
        <f t="shared" si="79"/>
        <v>-1.3400000000000003</v>
      </c>
    </row>
    <row r="117" spans="1:24" s="88" customFormat="1" ht="20.25" hidden="1" customHeight="1">
      <c r="A117" s="83" t="s">
        <v>505</v>
      </c>
      <c r="B117" s="89" t="s">
        <v>1001</v>
      </c>
      <c r="C117" s="197"/>
      <c r="D117" s="196"/>
      <c r="E117" s="198"/>
      <c r="F117" s="18"/>
      <c r="G117" s="90">
        <f>ESTIMATE!I992</f>
        <v>0</v>
      </c>
      <c r="H117" s="92" t="s">
        <v>271</v>
      </c>
      <c r="I117" s="109">
        <f>ESTIMATE!K992</f>
        <v>1120.1300000000001</v>
      </c>
      <c r="J117" s="18">
        <f t="shared" si="90"/>
        <v>0</v>
      </c>
      <c r="K117" s="87">
        <f t="shared" si="58"/>
        <v>0</v>
      </c>
      <c r="L117" s="87">
        <f t="shared" si="59"/>
        <v>0</v>
      </c>
      <c r="M117" s="83" t="s">
        <v>15</v>
      </c>
      <c r="N117" s="188">
        <f t="shared" si="60"/>
        <v>-1120.1300000000001</v>
      </c>
      <c r="S117" s="88">
        <v>10248</v>
      </c>
      <c r="U117" s="152">
        <f t="shared" si="78"/>
        <v>-10248</v>
      </c>
      <c r="W117" s="88">
        <v>12.5</v>
      </c>
      <c r="X117" s="152">
        <f t="shared" si="79"/>
        <v>-12.5</v>
      </c>
    </row>
    <row r="118" spans="1:24" s="88" customFormat="1" ht="20.25" hidden="1" customHeight="1">
      <c r="A118" s="83" t="s">
        <v>505</v>
      </c>
      <c r="B118" s="89" t="s">
        <v>1241</v>
      </c>
      <c r="C118" s="197"/>
      <c r="D118" s="196"/>
      <c r="E118" s="198"/>
      <c r="F118" s="18"/>
      <c r="G118" s="90">
        <f>ESTIMATE!I997</f>
        <v>0</v>
      </c>
      <c r="H118" s="92" t="s">
        <v>102</v>
      </c>
      <c r="I118" s="109">
        <f>ESTIMATE!K997</f>
        <v>436.53</v>
      </c>
      <c r="J118" s="18">
        <f t="shared" si="90"/>
        <v>0</v>
      </c>
      <c r="K118" s="87">
        <f t="shared" si="58"/>
        <v>0</v>
      </c>
      <c r="L118" s="87">
        <f t="shared" si="59"/>
        <v>0</v>
      </c>
      <c r="M118" s="83" t="s">
        <v>15</v>
      </c>
      <c r="N118" s="188">
        <f t="shared" si="60"/>
        <v>-436.53</v>
      </c>
      <c r="S118" s="88">
        <v>43353</v>
      </c>
      <c r="U118" s="152">
        <f t="shared" si="78"/>
        <v>-43353</v>
      </c>
      <c r="W118" s="88">
        <v>117.23</v>
      </c>
      <c r="X118" s="152">
        <f t="shared" si="79"/>
        <v>-117.23</v>
      </c>
    </row>
    <row r="119" spans="1:24" s="88" customFormat="1" ht="20.25" hidden="1" customHeight="1">
      <c r="A119" s="83" t="s">
        <v>506</v>
      </c>
      <c r="B119" s="89" t="s">
        <v>1242</v>
      </c>
      <c r="C119" s="197"/>
      <c r="D119" s="196"/>
      <c r="E119" s="198"/>
      <c r="F119" s="18"/>
      <c r="G119" s="90">
        <f>ESTIMATE!I1003</f>
        <v>0</v>
      </c>
      <c r="H119" s="92" t="s">
        <v>102</v>
      </c>
      <c r="I119" s="109">
        <f>ESTIMATE!K1003</f>
        <v>501.99</v>
      </c>
      <c r="J119" s="18">
        <f t="shared" si="90"/>
        <v>0</v>
      </c>
      <c r="K119" s="87">
        <f t="shared" si="58"/>
        <v>0</v>
      </c>
      <c r="L119" s="87">
        <f t="shared" si="59"/>
        <v>0</v>
      </c>
      <c r="M119" s="83" t="s">
        <v>15</v>
      </c>
      <c r="N119" s="188">
        <f t="shared" si="60"/>
        <v>-501.99</v>
      </c>
      <c r="S119" s="88">
        <v>43353</v>
      </c>
      <c r="U119" s="152">
        <f t="shared" si="78"/>
        <v>-43353</v>
      </c>
      <c r="W119" s="88">
        <v>117.23</v>
      </c>
      <c r="X119" s="152">
        <f t="shared" si="79"/>
        <v>-117.23</v>
      </c>
    </row>
    <row r="120" spans="1:24" s="88" customFormat="1" ht="20.25" hidden="1" customHeight="1">
      <c r="A120" s="83" t="s">
        <v>506</v>
      </c>
      <c r="B120" s="89" t="s">
        <v>782</v>
      </c>
      <c r="C120" s="197"/>
      <c r="D120" s="195"/>
      <c r="E120" s="198"/>
      <c r="F120" s="18"/>
      <c r="G120" s="90">
        <f>ESTIMATE!I1029</f>
        <v>0</v>
      </c>
      <c r="H120" s="85" t="s">
        <v>5</v>
      </c>
      <c r="I120" s="109">
        <f>ESTIMATE!K1029</f>
        <v>8909.2499999999982</v>
      </c>
      <c r="J120" s="18">
        <f t="shared" si="90"/>
        <v>0</v>
      </c>
      <c r="K120" s="87">
        <f t="shared" si="58"/>
        <v>0</v>
      </c>
      <c r="L120" s="87">
        <f t="shared" si="59"/>
        <v>0</v>
      </c>
      <c r="M120" s="83" t="s">
        <v>15</v>
      </c>
      <c r="N120" s="188">
        <f t="shared" si="60"/>
        <v>-8909.2499999999982</v>
      </c>
      <c r="S120" s="88">
        <v>98200</v>
      </c>
      <c r="U120" s="152">
        <f t="shared" si="78"/>
        <v>-98200</v>
      </c>
      <c r="W120" s="88">
        <v>16.680000000000003</v>
      </c>
      <c r="X120" s="152">
        <f t="shared" si="79"/>
        <v>-16.680000000000003</v>
      </c>
    </row>
    <row r="121" spans="1:24" s="88" customFormat="1" ht="20.25" hidden="1" customHeight="1">
      <c r="A121" s="83" t="s">
        <v>480</v>
      </c>
      <c r="B121" s="89" t="s">
        <v>781</v>
      </c>
      <c r="C121" s="200"/>
      <c r="D121" s="195"/>
      <c r="E121" s="12"/>
      <c r="F121" s="18"/>
      <c r="G121" s="90">
        <f>ESTIMATE!I1020</f>
        <v>0</v>
      </c>
      <c r="H121" s="85" t="s">
        <v>5</v>
      </c>
      <c r="I121" s="109">
        <f>ESTIMATE!K1020</f>
        <v>8851.73</v>
      </c>
      <c r="J121" s="18">
        <f t="shared" si="90"/>
        <v>0</v>
      </c>
      <c r="K121" s="87">
        <f t="shared" si="58"/>
        <v>0</v>
      </c>
      <c r="L121" s="87">
        <f t="shared" si="59"/>
        <v>0</v>
      </c>
      <c r="M121" s="83" t="s">
        <v>15</v>
      </c>
      <c r="N121" s="188">
        <f t="shared" si="60"/>
        <v>-8851.73</v>
      </c>
      <c r="S121" s="88">
        <v>0</v>
      </c>
      <c r="U121" s="152">
        <f t="shared" si="78"/>
        <v>0</v>
      </c>
      <c r="X121" s="152">
        <f t="shared" si="79"/>
        <v>0</v>
      </c>
    </row>
    <row r="122" spans="1:24" s="88" customFormat="1" ht="27" hidden="1" customHeight="1">
      <c r="A122" s="83" t="s">
        <v>507</v>
      </c>
      <c r="B122" s="89" t="s">
        <v>692</v>
      </c>
      <c r="C122" s="197"/>
      <c r="D122" s="195"/>
      <c r="E122" s="198"/>
      <c r="F122" s="18"/>
      <c r="G122" s="90">
        <f>ESTIMATE!I1034</f>
        <v>0</v>
      </c>
      <c r="H122" s="85" t="s">
        <v>102</v>
      </c>
      <c r="I122" s="109">
        <f>ESTIMATE!K1034</f>
        <v>1066.07</v>
      </c>
      <c r="J122" s="18">
        <f>ROUND(G122*I122/1,0)</f>
        <v>0</v>
      </c>
      <c r="K122" s="87">
        <f t="shared" si="58"/>
        <v>0</v>
      </c>
      <c r="L122" s="87">
        <f t="shared" si="59"/>
        <v>0</v>
      </c>
      <c r="M122" s="83" t="s">
        <v>15</v>
      </c>
      <c r="N122" s="188">
        <f t="shared" si="60"/>
        <v>-1066.07</v>
      </c>
      <c r="S122" s="88">
        <v>70796</v>
      </c>
      <c r="U122" s="152">
        <f t="shared" si="78"/>
        <v>-70796</v>
      </c>
      <c r="W122" s="88">
        <v>93.950000000000017</v>
      </c>
      <c r="X122" s="152">
        <f t="shared" si="79"/>
        <v>-93.950000000000017</v>
      </c>
    </row>
    <row r="123" spans="1:24" s="88" customFormat="1" hidden="1">
      <c r="A123" s="83" t="s">
        <v>472</v>
      </c>
      <c r="B123" s="89" t="s">
        <v>989</v>
      </c>
      <c r="C123" s="200"/>
      <c r="D123" s="195"/>
      <c r="E123" s="12"/>
      <c r="F123" s="18"/>
      <c r="G123" s="90">
        <f>ESTIMATE!I1045</f>
        <v>0</v>
      </c>
      <c r="H123" s="85" t="s">
        <v>102</v>
      </c>
      <c r="I123" s="109">
        <f>ESTIMATE!K1045</f>
        <v>7453.36</v>
      </c>
      <c r="J123" s="18">
        <f>ROUND(G123*I123/1,0)</f>
        <v>0</v>
      </c>
      <c r="K123" s="87">
        <f t="shared" si="58"/>
        <v>0</v>
      </c>
      <c r="L123" s="87">
        <f t="shared" si="59"/>
        <v>0</v>
      </c>
      <c r="M123" s="83" t="s">
        <v>15</v>
      </c>
      <c r="N123" s="188">
        <f t="shared" si="60"/>
        <v>-7453.36</v>
      </c>
      <c r="U123" s="152"/>
      <c r="X123" s="152"/>
    </row>
    <row r="124" spans="1:24" s="88" customFormat="1" ht="20.25" hidden="1" customHeight="1">
      <c r="A124" s="83" t="s">
        <v>510</v>
      </c>
      <c r="B124" s="89" t="s">
        <v>470</v>
      </c>
      <c r="C124" s="197"/>
      <c r="D124" s="195"/>
      <c r="E124" s="198"/>
      <c r="F124" s="18"/>
      <c r="G124" s="90">
        <f>ESTIMATE!I1055</f>
        <v>0</v>
      </c>
      <c r="H124" s="85" t="s">
        <v>102</v>
      </c>
      <c r="I124" s="109">
        <f>ESTIMATE!K1055</f>
        <v>462.35</v>
      </c>
      <c r="J124" s="18">
        <f t="shared" ref="J124:J130" si="91">ROUND(G124*I124,0)</f>
        <v>0</v>
      </c>
      <c r="K124" s="87">
        <f t="shared" si="58"/>
        <v>0</v>
      </c>
      <c r="L124" s="87">
        <f t="shared" si="59"/>
        <v>0</v>
      </c>
      <c r="M124" s="83" t="s">
        <v>15</v>
      </c>
      <c r="N124" s="188">
        <f t="shared" si="60"/>
        <v>-462.35</v>
      </c>
      <c r="S124" s="88">
        <v>40647</v>
      </c>
      <c r="U124" s="152">
        <f t="shared" ref="U124:U130" si="92">J124-S124</f>
        <v>-40647</v>
      </c>
      <c r="W124" s="88">
        <v>142.76000000000002</v>
      </c>
      <c r="X124" s="152">
        <f t="shared" ref="X124:X130" si="93">G124-W124</f>
        <v>-142.76000000000002</v>
      </c>
    </row>
    <row r="125" spans="1:24" s="88" customFormat="1" ht="20.25" hidden="1" customHeight="1">
      <c r="A125" s="83" t="s">
        <v>482</v>
      </c>
      <c r="B125" s="89" t="s">
        <v>491</v>
      </c>
      <c r="C125" s="151"/>
      <c r="D125" s="195"/>
      <c r="E125" s="109"/>
      <c r="F125" s="18"/>
      <c r="G125" s="90">
        <f>ESTIMATE!I1096</f>
        <v>0</v>
      </c>
      <c r="H125" s="85" t="s">
        <v>102</v>
      </c>
      <c r="I125" s="109">
        <f>ESTIMATE!K1096</f>
        <v>374.88</v>
      </c>
      <c r="J125" s="18">
        <f t="shared" si="91"/>
        <v>0</v>
      </c>
      <c r="K125" s="87">
        <f t="shared" si="58"/>
        <v>0</v>
      </c>
      <c r="L125" s="87">
        <f t="shared" si="59"/>
        <v>0</v>
      </c>
      <c r="M125" s="83" t="s">
        <v>15</v>
      </c>
      <c r="N125" s="188">
        <f t="shared" si="60"/>
        <v>-374.88</v>
      </c>
      <c r="S125" s="88">
        <v>0</v>
      </c>
      <c r="U125" s="152">
        <f t="shared" si="92"/>
        <v>0</v>
      </c>
      <c r="X125" s="152">
        <f t="shared" si="93"/>
        <v>0</v>
      </c>
    </row>
    <row r="126" spans="1:24" s="88" customFormat="1" ht="20.25" hidden="1" customHeight="1">
      <c r="A126" s="83" t="s">
        <v>483</v>
      </c>
      <c r="B126" s="89" t="s">
        <v>745</v>
      </c>
      <c r="C126" s="151"/>
      <c r="D126" s="195"/>
      <c r="E126" s="109"/>
      <c r="F126" s="18"/>
      <c r="G126" s="90">
        <f>ESTIMATE!I1101</f>
        <v>0</v>
      </c>
      <c r="H126" s="85" t="s">
        <v>102</v>
      </c>
      <c r="I126" s="109">
        <f>ESTIMATE!K1101</f>
        <v>389.27</v>
      </c>
      <c r="J126" s="18">
        <f t="shared" si="91"/>
        <v>0</v>
      </c>
      <c r="K126" s="87">
        <f t="shared" si="58"/>
        <v>0</v>
      </c>
      <c r="L126" s="87">
        <f t="shared" si="59"/>
        <v>0</v>
      </c>
      <c r="M126" s="83" t="s">
        <v>15</v>
      </c>
      <c r="N126" s="188">
        <f t="shared" si="60"/>
        <v>-389.27</v>
      </c>
      <c r="S126" s="88">
        <v>0</v>
      </c>
      <c r="U126" s="152">
        <f t="shared" si="92"/>
        <v>0</v>
      </c>
      <c r="X126" s="152">
        <f t="shared" si="93"/>
        <v>0</v>
      </c>
    </row>
    <row r="127" spans="1:24" s="88" customFormat="1" ht="20.25" hidden="1" customHeight="1">
      <c r="A127" s="83" t="s">
        <v>508</v>
      </c>
      <c r="B127" s="89" t="s">
        <v>783</v>
      </c>
      <c r="C127" s="197"/>
      <c r="D127" s="195"/>
      <c r="E127" s="198"/>
      <c r="F127" s="18"/>
      <c r="G127" s="90">
        <f>ESTIMATE!I1108</f>
        <v>0</v>
      </c>
      <c r="H127" s="85" t="s">
        <v>102</v>
      </c>
      <c r="I127" s="109">
        <f>ESTIMATE!K1108</f>
        <v>526.09</v>
      </c>
      <c r="J127" s="18">
        <f t="shared" si="91"/>
        <v>0</v>
      </c>
      <c r="K127" s="87">
        <f t="shared" si="58"/>
        <v>0</v>
      </c>
      <c r="L127" s="87">
        <f t="shared" si="59"/>
        <v>0</v>
      </c>
      <c r="M127" s="83" t="s">
        <v>15</v>
      </c>
      <c r="N127" s="188">
        <f t="shared" si="60"/>
        <v>-526.09</v>
      </c>
      <c r="S127" s="88">
        <v>73418</v>
      </c>
      <c r="U127" s="152">
        <f t="shared" si="92"/>
        <v>-73418</v>
      </c>
      <c r="W127" s="88" t="s">
        <v>942</v>
      </c>
      <c r="X127" s="152">
        <f t="shared" si="93"/>
        <v>-281.20999999999998</v>
      </c>
    </row>
    <row r="128" spans="1:24" s="88" customFormat="1" ht="20.25" hidden="1" customHeight="1">
      <c r="A128" s="83" t="s">
        <v>512</v>
      </c>
      <c r="B128" s="89" t="s">
        <v>529</v>
      </c>
      <c r="C128" s="197"/>
      <c r="D128" s="195"/>
      <c r="E128" s="198"/>
      <c r="F128" s="18"/>
      <c r="G128" s="90">
        <f>ESTIMATE!I1117</f>
        <v>0</v>
      </c>
      <c r="H128" s="85" t="s">
        <v>102</v>
      </c>
      <c r="I128" s="109">
        <f>ESTIMATE!K1117</f>
        <v>537.32000000000005</v>
      </c>
      <c r="J128" s="18">
        <f t="shared" si="91"/>
        <v>0</v>
      </c>
      <c r="K128" s="87">
        <f t="shared" si="58"/>
        <v>0</v>
      </c>
      <c r="L128" s="87">
        <f t="shared" si="59"/>
        <v>0</v>
      </c>
      <c r="M128" s="83" t="s">
        <v>15</v>
      </c>
      <c r="N128" s="188">
        <f t="shared" si="60"/>
        <v>-537.32000000000005</v>
      </c>
      <c r="S128" s="88">
        <v>43157</v>
      </c>
      <c r="U128" s="152">
        <f t="shared" si="92"/>
        <v>-43157</v>
      </c>
      <c r="W128" s="88">
        <v>157.73000000000002</v>
      </c>
      <c r="X128" s="152">
        <f t="shared" si="93"/>
        <v>-157.73000000000002</v>
      </c>
    </row>
    <row r="129" spans="1:24" s="88" customFormat="1" ht="20.25" hidden="1" customHeight="1">
      <c r="A129" s="83" t="s">
        <v>461</v>
      </c>
      <c r="B129" s="89" t="s">
        <v>1002</v>
      </c>
      <c r="C129" s="151"/>
      <c r="D129" s="195"/>
      <c r="E129" s="15"/>
      <c r="F129" s="18"/>
      <c r="G129" s="90">
        <f>ESTIMATE!I1123</f>
        <v>0</v>
      </c>
      <c r="H129" s="85" t="s">
        <v>5</v>
      </c>
      <c r="I129" s="109">
        <f>ESTIMATE!K1123</f>
        <v>6970.28</v>
      </c>
      <c r="J129" s="18">
        <f t="shared" si="91"/>
        <v>0</v>
      </c>
      <c r="K129" s="87">
        <f t="shared" si="58"/>
        <v>0</v>
      </c>
      <c r="L129" s="87">
        <f t="shared" si="59"/>
        <v>0</v>
      </c>
      <c r="M129" s="83" t="s">
        <v>15</v>
      </c>
      <c r="N129" s="188">
        <f t="shared" si="60"/>
        <v>-6970.28</v>
      </c>
      <c r="S129" s="88">
        <v>0</v>
      </c>
      <c r="U129" s="152">
        <f t="shared" si="92"/>
        <v>0</v>
      </c>
      <c r="W129" s="88">
        <v>0</v>
      </c>
      <c r="X129" s="152">
        <f t="shared" si="93"/>
        <v>0</v>
      </c>
    </row>
    <row r="130" spans="1:24" s="88" customFormat="1" ht="20.25" hidden="1" customHeight="1">
      <c r="A130" s="83" t="s">
        <v>513</v>
      </c>
      <c r="B130" s="89" t="s">
        <v>493</v>
      </c>
      <c r="C130" s="199"/>
      <c r="D130" s="195"/>
      <c r="E130" s="12"/>
      <c r="F130" s="18"/>
      <c r="G130" s="90">
        <f>ESTIMATE!I1133</f>
        <v>0</v>
      </c>
      <c r="H130" s="85" t="s">
        <v>102</v>
      </c>
      <c r="I130" s="109">
        <f>ESTIMATE!K1133</f>
        <v>1330.7</v>
      </c>
      <c r="J130" s="18">
        <f t="shared" si="91"/>
        <v>0</v>
      </c>
      <c r="K130" s="87">
        <f t="shared" si="58"/>
        <v>0</v>
      </c>
      <c r="L130" s="87">
        <f t="shared" si="59"/>
        <v>0</v>
      </c>
      <c r="M130" s="83" t="s">
        <v>15</v>
      </c>
      <c r="N130" s="188">
        <f t="shared" si="60"/>
        <v>-1330.7</v>
      </c>
      <c r="S130" s="88">
        <v>105936</v>
      </c>
      <c r="U130" s="152">
        <f t="shared" si="92"/>
        <v>-105936</v>
      </c>
      <c r="W130" s="88">
        <v>105.51</v>
      </c>
      <c r="X130" s="152">
        <f t="shared" si="93"/>
        <v>-105.51</v>
      </c>
    </row>
    <row r="131" spans="1:24" s="88" customFormat="1" ht="20.25" hidden="1" customHeight="1">
      <c r="A131" s="83" t="s">
        <v>514</v>
      </c>
      <c r="B131" s="89" t="s">
        <v>495</v>
      </c>
      <c r="C131" s="199"/>
      <c r="D131" s="195"/>
      <c r="E131" s="12"/>
      <c r="F131" s="18"/>
      <c r="G131" s="90">
        <f>ESTIMATE!I1142</f>
        <v>0</v>
      </c>
      <c r="H131" s="85" t="s">
        <v>102</v>
      </c>
      <c r="I131" s="109">
        <f>ESTIMATE!K1142</f>
        <v>1325.83</v>
      </c>
      <c r="J131" s="18">
        <f>ROUND(G131*I131,0)</f>
        <v>0</v>
      </c>
      <c r="K131" s="87">
        <f t="shared" si="58"/>
        <v>0</v>
      </c>
      <c r="L131" s="87">
        <f t="shared" si="59"/>
        <v>0</v>
      </c>
      <c r="M131" s="83" t="s">
        <v>15</v>
      </c>
      <c r="N131" s="188">
        <f t="shared" si="60"/>
        <v>-1325.83</v>
      </c>
      <c r="S131" s="88">
        <v>9527</v>
      </c>
      <c r="U131" s="152">
        <f>J131-S131</f>
        <v>-9527</v>
      </c>
      <c r="W131" s="88">
        <v>9.4400000000000013</v>
      </c>
      <c r="X131" s="152">
        <f>G131-W131</f>
        <v>-9.4400000000000013</v>
      </c>
    </row>
    <row r="132" spans="1:24" s="88" customFormat="1" ht="20.25" hidden="1" customHeight="1">
      <c r="A132" s="83" t="s">
        <v>494</v>
      </c>
      <c r="B132" s="89" t="s">
        <v>695</v>
      </c>
      <c r="C132" s="185"/>
      <c r="D132" s="195"/>
      <c r="E132" s="109"/>
      <c r="F132" s="18"/>
      <c r="G132" s="90">
        <f>ESTIMATE!I1153</f>
        <v>0</v>
      </c>
      <c r="H132" s="85" t="s">
        <v>77</v>
      </c>
      <c r="I132" s="109">
        <f>ESTIMATE!K1153</f>
        <v>3354.14</v>
      </c>
      <c r="J132" s="18">
        <f t="shared" ref="J132:J134" si="94">ROUND(G132*I132,0)</f>
        <v>0</v>
      </c>
      <c r="K132" s="87">
        <f t="shared" si="58"/>
        <v>0</v>
      </c>
      <c r="L132" s="87">
        <f t="shared" si="59"/>
        <v>0</v>
      </c>
      <c r="M132" s="83" t="s">
        <v>15</v>
      </c>
      <c r="N132" s="188">
        <f t="shared" si="60"/>
        <v>-3354.14</v>
      </c>
      <c r="S132" s="88">
        <v>33993</v>
      </c>
      <c r="U132" s="152">
        <f t="shared" ref="U132:U134" si="95">J132-S132</f>
        <v>-33993</v>
      </c>
      <c r="W132" s="88">
        <v>12.16</v>
      </c>
      <c r="X132" s="152">
        <f t="shared" ref="X132:X134" si="96">G132-W132</f>
        <v>-12.16</v>
      </c>
    </row>
    <row r="133" spans="1:24" s="88" customFormat="1" ht="20.25" hidden="1" customHeight="1">
      <c r="A133" s="83" t="s">
        <v>496</v>
      </c>
      <c r="B133" s="89" t="s">
        <v>827</v>
      </c>
      <c r="C133" s="185"/>
      <c r="D133" s="195"/>
      <c r="E133" s="109"/>
      <c r="F133" s="18"/>
      <c r="G133" s="90">
        <f>ESTIMATE!I1162</f>
        <v>0</v>
      </c>
      <c r="H133" s="85" t="s">
        <v>102</v>
      </c>
      <c r="I133" s="109">
        <f>ESTIMATE!K1162</f>
        <v>3073.05</v>
      </c>
      <c r="J133" s="18">
        <f t="shared" si="94"/>
        <v>0</v>
      </c>
      <c r="K133" s="87">
        <f t="shared" si="58"/>
        <v>0</v>
      </c>
      <c r="L133" s="87">
        <f t="shared" si="59"/>
        <v>0</v>
      </c>
      <c r="M133" s="83" t="s">
        <v>15</v>
      </c>
      <c r="N133" s="188">
        <f t="shared" si="60"/>
        <v>-3073.05</v>
      </c>
      <c r="S133" s="88">
        <v>11672</v>
      </c>
      <c r="U133" s="152">
        <f t="shared" si="95"/>
        <v>-11672</v>
      </c>
      <c r="W133" s="88">
        <v>4.46</v>
      </c>
      <c r="X133" s="152">
        <f t="shared" si="96"/>
        <v>-4.46</v>
      </c>
    </row>
    <row r="134" spans="1:24" s="88" customFormat="1" ht="20.25" hidden="1" customHeight="1">
      <c r="A134" s="83" t="s">
        <v>515</v>
      </c>
      <c r="B134" s="89" t="s">
        <v>697</v>
      </c>
      <c r="C134" s="185"/>
      <c r="D134" s="195"/>
      <c r="E134" s="109"/>
      <c r="F134" s="18"/>
      <c r="G134" s="90">
        <f>ESTIMATE!I1177</f>
        <v>0</v>
      </c>
      <c r="H134" s="85" t="s">
        <v>102</v>
      </c>
      <c r="I134" s="109">
        <f>ESTIMATE!K1177</f>
        <v>826.62</v>
      </c>
      <c r="J134" s="18">
        <f t="shared" si="94"/>
        <v>0</v>
      </c>
      <c r="K134" s="87">
        <f t="shared" si="58"/>
        <v>0</v>
      </c>
      <c r="L134" s="87">
        <f t="shared" si="59"/>
        <v>0</v>
      </c>
      <c r="M134" s="83" t="s">
        <v>15</v>
      </c>
      <c r="N134" s="188">
        <f t="shared" si="60"/>
        <v>-826.62</v>
      </c>
      <c r="S134" s="88">
        <v>5003</v>
      </c>
      <c r="U134" s="152">
        <f t="shared" si="95"/>
        <v>-5003</v>
      </c>
      <c r="W134" s="88">
        <v>13.879999999999999</v>
      </c>
      <c r="X134" s="152">
        <f t="shared" si="96"/>
        <v>-13.879999999999999</v>
      </c>
    </row>
    <row r="135" spans="1:24" s="88" customFormat="1" ht="20.25" hidden="1" customHeight="1">
      <c r="A135" s="83" t="s">
        <v>516</v>
      </c>
      <c r="B135" s="89" t="s">
        <v>698</v>
      </c>
      <c r="C135" s="185"/>
      <c r="D135" s="195"/>
      <c r="E135" s="109"/>
      <c r="F135" s="18"/>
      <c r="G135" s="90">
        <f>ESTIMATE!I1187</f>
        <v>0</v>
      </c>
      <c r="H135" s="85" t="s">
        <v>102</v>
      </c>
      <c r="I135" s="109">
        <f>ESTIMATE!K1187</f>
        <v>853.85</v>
      </c>
      <c r="J135" s="18">
        <f>ROUND(G135*I135,0)</f>
        <v>0</v>
      </c>
      <c r="K135" s="87">
        <f t="shared" si="58"/>
        <v>0</v>
      </c>
      <c r="L135" s="87">
        <f t="shared" si="59"/>
        <v>0</v>
      </c>
      <c r="M135" s="83" t="s">
        <v>15</v>
      </c>
      <c r="N135" s="188">
        <f t="shared" si="60"/>
        <v>-853.85</v>
      </c>
      <c r="S135" s="88">
        <v>0</v>
      </c>
      <c r="U135" s="152">
        <f>J135-S135</f>
        <v>0</v>
      </c>
      <c r="W135" s="88">
        <v>0</v>
      </c>
      <c r="X135" s="152">
        <f>G135-W135</f>
        <v>0</v>
      </c>
    </row>
    <row r="136" spans="1:24" s="88" customFormat="1" ht="20.25" hidden="1" customHeight="1">
      <c r="A136" s="83" t="s">
        <v>517</v>
      </c>
      <c r="B136" s="89" t="s">
        <v>497</v>
      </c>
      <c r="C136" s="197"/>
      <c r="D136" s="195"/>
      <c r="E136" s="202"/>
      <c r="F136" s="18"/>
      <c r="G136" s="90">
        <f>ESTIMATE!I1201</f>
        <v>0</v>
      </c>
      <c r="H136" s="85" t="s">
        <v>102</v>
      </c>
      <c r="I136" s="109">
        <f>ESTIMATE!K1201</f>
        <v>930.6</v>
      </c>
      <c r="J136" s="18">
        <f t="shared" ref="J136:J137" si="97">ROUND(G136*I136,0)</f>
        <v>0</v>
      </c>
      <c r="K136" s="87">
        <f t="shared" si="58"/>
        <v>0</v>
      </c>
      <c r="L136" s="87">
        <f t="shared" si="59"/>
        <v>0</v>
      </c>
      <c r="M136" s="83" t="s">
        <v>15</v>
      </c>
      <c r="N136" s="188">
        <f t="shared" si="60"/>
        <v>-930.6</v>
      </c>
      <c r="S136" s="88">
        <v>6476</v>
      </c>
      <c r="U136" s="152">
        <f t="shared" ref="U136:U137" si="98">J136-S136</f>
        <v>-6476</v>
      </c>
      <c r="W136" s="88">
        <v>9.24</v>
      </c>
      <c r="X136" s="152">
        <f t="shared" ref="X136:X137" si="99">G136-W136</f>
        <v>-9.24</v>
      </c>
    </row>
    <row r="137" spans="1:24" s="88" customFormat="1" ht="20.25" hidden="1" customHeight="1">
      <c r="A137" s="83" t="s">
        <v>518</v>
      </c>
      <c r="B137" s="89" t="s">
        <v>558</v>
      </c>
      <c r="C137" s="197"/>
      <c r="D137" s="195"/>
      <c r="E137" s="198"/>
      <c r="F137" s="18"/>
      <c r="G137" s="90">
        <f>ESTIMATE!I1207</f>
        <v>0</v>
      </c>
      <c r="H137" s="85" t="s">
        <v>102</v>
      </c>
      <c r="I137" s="109">
        <f>ESTIMATE!K1207</f>
        <v>519.88</v>
      </c>
      <c r="J137" s="18">
        <f t="shared" si="97"/>
        <v>0</v>
      </c>
      <c r="K137" s="87">
        <f t="shared" ref="K137:K200" si="100">IF(J137&gt;F137,J137-F137,0)</f>
        <v>0</v>
      </c>
      <c r="L137" s="87">
        <f t="shared" ref="L137:L200" si="101">IF(J137&lt;F137,F137-J137,0)</f>
        <v>0</v>
      </c>
      <c r="M137" s="83" t="s">
        <v>15</v>
      </c>
      <c r="N137" s="188">
        <f t="shared" ref="N137:N200" si="102">E137-I137</f>
        <v>-519.88</v>
      </c>
      <c r="S137" s="88">
        <v>20815</v>
      </c>
      <c r="U137" s="152">
        <f t="shared" si="98"/>
        <v>-20815</v>
      </c>
      <c r="W137" s="88">
        <v>42.84</v>
      </c>
      <c r="X137" s="152">
        <f t="shared" si="99"/>
        <v>-42.84</v>
      </c>
    </row>
    <row r="138" spans="1:24" s="88" customFormat="1" ht="20.25" hidden="1" customHeight="1">
      <c r="A138" s="83" t="s">
        <v>481</v>
      </c>
      <c r="B138" s="89" t="s">
        <v>990</v>
      </c>
      <c r="C138" s="185"/>
      <c r="D138" s="195"/>
      <c r="E138" s="109"/>
      <c r="F138" s="18"/>
      <c r="G138" s="90">
        <f>ESTIMATE!I1215</f>
        <v>0</v>
      </c>
      <c r="H138" s="85" t="s">
        <v>102</v>
      </c>
      <c r="I138" s="109">
        <f>ESTIMATE!K1215</f>
        <v>1475.04</v>
      </c>
      <c r="J138" s="18">
        <f>ROUND(G138*I138,0)</f>
        <v>0</v>
      </c>
      <c r="K138" s="87">
        <f t="shared" si="100"/>
        <v>0</v>
      </c>
      <c r="L138" s="87">
        <f t="shared" si="101"/>
        <v>0</v>
      </c>
      <c r="M138" s="83" t="s">
        <v>15</v>
      </c>
      <c r="N138" s="188">
        <f t="shared" si="102"/>
        <v>-1475.04</v>
      </c>
      <c r="U138" s="152"/>
      <c r="X138" s="152"/>
    </row>
    <row r="139" spans="1:24" s="88" customFormat="1" ht="20.25" hidden="1" customHeight="1">
      <c r="A139" s="83" t="s">
        <v>519</v>
      </c>
      <c r="B139" s="89" t="s">
        <v>694</v>
      </c>
      <c r="C139" s="197"/>
      <c r="D139" s="195"/>
      <c r="E139" s="198"/>
      <c r="F139" s="18"/>
      <c r="G139" s="90">
        <f>ESTIMATE!I1250</f>
        <v>0</v>
      </c>
      <c r="H139" s="85" t="s">
        <v>102</v>
      </c>
      <c r="I139" s="109">
        <f>ESTIMATE!K1250</f>
        <v>28.94</v>
      </c>
      <c r="J139" s="18">
        <f t="shared" ref="J139:J143" si="103">ROUND(G139*I139,0)</f>
        <v>0</v>
      </c>
      <c r="K139" s="87">
        <f t="shared" si="100"/>
        <v>0</v>
      </c>
      <c r="L139" s="87">
        <f t="shared" si="101"/>
        <v>0</v>
      </c>
      <c r="M139" s="83" t="s">
        <v>15</v>
      </c>
      <c r="N139" s="188">
        <f t="shared" si="102"/>
        <v>-28.94</v>
      </c>
      <c r="S139" s="88">
        <v>12466</v>
      </c>
      <c r="U139" s="152">
        <f t="shared" ref="U139:U143" si="104">J139-S139</f>
        <v>-12466</v>
      </c>
      <c r="W139" s="88">
        <v>581.69999999999993</v>
      </c>
      <c r="X139" s="152">
        <f t="shared" ref="X139:X143" si="105">G139-W139</f>
        <v>-581.69999999999993</v>
      </c>
    </row>
    <row r="140" spans="1:24" s="88" customFormat="1" ht="20.25" hidden="1" customHeight="1">
      <c r="A140" s="83" t="s">
        <v>510</v>
      </c>
      <c r="B140" s="89" t="s">
        <v>838</v>
      </c>
      <c r="C140" s="185"/>
      <c r="D140" s="195"/>
      <c r="E140" s="109"/>
      <c r="F140" s="18"/>
      <c r="G140" s="90">
        <f>ESTIMATE!I1266</f>
        <v>0</v>
      </c>
      <c r="H140" s="85" t="s">
        <v>102</v>
      </c>
      <c r="I140" s="109">
        <f>ESTIMATE!K1266</f>
        <v>211.61</v>
      </c>
      <c r="J140" s="18">
        <f t="shared" si="103"/>
        <v>0</v>
      </c>
      <c r="K140" s="87">
        <f t="shared" si="100"/>
        <v>0</v>
      </c>
      <c r="L140" s="87">
        <f t="shared" si="101"/>
        <v>0</v>
      </c>
      <c r="M140" s="83" t="s">
        <v>15</v>
      </c>
      <c r="N140" s="188">
        <f t="shared" si="102"/>
        <v>-211.61</v>
      </c>
      <c r="S140" s="88">
        <v>68284</v>
      </c>
      <c r="U140" s="152">
        <f t="shared" si="104"/>
        <v>-68284</v>
      </c>
      <c r="W140" s="88">
        <v>436.56999999999994</v>
      </c>
      <c r="X140" s="152">
        <f t="shared" si="105"/>
        <v>-436.56999999999994</v>
      </c>
    </row>
    <row r="141" spans="1:24" s="88" customFormat="1" ht="20.25" hidden="1" customHeight="1">
      <c r="A141" s="83" t="s">
        <v>511</v>
      </c>
      <c r="B141" s="89" t="s">
        <v>559</v>
      </c>
      <c r="C141" s="185"/>
      <c r="D141" s="195"/>
      <c r="E141" s="109"/>
      <c r="F141" s="18"/>
      <c r="G141" s="90">
        <f>ESTIMATE!I1279</f>
        <v>0</v>
      </c>
      <c r="H141" s="85" t="s">
        <v>102</v>
      </c>
      <c r="I141" s="109">
        <f>ESTIMATE!K1279</f>
        <v>216.27</v>
      </c>
      <c r="J141" s="18">
        <f t="shared" si="103"/>
        <v>0</v>
      </c>
      <c r="K141" s="87">
        <f t="shared" si="100"/>
        <v>0</v>
      </c>
      <c r="L141" s="87">
        <f t="shared" si="101"/>
        <v>0</v>
      </c>
      <c r="M141" s="83" t="s">
        <v>15</v>
      </c>
      <c r="N141" s="188">
        <f t="shared" si="102"/>
        <v>-216.27</v>
      </c>
      <c r="S141" s="88">
        <v>0</v>
      </c>
      <c r="U141" s="152">
        <f t="shared" si="104"/>
        <v>0</v>
      </c>
      <c r="W141" s="88">
        <v>0</v>
      </c>
      <c r="X141" s="152">
        <f t="shared" si="105"/>
        <v>0</v>
      </c>
    </row>
    <row r="142" spans="1:24" s="88" customFormat="1" ht="20.25" hidden="1" customHeight="1">
      <c r="A142" s="83" t="s">
        <v>512</v>
      </c>
      <c r="B142" s="89" t="s">
        <v>1005</v>
      </c>
      <c r="C142" s="197"/>
      <c r="D142" s="195"/>
      <c r="E142" s="198"/>
      <c r="F142" s="18"/>
      <c r="G142" s="90">
        <f>ESTIMATE!I1290</f>
        <v>0</v>
      </c>
      <c r="H142" s="85" t="s">
        <v>102</v>
      </c>
      <c r="I142" s="109">
        <f>ESTIMATE!K1290</f>
        <v>297.76</v>
      </c>
      <c r="J142" s="18">
        <f t="shared" si="103"/>
        <v>0</v>
      </c>
      <c r="K142" s="87">
        <f t="shared" si="100"/>
        <v>0</v>
      </c>
      <c r="L142" s="87">
        <f t="shared" si="101"/>
        <v>0</v>
      </c>
      <c r="M142" s="83" t="s">
        <v>15</v>
      </c>
      <c r="N142" s="188">
        <f t="shared" si="102"/>
        <v>-297.76</v>
      </c>
      <c r="S142" s="88">
        <v>29548</v>
      </c>
      <c r="U142" s="152">
        <f t="shared" si="104"/>
        <v>-29548</v>
      </c>
      <c r="W142" s="88">
        <v>157.73000000000002</v>
      </c>
      <c r="X142" s="152">
        <f t="shared" si="105"/>
        <v>-157.73000000000002</v>
      </c>
    </row>
    <row r="143" spans="1:24" s="88" customFormat="1" ht="20.25" hidden="1" customHeight="1">
      <c r="A143" s="83" t="s">
        <v>513</v>
      </c>
      <c r="B143" s="89" t="s">
        <v>465</v>
      </c>
      <c r="C143" s="201"/>
      <c r="D143" s="196"/>
      <c r="E143" s="198"/>
      <c r="F143" s="18"/>
      <c r="G143" s="181">
        <f>ESTIMATE!I1295</f>
        <v>0</v>
      </c>
      <c r="H143" s="92" t="s">
        <v>29</v>
      </c>
      <c r="I143" s="182">
        <f>ESTIMATE!K1295</f>
        <v>89328.66</v>
      </c>
      <c r="J143" s="18">
        <f t="shared" si="103"/>
        <v>0</v>
      </c>
      <c r="K143" s="87">
        <f t="shared" si="100"/>
        <v>0</v>
      </c>
      <c r="L143" s="87">
        <f t="shared" si="101"/>
        <v>0</v>
      </c>
      <c r="M143" s="83" t="s">
        <v>15</v>
      </c>
      <c r="N143" s="188">
        <f t="shared" si="102"/>
        <v>-89328.66</v>
      </c>
      <c r="S143" s="88">
        <v>254871</v>
      </c>
      <c r="U143" s="152">
        <f t="shared" si="104"/>
        <v>-254871</v>
      </c>
      <c r="W143" s="88">
        <v>4.03</v>
      </c>
      <c r="X143" s="152">
        <f t="shared" si="105"/>
        <v>-4.03</v>
      </c>
    </row>
    <row r="144" spans="1:24" s="88" customFormat="1" ht="20.25" hidden="1" customHeight="1">
      <c r="A144" s="83"/>
      <c r="B144" s="84" t="s">
        <v>840</v>
      </c>
      <c r="C144" s="200"/>
      <c r="D144" s="196"/>
      <c r="E144" s="194"/>
      <c r="F144" s="18"/>
      <c r="G144" s="181"/>
      <c r="H144" s="92"/>
      <c r="I144" s="182"/>
      <c r="J144" s="18"/>
      <c r="K144" s="87">
        <f t="shared" si="100"/>
        <v>0</v>
      </c>
      <c r="L144" s="87">
        <f t="shared" si="101"/>
        <v>0</v>
      </c>
      <c r="M144" s="83" t="s">
        <v>15</v>
      </c>
      <c r="N144" s="188">
        <f t="shared" si="102"/>
        <v>0</v>
      </c>
      <c r="U144" s="152">
        <f t="shared" si="78"/>
        <v>0</v>
      </c>
      <c r="X144" s="152">
        <f t="shared" si="79"/>
        <v>0</v>
      </c>
    </row>
    <row r="145" spans="1:24" s="88" customFormat="1" ht="20.25" hidden="1" customHeight="1">
      <c r="A145" s="83" t="s">
        <v>496</v>
      </c>
      <c r="B145" s="89" t="s">
        <v>1007</v>
      </c>
      <c r="C145" s="295"/>
      <c r="D145" s="296" t="s">
        <v>114</v>
      </c>
      <c r="E145" s="235">
        <v>21226.89</v>
      </c>
      <c r="F145" s="18">
        <f>ROUND(C145*E145/1,0)</f>
        <v>0</v>
      </c>
      <c r="G145" s="90">
        <f>ESTIMATE!I1300</f>
        <v>0</v>
      </c>
      <c r="H145" s="85" t="s">
        <v>114</v>
      </c>
      <c r="I145" s="109">
        <f>ESTIMATE!K1300</f>
        <v>4429.3999999999996</v>
      </c>
      <c r="J145" s="18">
        <f>ROUND(G145*I145,0)</f>
        <v>0</v>
      </c>
      <c r="K145" s="87">
        <f t="shared" si="100"/>
        <v>0</v>
      </c>
      <c r="L145" s="87">
        <f t="shared" si="101"/>
        <v>0</v>
      </c>
      <c r="M145" s="83" t="s">
        <v>15</v>
      </c>
      <c r="N145" s="188">
        <f t="shared" si="102"/>
        <v>16797.489999999998</v>
      </c>
      <c r="S145" s="88">
        <v>22996</v>
      </c>
      <c r="U145" s="152">
        <f t="shared" si="78"/>
        <v>-22996</v>
      </c>
      <c r="W145" s="88">
        <v>1</v>
      </c>
      <c r="X145" s="152">
        <f t="shared" si="79"/>
        <v>-1</v>
      </c>
    </row>
    <row r="146" spans="1:24" s="88" customFormat="1" ht="20.25" hidden="1" customHeight="1">
      <c r="A146" s="83"/>
      <c r="B146" s="89" t="s">
        <v>1341</v>
      </c>
      <c r="C146" s="197"/>
      <c r="D146" s="195"/>
      <c r="E146" s="12"/>
      <c r="F146" s="18"/>
      <c r="G146" s="90">
        <f>ESTIMATE!I1337</f>
        <v>0</v>
      </c>
      <c r="H146" s="85" t="s">
        <v>114</v>
      </c>
      <c r="I146" s="109">
        <f>ESTIMATE!K1337</f>
        <v>17171.32</v>
      </c>
      <c r="J146" s="18">
        <f t="shared" ref="J146:J147" si="106">ROUND(G146*I146,0)</f>
        <v>0</v>
      </c>
      <c r="K146" s="87">
        <f t="shared" si="100"/>
        <v>0</v>
      </c>
      <c r="L146" s="87">
        <f t="shared" si="101"/>
        <v>0</v>
      </c>
      <c r="M146" s="83" t="s">
        <v>15</v>
      </c>
      <c r="N146" s="188">
        <f t="shared" si="102"/>
        <v>-17171.32</v>
      </c>
      <c r="U146" s="152"/>
      <c r="X146" s="152"/>
    </row>
    <row r="147" spans="1:24" s="88" customFormat="1" ht="20.25" hidden="1" customHeight="1">
      <c r="A147" s="83"/>
      <c r="B147" s="89" t="s">
        <v>1342</v>
      </c>
      <c r="C147" s="197"/>
      <c r="D147" s="195"/>
      <c r="E147" s="12"/>
      <c r="F147" s="18"/>
      <c r="G147" s="90">
        <f>ESTIMATE!I1346</f>
        <v>0</v>
      </c>
      <c r="H147" s="85" t="s">
        <v>114</v>
      </c>
      <c r="I147" s="109">
        <f>ESTIMATE!K1346</f>
        <v>16269.72</v>
      </c>
      <c r="J147" s="18">
        <f t="shared" si="106"/>
        <v>0</v>
      </c>
      <c r="K147" s="87">
        <f t="shared" si="100"/>
        <v>0</v>
      </c>
      <c r="L147" s="87">
        <f t="shared" si="101"/>
        <v>0</v>
      </c>
      <c r="M147" s="83" t="s">
        <v>15</v>
      </c>
      <c r="N147" s="188">
        <f t="shared" si="102"/>
        <v>-16269.72</v>
      </c>
      <c r="U147" s="152"/>
      <c r="X147" s="152"/>
    </row>
    <row r="148" spans="1:24" s="88" customFormat="1" ht="20.25" hidden="1" customHeight="1">
      <c r="A148" s="83" t="s">
        <v>922</v>
      </c>
      <c r="B148" s="89" t="s">
        <v>1006</v>
      </c>
      <c r="C148" s="197"/>
      <c r="D148" s="203"/>
      <c r="E148" s="12"/>
      <c r="F148" s="18"/>
      <c r="G148" s="90">
        <f>ESTIMATE!I1332</f>
        <v>0</v>
      </c>
      <c r="H148" s="85" t="s">
        <v>114</v>
      </c>
      <c r="I148" s="109">
        <f>ESTIMATE!K1332</f>
        <v>16617.559999999998</v>
      </c>
      <c r="J148" s="18">
        <f t="shared" ref="J148:J163" si="107">ROUND(G148*I148,0)</f>
        <v>0</v>
      </c>
      <c r="K148" s="87">
        <f t="shared" si="100"/>
        <v>0</v>
      </c>
      <c r="L148" s="87">
        <f t="shared" si="101"/>
        <v>0</v>
      </c>
      <c r="M148" s="83" t="s">
        <v>15</v>
      </c>
      <c r="N148" s="188">
        <f t="shared" si="102"/>
        <v>-16617.559999999998</v>
      </c>
      <c r="U148" s="152"/>
      <c r="X148" s="152"/>
    </row>
    <row r="149" spans="1:24" s="88" customFormat="1" ht="20.25" hidden="1" customHeight="1">
      <c r="A149" s="83" t="s">
        <v>514</v>
      </c>
      <c r="B149" s="89" t="s">
        <v>906</v>
      </c>
      <c r="C149" s="200"/>
      <c r="D149" s="252"/>
      <c r="E149" s="12"/>
      <c r="F149" s="18">
        <f t="shared" ref="F149:F154" si="108">ROUND(C149*E149/1,0)</f>
        <v>0</v>
      </c>
      <c r="G149" s="90">
        <f>ESTIMATE!I1349</f>
        <v>0</v>
      </c>
      <c r="H149" s="85" t="s">
        <v>114</v>
      </c>
      <c r="I149" s="109">
        <f>ESTIMATE!K1349</f>
        <v>19258.21</v>
      </c>
      <c r="J149" s="18">
        <f t="shared" si="107"/>
        <v>0</v>
      </c>
      <c r="K149" s="87">
        <f t="shared" si="100"/>
        <v>0</v>
      </c>
      <c r="L149" s="87">
        <f t="shared" si="101"/>
        <v>0</v>
      </c>
      <c r="M149" s="83" t="s">
        <v>15</v>
      </c>
      <c r="N149" s="188">
        <f t="shared" si="102"/>
        <v>-19258.21</v>
      </c>
      <c r="S149" s="88">
        <v>0</v>
      </c>
      <c r="U149" s="152">
        <f t="shared" si="78"/>
        <v>0</v>
      </c>
      <c r="X149" s="152">
        <f t="shared" si="79"/>
        <v>0</v>
      </c>
    </row>
    <row r="150" spans="1:24" s="88" customFormat="1" ht="20.25" hidden="1" customHeight="1">
      <c r="A150" s="83" t="s">
        <v>1430</v>
      </c>
      <c r="B150" s="89" t="s">
        <v>907</v>
      </c>
      <c r="C150" s="200"/>
      <c r="D150" s="252"/>
      <c r="E150" s="12"/>
      <c r="F150" s="18">
        <f t="shared" si="108"/>
        <v>0</v>
      </c>
      <c r="G150" s="90">
        <f>ESTIMATE!I1355</f>
        <v>0</v>
      </c>
      <c r="H150" s="85" t="s">
        <v>114</v>
      </c>
      <c r="I150" s="109">
        <f>ESTIMATE!K1355</f>
        <v>13013.39</v>
      </c>
      <c r="J150" s="18">
        <f t="shared" si="107"/>
        <v>0</v>
      </c>
      <c r="K150" s="87">
        <f t="shared" si="100"/>
        <v>0</v>
      </c>
      <c r="L150" s="87">
        <f t="shared" si="101"/>
        <v>0</v>
      </c>
      <c r="M150" s="83" t="s">
        <v>15</v>
      </c>
      <c r="N150" s="188">
        <f t="shared" si="102"/>
        <v>-13013.39</v>
      </c>
      <c r="U150" s="152">
        <f t="shared" si="78"/>
        <v>0</v>
      </c>
      <c r="X150" s="152">
        <f t="shared" si="79"/>
        <v>0</v>
      </c>
    </row>
    <row r="151" spans="1:24" s="88" customFormat="1" ht="32.25" customHeight="1">
      <c r="A151" s="83" t="s">
        <v>457</v>
      </c>
      <c r="B151" s="89" t="s">
        <v>699</v>
      </c>
      <c r="C151" s="295">
        <v>8.2100000000000009</v>
      </c>
      <c r="D151" s="296" t="s">
        <v>102</v>
      </c>
      <c r="E151" s="235">
        <v>6958.78</v>
      </c>
      <c r="F151" s="18">
        <f t="shared" si="108"/>
        <v>57132</v>
      </c>
      <c r="G151" s="90">
        <f>ESTIMATE!I1360</f>
        <v>6.3</v>
      </c>
      <c r="H151" s="85" t="s">
        <v>102</v>
      </c>
      <c r="I151" s="109">
        <f>ESTIMATE!K1360</f>
        <v>8363.11</v>
      </c>
      <c r="J151" s="18">
        <f t="shared" si="107"/>
        <v>52688</v>
      </c>
      <c r="K151" s="87">
        <f t="shared" si="100"/>
        <v>0</v>
      </c>
      <c r="L151" s="87">
        <f t="shared" si="101"/>
        <v>4444</v>
      </c>
      <c r="M151" s="83" t="s">
        <v>15</v>
      </c>
      <c r="N151" s="188">
        <f t="shared" si="102"/>
        <v>-1404.3300000000008</v>
      </c>
      <c r="S151" s="88">
        <v>189353</v>
      </c>
      <c r="U151" s="152">
        <f t="shared" si="78"/>
        <v>-136665</v>
      </c>
      <c r="W151" s="88">
        <v>31.5</v>
      </c>
      <c r="X151" s="152">
        <f t="shared" si="79"/>
        <v>-25.2</v>
      </c>
    </row>
    <row r="152" spans="1:24" s="88" customFormat="1" ht="32.25" hidden="1" customHeight="1">
      <c r="A152" s="83" t="s">
        <v>516</v>
      </c>
      <c r="B152" s="89" t="s">
        <v>1416</v>
      </c>
      <c r="C152" s="250"/>
      <c r="D152" s="247"/>
      <c r="E152" s="12"/>
      <c r="F152" s="18">
        <f t="shared" si="108"/>
        <v>0</v>
      </c>
      <c r="G152" s="90"/>
      <c r="H152" s="85"/>
      <c r="I152" s="109"/>
      <c r="J152" s="18"/>
      <c r="K152" s="87">
        <f t="shared" si="100"/>
        <v>0</v>
      </c>
      <c r="L152" s="87">
        <f t="shared" si="101"/>
        <v>0</v>
      </c>
      <c r="M152" s="83" t="s">
        <v>15</v>
      </c>
      <c r="N152" s="188">
        <f t="shared" si="102"/>
        <v>0</v>
      </c>
      <c r="U152" s="152"/>
      <c r="X152" s="152"/>
    </row>
    <row r="153" spans="1:24" s="88" customFormat="1" ht="24.75" hidden="1" customHeight="1">
      <c r="A153" s="83" t="s">
        <v>498</v>
      </c>
      <c r="B153" s="89" t="s">
        <v>908</v>
      </c>
      <c r="C153" s="295"/>
      <c r="D153" s="296" t="s">
        <v>102</v>
      </c>
      <c r="E153" s="235">
        <v>8058</v>
      </c>
      <c r="F153" s="18">
        <f t="shared" si="108"/>
        <v>0</v>
      </c>
      <c r="G153" s="90">
        <f>ESTIMATE!I1382</f>
        <v>13.780000000000001</v>
      </c>
      <c r="H153" s="85" t="s">
        <v>102</v>
      </c>
      <c r="I153" s="109">
        <f>ESTIMATE!K1382</f>
        <v>14309.01</v>
      </c>
      <c r="J153" s="18">
        <f t="shared" si="107"/>
        <v>197178</v>
      </c>
      <c r="K153" s="87">
        <f t="shared" si="100"/>
        <v>197178</v>
      </c>
      <c r="L153" s="87">
        <f t="shared" si="101"/>
        <v>0</v>
      </c>
      <c r="M153" s="83" t="s">
        <v>15</v>
      </c>
      <c r="N153" s="188">
        <f t="shared" si="102"/>
        <v>-6251.01</v>
      </c>
      <c r="S153" s="88">
        <v>244883</v>
      </c>
      <c r="U153" s="152">
        <f t="shared" si="78"/>
        <v>-47705</v>
      </c>
      <c r="W153" s="88">
        <v>30.39</v>
      </c>
      <c r="X153" s="152">
        <f t="shared" si="79"/>
        <v>-16.61</v>
      </c>
    </row>
    <row r="154" spans="1:24" s="88" customFormat="1" ht="24.75" customHeight="1">
      <c r="A154" s="83" t="s">
        <v>460</v>
      </c>
      <c r="B154" s="89" t="s">
        <v>1899</v>
      </c>
      <c r="C154" s="200">
        <v>5.76</v>
      </c>
      <c r="D154" s="195" t="s">
        <v>102</v>
      </c>
      <c r="E154" s="12">
        <v>6460</v>
      </c>
      <c r="F154" s="18">
        <f t="shared" si="108"/>
        <v>37210</v>
      </c>
      <c r="G154" s="90">
        <f>ESTIMATE!I1386</f>
        <v>0</v>
      </c>
      <c r="H154" s="85" t="s">
        <v>102</v>
      </c>
      <c r="I154" s="109">
        <f>ESTIMATE!K1386</f>
        <v>6698</v>
      </c>
      <c r="J154" s="18">
        <f t="shared" si="107"/>
        <v>0</v>
      </c>
      <c r="K154" s="87">
        <f t="shared" si="100"/>
        <v>0</v>
      </c>
      <c r="L154" s="87">
        <f t="shared" si="101"/>
        <v>37210</v>
      </c>
      <c r="M154" s="83" t="s">
        <v>15</v>
      </c>
      <c r="N154" s="188">
        <f t="shared" si="102"/>
        <v>-238</v>
      </c>
      <c r="U154" s="152"/>
      <c r="X154" s="152"/>
    </row>
    <row r="155" spans="1:24" s="88" customFormat="1" ht="24.75" hidden="1" customHeight="1">
      <c r="A155" s="83" t="s">
        <v>518</v>
      </c>
      <c r="B155" s="89" t="s">
        <v>909</v>
      </c>
      <c r="C155" s="200"/>
      <c r="D155" s="195"/>
      <c r="E155" s="12"/>
      <c r="F155" s="18"/>
      <c r="G155" s="90">
        <f>ESTIMATE!I1390</f>
        <v>0</v>
      </c>
      <c r="H155" s="85" t="s">
        <v>102</v>
      </c>
      <c r="I155" s="109">
        <f>ESTIMATE!K1390</f>
        <v>6456</v>
      </c>
      <c r="J155" s="18">
        <f t="shared" si="107"/>
        <v>0</v>
      </c>
      <c r="K155" s="87">
        <f t="shared" si="100"/>
        <v>0</v>
      </c>
      <c r="L155" s="87">
        <f t="shared" si="101"/>
        <v>0</v>
      </c>
      <c r="M155" s="83" t="s">
        <v>15</v>
      </c>
      <c r="N155" s="188">
        <f t="shared" si="102"/>
        <v>-6456</v>
      </c>
      <c r="S155" s="88">
        <v>14983</v>
      </c>
      <c r="U155" s="152">
        <f t="shared" si="78"/>
        <v>-14983</v>
      </c>
      <c r="W155" s="88">
        <v>2.57</v>
      </c>
      <c r="X155" s="152">
        <f t="shared" si="79"/>
        <v>-2.57</v>
      </c>
    </row>
    <row r="156" spans="1:24" s="88" customFormat="1" ht="20.25" customHeight="1">
      <c r="A156" s="83" t="s">
        <v>461</v>
      </c>
      <c r="B156" s="89" t="s">
        <v>700</v>
      </c>
      <c r="C156" s="185">
        <v>1</v>
      </c>
      <c r="D156" s="195" t="s">
        <v>114</v>
      </c>
      <c r="E156" s="109">
        <v>576.98</v>
      </c>
      <c r="F156" s="18">
        <f>ROUND(C156*E156/1,0)</f>
        <v>577</v>
      </c>
      <c r="G156" s="90">
        <f>ESTIMATE!I1395</f>
        <v>0</v>
      </c>
      <c r="H156" s="85" t="s">
        <v>114</v>
      </c>
      <c r="I156" s="109">
        <f>ESTIMATE!K1395</f>
        <v>591.9</v>
      </c>
      <c r="J156" s="18">
        <f t="shared" si="107"/>
        <v>0</v>
      </c>
      <c r="K156" s="87">
        <f t="shared" si="100"/>
        <v>0</v>
      </c>
      <c r="L156" s="87">
        <f t="shared" si="101"/>
        <v>577</v>
      </c>
      <c r="M156" s="83" t="s">
        <v>15</v>
      </c>
      <c r="N156" s="188">
        <f t="shared" si="102"/>
        <v>-14.919999999999959</v>
      </c>
      <c r="S156" s="88">
        <v>0</v>
      </c>
      <c r="U156" s="152">
        <f t="shared" si="78"/>
        <v>0</v>
      </c>
      <c r="X156" s="152">
        <f t="shared" si="79"/>
        <v>0</v>
      </c>
    </row>
    <row r="157" spans="1:24" s="88" customFormat="1" ht="20.25" hidden="1" customHeight="1">
      <c r="A157" s="83" t="s">
        <v>499</v>
      </c>
      <c r="B157" s="89" t="s">
        <v>876</v>
      </c>
      <c r="C157" s="295"/>
      <c r="D157" s="296" t="s">
        <v>102</v>
      </c>
      <c r="E157" s="235">
        <v>554.35</v>
      </c>
      <c r="F157" s="18">
        <f>ROUND(C157*E157/1,0)</f>
        <v>0</v>
      </c>
      <c r="G157" s="90">
        <f>ESTIMATE!I1399</f>
        <v>0</v>
      </c>
      <c r="H157" s="85" t="s">
        <v>102</v>
      </c>
      <c r="I157" s="109">
        <f>ESTIMATE!K1399</f>
        <v>735.8</v>
      </c>
      <c r="J157" s="18">
        <f t="shared" si="107"/>
        <v>0</v>
      </c>
      <c r="K157" s="87">
        <f t="shared" si="100"/>
        <v>0</v>
      </c>
      <c r="L157" s="87">
        <f t="shared" si="101"/>
        <v>0</v>
      </c>
      <c r="M157" s="83" t="s">
        <v>15</v>
      </c>
      <c r="N157" s="188">
        <f t="shared" si="102"/>
        <v>-181.44999999999993</v>
      </c>
      <c r="S157" s="88">
        <v>1847</v>
      </c>
      <c r="U157" s="152">
        <f t="shared" si="78"/>
        <v>-1847</v>
      </c>
      <c r="W157" s="88">
        <v>3.6</v>
      </c>
      <c r="X157" s="152">
        <f t="shared" si="79"/>
        <v>-3.6</v>
      </c>
    </row>
    <row r="158" spans="1:24" s="88" customFormat="1" ht="20.25" hidden="1" customHeight="1">
      <c r="A158" s="83" t="s">
        <v>926</v>
      </c>
      <c r="B158" s="89" t="s">
        <v>876</v>
      </c>
      <c r="C158" s="197"/>
      <c r="D158" s="195"/>
      <c r="E158" s="198"/>
      <c r="F158" s="18"/>
      <c r="G158" s="90"/>
      <c r="H158" s="85"/>
      <c r="I158" s="109"/>
      <c r="J158" s="18">
        <f t="shared" si="107"/>
        <v>0</v>
      </c>
      <c r="K158" s="87">
        <f t="shared" si="100"/>
        <v>0</v>
      </c>
      <c r="L158" s="87">
        <f t="shared" si="101"/>
        <v>0</v>
      </c>
      <c r="M158" s="83" t="s">
        <v>15</v>
      </c>
      <c r="N158" s="188">
        <f t="shared" si="102"/>
        <v>0</v>
      </c>
      <c r="U158" s="152"/>
      <c r="X158" s="152"/>
    </row>
    <row r="159" spans="1:24" s="88" customFormat="1" ht="20.25" customHeight="1">
      <c r="A159" s="83" t="s">
        <v>462</v>
      </c>
      <c r="B159" s="89" t="s">
        <v>530</v>
      </c>
      <c r="C159" s="293">
        <v>172</v>
      </c>
      <c r="D159" s="247" t="s">
        <v>4</v>
      </c>
      <c r="E159" s="235">
        <v>110.99</v>
      </c>
      <c r="F159" s="18">
        <f>ROUND(C159*E159/1,0)</f>
        <v>19090</v>
      </c>
      <c r="G159" s="90">
        <f>ESTIMATE!I1403</f>
        <v>0</v>
      </c>
      <c r="H159" s="85" t="s">
        <v>822</v>
      </c>
      <c r="I159" s="109">
        <f>ESTIMATE!K1403</f>
        <v>116.46000000000001</v>
      </c>
      <c r="J159" s="18">
        <f t="shared" si="107"/>
        <v>0</v>
      </c>
      <c r="K159" s="87">
        <f t="shared" si="100"/>
        <v>0</v>
      </c>
      <c r="L159" s="87">
        <f t="shared" si="101"/>
        <v>19090</v>
      </c>
      <c r="M159" s="83" t="s">
        <v>15</v>
      </c>
      <c r="N159" s="188">
        <f t="shared" si="102"/>
        <v>-5.4700000000000131</v>
      </c>
      <c r="S159" s="88">
        <v>39023</v>
      </c>
      <c r="U159" s="152">
        <f t="shared" ref="U159" si="109">J159-S159</f>
        <v>-39023</v>
      </c>
      <c r="W159" s="88">
        <v>32.42</v>
      </c>
      <c r="X159" s="152">
        <f t="shared" ref="X159" si="110">G159-W159</f>
        <v>-32.42</v>
      </c>
    </row>
    <row r="160" spans="1:24" s="88" customFormat="1" ht="20.25" hidden="1" customHeight="1">
      <c r="A160" s="83" t="s">
        <v>501</v>
      </c>
      <c r="B160" s="89" t="s">
        <v>530</v>
      </c>
      <c r="C160" s="295"/>
      <c r="D160" s="296" t="s">
        <v>102</v>
      </c>
      <c r="E160" s="235">
        <v>1398.37</v>
      </c>
      <c r="F160" s="18">
        <f>ROUND(C160*E160/1,0)</f>
        <v>0</v>
      </c>
      <c r="G160" s="90">
        <f>ESTIMATE!I1407</f>
        <v>0</v>
      </c>
      <c r="H160" s="85" t="s">
        <v>102</v>
      </c>
      <c r="I160" s="109">
        <f>ESTIMATE!K1407</f>
        <v>1758.49</v>
      </c>
      <c r="J160" s="18">
        <f t="shared" si="107"/>
        <v>0</v>
      </c>
      <c r="K160" s="87">
        <f t="shared" si="100"/>
        <v>0</v>
      </c>
      <c r="L160" s="87">
        <f t="shared" si="101"/>
        <v>0</v>
      </c>
      <c r="M160" s="83" t="s">
        <v>15</v>
      </c>
      <c r="N160" s="188">
        <f t="shared" si="102"/>
        <v>-360.12000000000012</v>
      </c>
      <c r="S160" s="88">
        <v>39023</v>
      </c>
      <c r="U160" s="152">
        <f t="shared" si="78"/>
        <v>-39023</v>
      </c>
      <c r="W160" s="88">
        <v>32.42</v>
      </c>
      <c r="X160" s="152">
        <f t="shared" si="79"/>
        <v>-32.42</v>
      </c>
    </row>
    <row r="161" spans="1:24" s="88" customFormat="1" ht="20.25" hidden="1" customHeight="1">
      <c r="A161" s="83" t="s">
        <v>504</v>
      </c>
      <c r="B161" s="89" t="s">
        <v>617</v>
      </c>
      <c r="C161" s="151"/>
      <c r="D161" s="195"/>
      <c r="E161" s="15"/>
      <c r="F161" s="18">
        <f>ROUND(C161*E161/1,0)</f>
        <v>0</v>
      </c>
      <c r="G161" s="90">
        <f>ESTIMATE!I1412</f>
        <v>0</v>
      </c>
      <c r="H161" s="85"/>
      <c r="I161" s="109">
        <f>ESTIMATE!K1412</f>
        <v>166.08</v>
      </c>
      <c r="J161" s="18">
        <f t="shared" si="107"/>
        <v>0</v>
      </c>
      <c r="K161" s="87">
        <f t="shared" si="100"/>
        <v>0</v>
      </c>
      <c r="L161" s="87">
        <f t="shared" si="101"/>
        <v>0</v>
      </c>
      <c r="M161" s="83" t="s">
        <v>15</v>
      </c>
      <c r="N161" s="188">
        <f t="shared" si="102"/>
        <v>-166.08</v>
      </c>
      <c r="S161" s="88">
        <v>0</v>
      </c>
      <c r="U161" s="152">
        <f t="shared" si="78"/>
        <v>0</v>
      </c>
      <c r="X161" s="152">
        <f t="shared" si="79"/>
        <v>0</v>
      </c>
    </row>
    <row r="162" spans="1:24" s="88" customFormat="1" ht="20.25" hidden="1" customHeight="1">
      <c r="A162" s="83" t="s">
        <v>927</v>
      </c>
      <c r="B162" s="89" t="s">
        <v>701</v>
      </c>
      <c r="C162" s="151"/>
      <c r="D162" s="195"/>
      <c r="E162" s="15"/>
      <c r="F162" s="18"/>
      <c r="G162" s="90">
        <f>ESTIMATE!I1419</f>
        <v>0</v>
      </c>
      <c r="H162" s="85" t="s">
        <v>102</v>
      </c>
      <c r="I162" s="109">
        <f>ESTIMATE!K1419</f>
        <v>4233.42</v>
      </c>
      <c r="J162" s="18">
        <f t="shared" si="107"/>
        <v>0</v>
      </c>
      <c r="K162" s="87">
        <f t="shared" si="100"/>
        <v>0</v>
      </c>
      <c r="L162" s="87">
        <f t="shared" si="101"/>
        <v>0</v>
      </c>
      <c r="M162" s="83" t="s">
        <v>15</v>
      </c>
      <c r="N162" s="188">
        <f t="shared" si="102"/>
        <v>-4233.42</v>
      </c>
      <c r="S162" s="88">
        <v>41051</v>
      </c>
      <c r="U162" s="152">
        <f t="shared" si="78"/>
        <v>-41051</v>
      </c>
      <c r="W162" s="88">
        <v>14.49</v>
      </c>
      <c r="X162" s="152">
        <f t="shared" si="79"/>
        <v>-14.49</v>
      </c>
    </row>
    <row r="163" spans="1:24" s="88" customFormat="1" ht="20.25" hidden="1" customHeight="1">
      <c r="A163" s="83" t="s">
        <v>630</v>
      </c>
      <c r="B163" s="89" t="s">
        <v>905</v>
      </c>
      <c r="C163" s="200"/>
      <c r="D163" s="196"/>
      <c r="E163" s="194"/>
      <c r="F163" s="18"/>
      <c r="G163" s="181">
        <f>ESTIMATE!I1430</f>
        <v>0</v>
      </c>
      <c r="H163" s="92" t="s">
        <v>271</v>
      </c>
      <c r="I163" s="182">
        <f>ESTIMATE!K1430</f>
        <v>529</v>
      </c>
      <c r="J163" s="18">
        <f t="shared" si="107"/>
        <v>0</v>
      </c>
      <c r="K163" s="87">
        <f t="shared" si="100"/>
        <v>0</v>
      </c>
      <c r="L163" s="87">
        <f t="shared" si="101"/>
        <v>0</v>
      </c>
      <c r="M163" s="83" t="s">
        <v>15</v>
      </c>
      <c r="N163" s="188">
        <f t="shared" si="102"/>
        <v>-529</v>
      </c>
      <c r="S163" s="88">
        <v>31312</v>
      </c>
      <c r="U163" s="152">
        <f t="shared" si="78"/>
        <v>-31312</v>
      </c>
      <c r="W163" s="88">
        <v>76</v>
      </c>
      <c r="X163" s="152">
        <f t="shared" si="79"/>
        <v>-76</v>
      </c>
    </row>
    <row r="164" spans="1:24" s="88" customFormat="1" ht="29.25" hidden="1" customHeight="1">
      <c r="A164" s="83" t="s">
        <v>520</v>
      </c>
      <c r="B164" s="84" t="s">
        <v>509</v>
      </c>
      <c r="C164" s="151"/>
      <c r="D164" s="189"/>
      <c r="E164" s="86"/>
      <c r="F164" s="18"/>
      <c r="G164" s="90"/>
      <c r="H164" s="189"/>
      <c r="I164" s="109"/>
      <c r="J164" s="18">
        <f t="shared" ref="J164" si="111">ROUND(G164*I164,0)</f>
        <v>0</v>
      </c>
      <c r="K164" s="87">
        <f t="shared" si="100"/>
        <v>0</v>
      </c>
      <c r="L164" s="87">
        <f t="shared" si="101"/>
        <v>0</v>
      </c>
      <c r="M164" s="83" t="s">
        <v>15</v>
      </c>
      <c r="N164" s="188">
        <f t="shared" si="102"/>
        <v>0</v>
      </c>
      <c r="S164" s="88">
        <v>0</v>
      </c>
      <c r="U164" s="152">
        <f t="shared" si="78"/>
        <v>0</v>
      </c>
      <c r="X164" s="152">
        <f t="shared" si="79"/>
        <v>0</v>
      </c>
    </row>
    <row r="165" spans="1:24" s="88" customFormat="1" ht="20.25" hidden="1" customHeight="1">
      <c r="A165" s="83" t="s">
        <v>627</v>
      </c>
      <c r="B165" s="89" t="s">
        <v>531</v>
      </c>
      <c r="C165" s="240"/>
      <c r="D165" s="249"/>
      <c r="E165" s="239"/>
      <c r="F165" s="18">
        <f t="shared" ref="F165:F168" si="112">ROUND(C165*E165,0)</f>
        <v>0</v>
      </c>
      <c r="G165" s="90">
        <f>ESTIMATE!I1435</f>
        <v>0</v>
      </c>
      <c r="H165" s="85" t="s">
        <v>271</v>
      </c>
      <c r="I165" s="109">
        <f>ESTIMATE!K1435</f>
        <v>288</v>
      </c>
      <c r="J165" s="18">
        <f t="shared" ref="J165:J241" si="113">ROUND(G165*I165,0)</f>
        <v>0</v>
      </c>
      <c r="K165" s="87">
        <f t="shared" si="100"/>
        <v>0</v>
      </c>
      <c r="L165" s="87">
        <f t="shared" si="101"/>
        <v>0</v>
      </c>
      <c r="M165" s="83" t="s">
        <v>15</v>
      </c>
      <c r="N165" s="188">
        <f t="shared" si="102"/>
        <v>-288</v>
      </c>
      <c r="S165" s="88">
        <v>7720</v>
      </c>
      <c r="U165" s="152">
        <f t="shared" si="78"/>
        <v>-7720</v>
      </c>
      <c r="W165" s="88">
        <v>40</v>
      </c>
      <c r="X165" s="152">
        <f t="shared" si="79"/>
        <v>-40</v>
      </c>
    </row>
    <row r="166" spans="1:24" s="88" customFormat="1" ht="20.25" customHeight="1">
      <c r="A166" s="83" t="s">
        <v>463</v>
      </c>
      <c r="B166" s="89" t="s">
        <v>532</v>
      </c>
      <c r="C166" s="240">
        <v>30</v>
      </c>
      <c r="D166" s="249" t="s">
        <v>271</v>
      </c>
      <c r="E166" s="239">
        <v>136</v>
      </c>
      <c r="F166" s="18">
        <f t="shared" si="112"/>
        <v>4080</v>
      </c>
      <c r="G166" s="90">
        <f>ESTIMATE!I1439</f>
        <v>0</v>
      </c>
      <c r="H166" s="85" t="s">
        <v>271</v>
      </c>
      <c r="I166" s="109">
        <f>ESTIMATE!K1439</f>
        <v>222</v>
      </c>
      <c r="J166" s="18">
        <f t="shared" si="113"/>
        <v>0</v>
      </c>
      <c r="K166" s="87">
        <f t="shared" si="100"/>
        <v>0</v>
      </c>
      <c r="L166" s="87">
        <f t="shared" si="101"/>
        <v>4080</v>
      </c>
      <c r="M166" s="83" t="s">
        <v>15</v>
      </c>
      <c r="N166" s="188">
        <f t="shared" si="102"/>
        <v>-86</v>
      </c>
      <c r="S166" s="88">
        <v>4920</v>
      </c>
      <c r="U166" s="152">
        <f t="shared" si="78"/>
        <v>-4920</v>
      </c>
      <c r="W166" s="88">
        <v>40</v>
      </c>
      <c r="X166" s="152">
        <f t="shared" si="79"/>
        <v>-40</v>
      </c>
    </row>
    <row r="167" spans="1:24" s="88" customFormat="1" ht="20.25" hidden="1" customHeight="1">
      <c r="A167" s="83" t="s">
        <v>628</v>
      </c>
      <c r="B167" s="89" t="s">
        <v>1340</v>
      </c>
      <c r="C167" s="240"/>
      <c r="D167" s="249"/>
      <c r="E167" s="239"/>
      <c r="F167" s="18">
        <f t="shared" si="112"/>
        <v>0</v>
      </c>
      <c r="G167" s="90">
        <f>ESTIMATE!I1445</f>
        <v>0</v>
      </c>
      <c r="H167" s="85" t="s">
        <v>271</v>
      </c>
      <c r="I167" s="109">
        <f>ESTIMATE!K1445</f>
        <v>184</v>
      </c>
      <c r="J167" s="18">
        <f t="shared" ref="J167" si="114">ROUND(G167*I167,0)</f>
        <v>0</v>
      </c>
      <c r="K167" s="87">
        <f t="shared" si="100"/>
        <v>0</v>
      </c>
      <c r="L167" s="87">
        <f t="shared" si="101"/>
        <v>0</v>
      </c>
      <c r="M167" s="83" t="s">
        <v>15</v>
      </c>
      <c r="N167" s="188">
        <f t="shared" si="102"/>
        <v>-184</v>
      </c>
      <c r="S167" s="88">
        <v>4920</v>
      </c>
      <c r="U167" s="152">
        <f t="shared" ref="U167" si="115">J167-S167</f>
        <v>-4920</v>
      </c>
      <c r="W167" s="88">
        <v>40</v>
      </c>
      <c r="X167" s="152">
        <f t="shared" ref="X167" si="116">G167-W167</f>
        <v>-40</v>
      </c>
    </row>
    <row r="168" spans="1:24" s="88" customFormat="1" ht="20.25" hidden="1" customHeight="1">
      <c r="A168" s="83" t="s">
        <v>1431</v>
      </c>
      <c r="B168" s="89" t="s">
        <v>1425</v>
      </c>
      <c r="C168" s="240"/>
      <c r="D168" s="249"/>
      <c r="E168" s="239"/>
      <c r="F168" s="18">
        <f t="shared" si="112"/>
        <v>0</v>
      </c>
      <c r="G168" s="90">
        <f>ESTIMATE!I1446</f>
        <v>0</v>
      </c>
      <c r="H168" s="85" t="s">
        <v>271</v>
      </c>
      <c r="I168" s="109">
        <f>ESTIMATE!K1446</f>
        <v>0</v>
      </c>
      <c r="J168" s="18">
        <f t="shared" ref="J168" si="117">ROUND(G168*I168,0)</f>
        <v>0</v>
      </c>
      <c r="K168" s="87">
        <f t="shared" si="100"/>
        <v>0</v>
      </c>
      <c r="L168" s="87">
        <f t="shared" si="101"/>
        <v>0</v>
      </c>
      <c r="M168" s="83" t="s">
        <v>15</v>
      </c>
      <c r="N168" s="188">
        <f t="shared" si="102"/>
        <v>0</v>
      </c>
      <c r="S168" s="88">
        <v>4920</v>
      </c>
      <c r="U168" s="152">
        <f t="shared" ref="U168" si="118">J168-S168</f>
        <v>-4920</v>
      </c>
      <c r="W168" s="88">
        <v>40</v>
      </c>
      <c r="X168" s="152">
        <f t="shared" ref="X168" si="119">G168-W168</f>
        <v>-40</v>
      </c>
    </row>
    <row r="169" spans="1:24" s="88" customFormat="1" ht="20.25" hidden="1" customHeight="1">
      <c r="A169" s="83" t="s">
        <v>929</v>
      </c>
      <c r="B169" s="89" t="s">
        <v>1041</v>
      </c>
      <c r="C169" s="151"/>
      <c r="D169" s="195"/>
      <c r="E169" s="15"/>
      <c r="F169" s="18"/>
      <c r="G169" s="90">
        <f>ESTIMATE!I1449</f>
        <v>0</v>
      </c>
      <c r="H169" s="85" t="s">
        <v>271</v>
      </c>
      <c r="I169" s="109">
        <f>ESTIMATE!K1449</f>
        <v>25</v>
      </c>
      <c r="J169" s="18">
        <f t="shared" si="113"/>
        <v>0</v>
      </c>
      <c r="K169" s="87">
        <f t="shared" si="100"/>
        <v>0</v>
      </c>
      <c r="L169" s="87">
        <f t="shared" si="101"/>
        <v>0</v>
      </c>
      <c r="M169" s="83" t="s">
        <v>15</v>
      </c>
      <c r="N169" s="188">
        <f t="shared" si="102"/>
        <v>-25</v>
      </c>
      <c r="U169" s="152"/>
      <c r="X169" s="152"/>
    </row>
    <row r="170" spans="1:24" s="88" customFormat="1" ht="20.25" customHeight="1">
      <c r="A170" s="83" t="s">
        <v>464</v>
      </c>
      <c r="B170" s="89" t="s">
        <v>533</v>
      </c>
      <c r="C170" s="240">
        <v>30</v>
      </c>
      <c r="D170" s="249" t="s">
        <v>271</v>
      </c>
      <c r="E170" s="239">
        <v>33</v>
      </c>
      <c r="F170" s="18">
        <f t="shared" ref="F170:F178" si="120">ROUND(C170*E170,0)</f>
        <v>990</v>
      </c>
      <c r="G170" s="90">
        <f>ESTIMATE!I1453</f>
        <v>0</v>
      </c>
      <c r="H170" s="85" t="s">
        <v>271</v>
      </c>
      <c r="I170" s="109">
        <f>ESTIMATE!K1453</f>
        <v>35</v>
      </c>
      <c r="J170" s="18">
        <f t="shared" si="113"/>
        <v>0</v>
      </c>
      <c r="K170" s="87">
        <f t="shared" si="100"/>
        <v>0</v>
      </c>
      <c r="L170" s="87">
        <f t="shared" si="101"/>
        <v>990</v>
      </c>
      <c r="M170" s="83" t="s">
        <v>15</v>
      </c>
      <c r="N170" s="188">
        <f t="shared" si="102"/>
        <v>-2</v>
      </c>
      <c r="S170" s="88">
        <v>2480</v>
      </c>
      <c r="U170" s="152">
        <f t="shared" si="78"/>
        <v>-2480</v>
      </c>
      <c r="W170" s="88">
        <v>80</v>
      </c>
      <c r="X170" s="152">
        <f t="shared" si="79"/>
        <v>-80</v>
      </c>
    </row>
    <row r="171" spans="1:24" s="88" customFormat="1" ht="20.25" customHeight="1">
      <c r="A171" s="83" t="s">
        <v>466</v>
      </c>
      <c r="B171" s="89" t="s">
        <v>534</v>
      </c>
      <c r="C171" s="240">
        <v>4</v>
      </c>
      <c r="D171" s="249" t="s">
        <v>114</v>
      </c>
      <c r="E171" s="239">
        <v>387</v>
      </c>
      <c r="F171" s="18">
        <f t="shared" si="120"/>
        <v>1548</v>
      </c>
      <c r="G171" s="90">
        <f>ESTIMATE!I1457</f>
        <v>0</v>
      </c>
      <c r="H171" s="85" t="s">
        <v>114</v>
      </c>
      <c r="I171" s="109">
        <f>ESTIMATE!K1457</f>
        <v>387</v>
      </c>
      <c r="J171" s="18">
        <f t="shared" si="113"/>
        <v>0</v>
      </c>
      <c r="K171" s="87">
        <f t="shared" si="100"/>
        <v>0</v>
      </c>
      <c r="L171" s="87">
        <f t="shared" si="101"/>
        <v>1548</v>
      </c>
      <c r="M171" s="83" t="s">
        <v>15</v>
      </c>
      <c r="N171" s="188">
        <f t="shared" si="102"/>
        <v>0</v>
      </c>
      <c r="S171" s="88">
        <v>698</v>
      </c>
      <c r="U171" s="152">
        <f t="shared" si="78"/>
        <v>-698</v>
      </c>
      <c r="W171" s="88">
        <v>2</v>
      </c>
      <c r="X171" s="152">
        <f t="shared" si="79"/>
        <v>-2</v>
      </c>
    </row>
    <row r="172" spans="1:24" s="88" customFormat="1" ht="24.75" hidden="1" customHeight="1">
      <c r="A172" s="83" t="s">
        <v>921</v>
      </c>
      <c r="B172" s="89" t="s">
        <v>702</v>
      </c>
      <c r="C172" s="240"/>
      <c r="D172" s="249"/>
      <c r="E172" s="239"/>
      <c r="F172" s="18">
        <f t="shared" si="120"/>
        <v>0</v>
      </c>
      <c r="G172" s="90">
        <f>ESTIMATE!I1465</f>
        <v>0</v>
      </c>
      <c r="H172" s="85" t="s">
        <v>114</v>
      </c>
      <c r="I172" s="109">
        <f>ESTIMATE!K1465</f>
        <v>1644</v>
      </c>
      <c r="J172" s="18">
        <f t="shared" si="113"/>
        <v>0</v>
      </c>
      <c r="K172" s="87">
        <f t="shared" si="100"/>
        <v>0</v>
      </c>
      <c r="L172" s="87">
        <f t="shared" si="101"/>
        <v>0</v>
      </c>
      <c r="M172" s="83" t="s">
        <v>15</v>
      </c>
      <c r="N172" s="188">
        <f t="shared" si="102"/>
        <v>-1644</v>
      </c>
      <c r="S172" s="88">
        <v>0</v>
      </c>
      <c r="U172" s="152">
        <f t="shared" si="78"/>
        <v>0</v>
      </c>
      <c r="W172" s="88">
        <v>0</v>
      </c>
      <c r="X172" s="152">
        <f t="shared" si="79"/>
        <v>0</v>
      </c>
    </row>
    <row r="173" spans="1:24" s="88" customFormat="1" ht="20.25" customHeight="1">
      <c r="A173" s="83" t="s">
        <v>467</v>
      </c>
      <c r="B173" s="89" t="s">
        <v>535</v>
      </c>
      <c r="C173" s="240">
        <v>4</v>
      </c>
      <c r="D173" s="249" t="s">
        <v>271</v>
      </c>
      <c r="E173" s="239">
        <v>149</v>
      </c>
      <c r="F173" s="18">
        <f t="shared" si="120"/>
        <v>596</v>
      </c>
      <c r="G173" s="90">
        <f>ESTIMATE!I1470</f>
        <v>0</v>
      </c>
      <c r="H173" s="85" t="s">
        <v>271</v>
      </c>
      <c r="I173" s="109">
        <f>ESTIMATE!K1470</f>
        <v>149</v>
      </c>
      <c r="J173" s="18">
        <f t="shared" si="113"/>
        <v>0</v>
      </c>
      <c r="K173" s="87">
        <f t="shared" si="100"/>
        <v>0</v>
      </c>
      <c r="L173" s="87">
        <f t="shared" si="101"/>
        <v>596</v>
      </c>
      <c r="M173" s="83" t="s">
        <v>15</v>
      </c>
      <c r="N173" s="188">
        <f t="shared" si="102"/>
        <v>0</v>
      </c>
      <c r="S173" s="88">
        <v>820</v>
      </c>
      <c r="U173" s="152">
        <f t="shared" ref="U173:U237" si="121">J173-S173</f>
        <v>-820</v>
      </c>
      <c r="W173" s="88">
        <v>6</v>
      </c>
      <c r="X173" s="152">
        <f t="shared" ref="X173:X237" si="122">G173-W173</f>
        <v>-6</v>
      </c>
    </row>
    <row r="174" spans="1:24" s="88" customFormat="1" ht="20.25" hidden="1" customHeight="1">
      <c r="A174" s="83" t="s">
        <v>629</v>
      </c>
      <c r="B174" s="89" t="s">
        <v>536</v>
      </c>
      <c r="C174" s="240"/>
      <c r="D174" s="249"/>
      <c r="E174" s="239"/>
      <c r="F174" s="18">
        <f t="shared" si="120"/>
        <v>0</v>
      </c>
      <c r="G174" s="90">
        <f>ESTIMATE!I1474</f>
        <v>0</v>
      </c>
      <c r="H174" s="85" t="s">
        <v>271</v>
      </c>
      <c r="I174" s="109">
        <f>ESTIMATE!K1474</f>
        <v>141.66666666666666</v>
      </c>
      <c r="J174" s="18">
        <f t="shared" si="113"/>
        <v>0</v>
      </c>
      <c r="K174" s="87">
        <f t="shared" si="100"/>
        <v>0</v>
      </c>
      <c r="L174" s="87">
        <f t="shared" si="101"/>
        <v>0</v>
      </c>
      <c r="M174" s="83" t="s">
        <v>15</v>
      </c>
      <c r="N174" s="188">
        <f t="shared" si="102"/>
        <v>-141.66666666666666</v>
      </c>
      <c r="S174" s="88">
        <v>0</v>
      </c>
      <c r="U174" s="152">
        <f t="shared" si="121"/>
        <v>0</v>
      </c>
      <c r="W174" s="88">
        <v>0</v>
      </c>
      <c r="X174" s="152">
        <f t="shared" si="122"/>
        <v>0</v>
      </c>
    </row>
    <row r="175" spans="1:24" s="88" customFormat="1" ht="20.25" customHeight="1">
      <c r="A175" s="83" t="s">
        <v>468</v>
      </c>
      <c r="B175" s="89" t="s">
        <v>537</v>
      </c>
      <c r="C175" s="240">
        <v>4</v>
      </c>
      <c r="D175" s="249" t="s">
        <v>271</v>
      </c>
      <c r="E175" s="239">
        <v>89</v>
      </c>
      <c r="F175" s="18">
        <f t="shared" si="120"/>
        <v>356</v>
      </c>
      <c r="G175" s="90">
        <f>ESTIMATE!I1478</f>
        <v>0</v>
      </c>
      <c r="H175" s="85" t="s">
        <v>271</v>
      </c>
      <c r="I175" s="109">
        <f>ESTIMATE!K1478</f>
        <v>89</v>
      </c>
      <c r="J175" s="18">
        <f t="shared" si="113"/>
        <v>0</v>
      </c>
      <c r="K175" s="87">
        <f t="shared" si="100"/>
        <v>0</v>
      </c>
      <c r="L175" s="87">
        <f t="shared" si="101"/>
        <v>356</v>
      </c>
      <c r="M175" s="83" t="s">
        <v>15</v>
      </c>
      <c r="N175" s="188">
        <f t="shared" si="102"/>
        <v>0</v>
      </c>
      <c r="S175" s="88">
        <v>488</v>
      </c>
      <c r="U175" s="152">
        <f t="shared" si="121"/>
        <v>-488</v>
      </c>
      <c r="W175" s="88">
        <v>6</v>
      </c>
      <c r="X175" s="152">
        <f t="shared" si="122"/>
        <v>-6</v>
      </c>
    </row>
    <row r="176" spans="1:24" s="88" customFormat="1" ht="20.25" customHeight="1">
      <c r="A176" s="83" t="s">
        <v>469</v>
      </c>
      <c r="B176" s="89" t="s">
        <v>538</v>
      </c>
      <c r="C176" s="240">
        <v>8</v>
      </c>
      <c r="D176" s="249" t="s">
        <v>271</v>
      </c>
      <c r="E176" s="239">
        <v>79</v>
      </c>
      <c r="F176" s="18">
        <f t="shared" si="120"/>
        <v>632</v>
      </c>
      <c r="G176" s="90">
        <f>ESTIMATE!I1483</f>
        <v>0</v>
      </c>
      <c r="H176" s="85" t="s">
        <v>271</v>
      </c>
      <c r="I176" s="109">
        <f>ESTIMATE!K1483</f>
        <v>84</v>
      </c>
      <c r="J176" s="18">
        <f t="shared" si="113"/>
        <v>0</v>
      </c>
      <c r="K176" s="87">
        <f t="shared" si="100"/>
        <v>0</v>
      </c>
      <c r="L176" s="87">
        <f t="shared" si="101"/>
        <v>632</v>
      </c>
      <c r="M176" s="83" t="s">
        <v>15</v>
      </c>
      <c r="N176" s="188">
        <f t="shared" si="102"/>
        <v>-5</v>
      </c>
      <c r="S176" s="88">
        <v>840</v>
      </c>
      <c r="U176" s="152">
        <f t="shared" si="121"/>
        <v>-840</v>
      </c>
      <c r="W176" s="88">
        <v>12</v>
      </c>
      <c r="X176" s="152">
        <f t="shared" si="122"/>
        <v>-12</v>
      </c>
    </row>
    <row r="177" spans="1:24" s="88" customFormat="1" ht="20.25" hidden="1" customHeight="1">
      <c r="A177" s="83" t="s">
        <v>630</v>
      </c>
      <c r="B177" s="89" t="s">
        <v>1423</v>
      </c>
      <c r="C177" s="240"/>
      <c r="D177" s="249"/>
      <c r="E177" s="239"/>
      <c r="F177" s="18">
        <f t="shared" si="120"/>
        <v>0</v>
      </c>
      <c r="G177" s="90"/>
      <c r="H177" s="85"/>
      <c r="I177" s="109"/>
      <c r="J177" s="18"/>
      <c r="K177" s="87">
        <f t="shared" si="100"/>
        <v>0</v>
      </c>
      <c r="L177" s="87">
        <f t="shared" si="101"/>
        <v>0</v>
      </c>
      <c r="M177" s="83" t="s">
        <v>15</v>
      </c>
      <c r="N177" s="188">
        <f t="shared" si="102"/>
        <v>0</v>
      </c>
      <c r="U177" s="152"/>
      <c r="X177" s="152"/>
    </row>
    <row r="178" spans="1:24" s="88" customFormat="1" ht="20.25" customHeight="1">
      <c r="A178" s="83" t="s">
        <v>471</v>
      </c>
      <c r="B178" s="89" t="s">
        <v>539</v>
      </c>
      <c r="C178" s="240">
        <v>1</v>
      </c>
      <c r="D178" s="249" t="s">
        <v>114</v>
      </c>
      <c r="E178" s="239">
        <v>5297</v>
      </c>
      <c r="F178" s="18">
        <f t="shared" si="120"/>
        <v>5297</v>
      </c>
      <c r="G178" s="90">
        <f>ESTIMATE!I1487</f>
        <v>0</v>
      </c>
      <c r="H178" s="85" t="s">
        <v>114</v>
      </c>
      <c r="I178" s="109">
        <f>ESTIMATE!K1487</f>
        <v>5297</v>
      </c>
      <c r="J178" s="18">
        <f t="shared" si="113"/>
        <v>0</v>
      </c>
      <c r="K178" s="87">
        <f t="shared" si="100"/>
        <v>0</v>
      </c>
      <c r="L178" s="87">
        <f t="shared" si="101"/>
        <v>5297</v>
      </c>
      <c r="M178" s="83" t="s">
        <v>15</v>
      </c>
      <c r="N178" s="188">
        <f t="shared" si="102"/>
        <v>0</v>
      </c>
      <c r="S178" s="88">
        <v>9552</v>
      </c>
      <c r="U178" s="152">
        <f t="shared" si="121"/>
        <v>-9552</v>
      </c>
      <c r="W178" s="88">
        <v>2</v>
      </c>
      <c r="X178" s="152">
        <f t="shared" si="122"/>
        <v>-2</v>
      </c>
    </row>
    <row r="179" spans="1:24" s="88" customFormat="1" ht="20.25" hidden="1" customHeight="1">
      <c r="A179" s="83" t="s">
        <v>506</v>
      </c>
      <c r="B179" s="89" t="s">
        <v>618</v>
      </c>
      <c r="C179" s="151"/>
      <c r="D179" s="195"/>
      <c r="E179" s="15"/>
      <c r="F179" s="18"/>
      <c r="G179" s="90">
        <f>ESTIMATE!I1491</f>
        <v>0</v>
      </c>
      <c r="H179" s="85" t="s">
        <v>114</v>
      </c>
      <c r="I179" s="109">
        <f>ESTIMATE!K1491</f>
        <v>1036</v>
      </c>
      <c r="J179" s="18">
        <f t="shared" ref="J179" si="123">ROUND(G179*I179,0)</f>
        <v>0</v>
      </c>
      <c r="K179" s="87">
        <f t="shared" si="100"/>
        <v>0</v>
      </c>
      <c r="L179" s="87">
        <f t="shared" si="101"/>
        <v>0</v>
      </c>
      <c r="M179" s="83" t="s">
        <v>15</v>
      </c>
      <c r="N179" s="188">
        <f t="shared" si="102"/>
        <v>-1036</v>
      </c>
      <c r="S179" s="88">
        <v>0</v>
      </c>
      <c r="U179" s="152">
        <f t="shared" si="121"/>
        <v>0</v>
      </c>
      <c r="W179" s="88">
        <v>0</v>
      </c>
      <c r="X179" s="152">
        <f t="shared" si="122"/>
        <v>0</v>
      </c>
    </row>
    <row r="180" spans="1:24" s="88" customFormat="1" ht="20.25" customHeight="1">
      <c r="A180" s="83" t="s">
        <v>472</v>
      </c>
      <c r="B180" s="89" t="s">
        <v>619</v>
      </c>
      <c r="C180" s="240">
        <v>1</v>
      </c>
      <c r="D180" s="249" t="s">
        <v>114</v>
      </c>
      <c r="E180" s="239">
        <v>2025</v>
      </c>
      <c r="F180" s="18">
        <f t="shared" ref="F180" si="124">ROUND(C180*E180,0)</f>
        <v>2025</v>
      </c>
      <c r="G180" s="90">
        <f>ESTIMATE!I1499</f>
        <v>0</v>
      </c>
      <c r="H180" s="85" t="s">
        <v>114</v>
      </c>
      <c r="I180" s="109">
        <f>ESTIMATE!K1499</f>
        <v>2025</v>
      </c>
      <c r="J180" s="18">
        <f t="shared" ref="J180:J182" si="125">ROUND(G180*I180,0)</f>
        <v>0</v>
      </c>
      <c r="K180" s="87">
        <f t="shared" si="100"/>
        <v>0</v>
      </c>
      <c r="L180" s="87">
        <f t="shared" si="101"/>
        <v>2025</v>
      </c>
      <c r="M180" s="83" t="s">
        <v>15</v>
      </c>
      <c r="N180" s="188">
        <f t="shared" si="102"/>
        <v>0</v>
      </c>
      <c r="S180" s="88">
        <v>3654</v>
      </c>
      <c r="U180" s="152">
        <f t="shared" si="121"/>
        <v>-3654</v>
      </c>
      <c r="W180" s="88">
        <v>2</v>
      </c>
      <c r="X180" s="152">
        <f t="shared" si="122"/>
        <v>-2</v>
      </c>
    </row>
    <row r="181" spans="1:24" s="88" customFormat="1" ht="20.25" hidden="1" customHeight="1">
      <c r="A181" s="83" t="s">
        <v>1044</v>
      </c>
      <c r="B181" s="89" t="s">
        <v>1042</v>
      </c>
      <c r="C181" s="151"/>
      <c r="D181" s="195"/>
      <c r="E181" s="15"/>
      <c r="F181" s="18"/>
      <c r="G181" s="90">
        <f>ESTIMATE!I1495</f>
        <v>0</v>
      </c>
      <c r="H181" s="85" t="s">
        <v>114</v>
      </c>
      <c r="I181" s="109">
        <f>ESTIMATE!K1495</f>
        <v>2644</v>
      </c>
      <c r="J181" s="18">
        <f t="shared" si="125"/>
        <v>0</v>
      </c>
      <c r="K181" s="87">
        <f t="shared" si="100"/>
        <v>0</v>
      </c>
      <c r="L181" s="87">
        <f t="shared" si="101"/>
        <v>0</v>
      </c>
      <c r="M181" s="83" t="s">
        <v>15</v>
      </c>
      <c r="N181" s="188">
        <f t="shared" si="102"/>
        <v>-2644</v>
      </c>
      <c r="U181" s="152"/>
      <c r="X181" s="152"/>
    </row>
    <row r="182" spans="1:24" s="88" customFormat="1" ht="20.25" customHeight="1">
      <c r="A182" s="83" t="s">
        <v>473</v>
      </c>
      <c r="B182" s="89" t="s">
        <v>709</v>
      </c>
      <c r="C182" s="240">
        <v>1</v>
      </c>
      <c r="D182" s="249" t="s">
        <v>114</v>
      </c>
      <c r="E182" s="239">
        <v>115</v>
      </c>
      <c r="F182" s="18">
        <f t="shared" ref="F182" si="126">ROUND(C182*E182,0)</f>
        <v>115</v>
      </c>
      <c r="G182" s="90">
        <f>ESTIMATE!I1502</f>
        <v>0</v>
      </c>
      <c r="H182" s="85" t="s">
        <v>114</v>
      </c>
      <c r="I182" s="109">
        <f>ESTIMATE!K1502</f>
        <v>115</v>
      </c>
      <c r="J182" s="18">
        <f t="shared" si="125"/>
        <v>0</v>
      </c>
      <c r="K182" s="87">
        <f t="shared" si="100"/>
        <v>0</v>
      </c>
      <c r="L182" s="87">
        <f t="shared" si="101"/>
        <v>115</v>
      </c>
      <c r="M182" s="83" t="s">
        <v>15</v>
      </c>
      <c r="N182" s="188">
        <f t="shared" si="102"/>
        <v>0</v>
      </c>
      <c r="S182" s="88">
        <v>230</v>
      </c>
      <c r="U182" s="152">
        <f t="shared" si="121"/>
        <v>-230</v>
      </c>
      <c r="W182" s="88">
        <v>2</v>
      </c>
      <c r="X182" s="152">
        <f t="shared" si="122"/>
        <v>-2</v>
      </c>
    </row>
    <row r="183" spans="1:24" s="88" customFormat="1" ht="20.25" hidden="1" customHeight="1">
      <c r="A183" s="83" t="s">
        <v>1432</v>
      </c>
      <c r="B183" s="89" t="s">
        <v>1424</v>
      </c>
      <c r="C183" s="240"/>
      <c r="D183" s="249"/>
      <c r="E183" s="239"/>
      <c r="F183" s="18">
        <f t="shared" ref="F183:F187" si="127">ROUND(C183*E183,0)</f>
        <v>0</v>
      </c>
      <c r="G183" s="90"/>
      <c r="H183" s="85"/>
      <c r="I183" s="109"/>
      <c r="J183" s="18"/>
      <c r="K183" s="87">
        <f t="shared" si="100"/>
        <v>0</v>
      </c>
      <c r="L183" s="87">
        <f t="shared" si="101"/>
        <v>0</v>
      </c>
      <c r="M183" s="83" t="s">
        <v>15</v>
      </c>
      <c r="N183" s="188">
        <f t="shared" si="102"/>
        <v>0</v>
      </c>
      <c r="U183" s="152"/>
      <c r="X183" s="152"/>
    </row>
    <row r="184" spans="1:24" s="88" customFormat="1" ht="20.25" hidden="1" customHeight="1">
      <c r="A184" s="83" t="s">
        <v>631</v>
      </c>
      <c r="B184" s="89" t="s">
        <v>540</v>
      </c>
      <c r="C184" s="240"/>
      <c r="D184" s="249"/>
      <c r="E184" s="239"/>
      <c r="F184" s="18">
        <f t="shared" si="127"/>
        <v>0</v>
      </c>
      <c r="G184" s="90">
        <f>ESTIMATE!I1506</f>
        <v>0</v>
      </c>
      <c r="H184" s="85" t="s">
        <v>561</v>
      </c>
      <c r="I184" s="109">
        <f>ESTIMATE!K1506</f>
        <v>9.5</v>
      </c>
      <c r="J184" s="18">
        <f t="shared" si="113"/>
        <v>0</v>
      </c>
      <c r="K184" s="87">
        <f t="shared" si="100"/>
        <v>0</v>
      </c>
      <c r="L184" s="87">
        <f t="shared" si="101"/>
        <v>0</v>
      </c>
      <c r="M184" s="83" t="s">
        <v>15</v>
      </c>
      <c r="N184" s="188">
        <f t="shared" si="102"/>
        <v>-9.5</v>
      </c>
      <c r="S184" s="88">
        <v>0</v>
      </c>
      <c r="U184" s="152">
        <f t="shared" si="121"/>
        <v>0</v>
      </c>
      <c r="W184" s="88">
        <v>0</v>
      </c>
      <c r="X184" s="152">
        <f t="shared" si="122"/>
        <v>0</v>
      </c>
    </row>
    <row r="185" spans="1:24" s="88" customFormat="1" ht="20.25" hidden="1" customHeight="1">
      <c r="A185" s="83" t="s">
        <v>1433</v>
      </c>
      <c r="B185" s="89" t="s">
        <v>1426</v>
      </c>
      <c r="C185" s="240"/>
      <c r="D185" s="249"/>
      <c r="E185" s="239"/>
      <c r="F185" s="18">
        <f t="shared" si="127"/>
        <v>0</v>
      </c>
      <c r="G185" s="90"/>
      <c r="H185" s="85"/>
      <c r="I185" s="109"/>
      <c r="J185" s="18"/>
      <c r="K185" s="87">
        <f t="shared" si="100"/>
        <v>0</v>
      </c>
      <c r="L185" s="87">
        <f t="shared" si="101"/>
        <v>0</v>
      </c>
      <c r="M185" s="83" t="s">
        <v>15</v>
      </c>
      <c r="N185" s="188">
        <f t="shared" si="102"/>
        <v>0</v>
      </c>
      <c r="U185" s="152"/>
      <c r="X185" s="152"/>
    </row>
    <row r="186" spans="1:24" s="88" customFormat="1" ht="20.25" hidden="1" customHeight="1">
      <c r="A186" s="83" t="s">
        <v>1434</v>
      </c>
      <c r="B186" s="89" t="s">
        <v>1427</v>
      </c>
      <c r="C186" s="240"/>
      <c r="D186" s="249"/>
      <c r="E186" s="239"/>
      <c r="F186" s="18">
        <f t="shared" si="127"/>
        <v>0</v>
      </c>
      <c r="G186" s="90"/>
      <c r="H186" s="85"/>
      <c r="I186" s="109"/>
      <c r="J186" s="18"/>
      <c r="K186" s="87">
        <f t="shared" si="100"/>
        <v>0</v>
      </c>
      <c r="L186" s="87">
        <f t="shared" si="101"/>
        <v>0</v>
      </c>
      <c r="M186" s="83" t="s">
        <v>15</v>
      </c>
      <c r="N186" s="188">
        <f t="shared" si="102"/>
        <v>0</v>
      </c>
      <c r="U186" s="152"/>
      <c r="X186" s="152"/>
    </row>
    <row r="187" spans="1:24" s="88" customFormat="1" ht="20.25" hidden="1" customHeight="1">
      <c r="A187" s="83" t="s">
        <v>1435</v>
      </c>
      <c r="B187" s="89" t="s">
        <v>541</v>
      </c>
      <c r="C187" s="240"/>
      <c r="D187" s="249"/>
      <c r="E187" s="239"/>
      <c r="F187" s="18">
        <f t="shared" si="127"/>
        <v>0</v>
      </c>
      <c r="G187" s="90">
        <f>ESTIMATE!I1508</f>
        <v>0</v>
      </c>
      <c r="H187" s="85" t="s">
        <v>271</v>
      </c>
      <c r="I187" s="109">
        <f>ESTIMATE!K1508</f>
        <v>492.16</v>
      </c>
      <c r="J187" s="18">
        <f t="shared" si="113"/>
        <v>0</v>
      </c>
      <c r="K187" s="87">
        <f t="shared" si="100"/>
        <v>0</v>
      </c>
      <c r="L187" s="87">
        <f t="shared" si="101"/>
        <v>0</v>
      </c>
      <c r="M187" s="83" t="s">
        <v>15</v>
      </c>
      <c r="N187" s="188">
        <f t="shared" si="102"/>
        <v>-492.16</v>
      </c>
      <c r="S187" s="88">
        <v>45000</v>
      </c>
      <c r="U187" s="152">
        <f t="shared" si="121"/>
        <v>-45000</v>
      </c>
      <c r="W187" s="88">
        <v>90</v>
      </c>
      <c r="X187" s="152">
        <f t="shared" si="122"/>
        <v>-90</v>
      </c>
    </row>
    <row r="188" spans="1:24" s="88" customFormat="1" ht="20.25" hidden="1" customHeight="1">
      <c r="A188" s="83" t="s">
        <v>510</v>
      </c>
      <c r="B188" s="89"/>
      <c r="C188" s="151"/>
      <c r="D188" s="195"/>
      <c r="E188" s="15"/>
      <c r="F188" s="18"/>
      <c r="G188" s="90">
        <f>ESTIMATE!I1509</f>
        <v>0</v>
      </c>
      <c r="H188" s="85" t="s">
        <v>271</v>
      </c>
      <c r="I188" s="109">
        <f>ESTIMATE!K1509</f>
        <v>526.54999999999995</v>
      </c>
      <c r="J188" s="18">
        <f t="shared" ref="J188:J189" si="128">ROUND(G188*I188,0)</f>
        <v>0</v>
      </c>
      <c r="K188" s="87">
        <f t="shared" si="100"/>
        <v>0</v>
      </c>
      <c r="L188" s="87">
        <f t="shared" si="101"/>
        <v>0</v>
      </c>
      <c r="M188" s="83" t="s">
        <v>15</v>
      </c>
      <c r="N188" s="188">
        <f t="shared" si="102"/>
        <v>-526.54999999999995</v>
      </c>
      <c r="S188" s="88">
        <v>0</v>
      </c>
      <c r="U188" s="152">
        <f t="shared" si="121"/>
        <v>0</v>
      </c>
      <c r="W188" s="88">
        <v>0</v>
      </c>
      <c r="X188" s="152">
        <f t="shared" si="122"/>
        <v>0</v>
      </c>
    </row>
    <row r="189" spans="1:24" s="88" customFormat="1" ht="20.25" hidden="1" customHeight="1">
      <c r="A189" s="83" t="s">
        <v>511</v>
      </c>
      <c r="B189" s="89"/>
      <c r="C189" s="151"/>
      <c r="D189" s="195"/>
      <c r="E189" s="15"/>
      <c r="F189" s="18"/>
      <c r="G189" s="90">
        <f>ESTIMATE!I1510</f>
        <v>0</v>
      </c>
      <c r="H189" s="85" t="s">
        <v>271</v>
      </c>
      <c r="I189" s="109">
        <f>ESTIMATE!K1510</f>
        <v>590.61</v>
      </c>
      <c r="J189" s="18">
        <f t="shared" si="128"/>
        <v>0</v>
      </c>
      <c r="K189" s="87">
        <f t="shared" si="100"/>
        <v>0</v>
      </c>
      <c r="L189" s="87">
        <f t="shared" si="101"/>
        <v>0</v>
      </c>
      <c r="M189" s="83" t="s">
        <v>15</v>
      </c>
      <c r="N189" s="188">
        <f t="shared" si="102"/>
        <v>-590.61</v>
      </c>
      <c r="S189" s="88">
        <v>0</v>
      </c>
      <c r="U189" s="152">
        <f t="shared" si="121"/>
        <v>0</v>
      </c>
      <c r="W189" s="88">
        <v>0</v>
      </c>
      <c r="X189" s="152">
        <f t="shared" si="122"/>
        <v>0</v>
      </c>
    </row>
    <row r="190" spans="1:24" s="88" customFormat="1" ht="20.25" hidden="1" customHeight="1">
      <c r="A190" s="83" t="s">
        <v>1436</v>
      </c>
      <c r="B190" s="89" t="s">
        <v>542</v>
      </c>
      <c r="C190" s="240"/>
      <c r="D190" s="249"/>
      <c r="E190" s="239"/>
      <c r="F190" s="18">
        <f t="shared" ref="F190:F199" si="129">ROUND(C190*E190,0)</f>
        <v>0</v>
      </c>
      <c r="G190" s="90">
        <f>ESTIMATE!I1514</f>
        <v>0</v>
      </c>
      <c r="H190" s="85" t="s">
        <v>271</v>
      </c>
      <c r="I190" s="109">
        <f>ESTIMATE!K1514</f>
        <v>358.31</v>
      </c>
      <c r="J190" s="18">
        <f t="shared" si="113"/>
        <v>0</v>
      </c>
      <c r="K190" s="87">
        <f t="shared" si="100"/>
        <v>0</v>
      </c>
      <c r="L190" s="87">
        <f t="shared" si="101"/>
        <v>0</v>
      </c>
      <c r="M190" s="83" t="s">
        <v>15</v>
      </c>
      <c r="N190" s="188">
        <f t="shared" si="102"/>
        <v>-358.31</v>
      </c>
      <c r="S190" s="88">
        <v>5850</v>
      </c>
      <c r="U190" s="152">
        <f t="shared" si="121"/>
        <v>-5850</v>
      </c>
      <c r="W190" s="88">
        <v>18</v>
      </c>
      <c r="X190" s="152">
        <f t="shared" si="122"/>
        <v>-18</v>
      </c>
    </row>
    <row r="191" spans="1:24" s="88" customFormat="1" ht="20.25" hidden="1" customHeight="1">
      <c r="A191" s="83" t="s">
        <v>1437</v>
      </c>
      <c r="B191" s="89" t="s">
        <v>620</v>
      </c>
      <c r="C191" s="240"/>
      <c r="D191" s="249"/>
      <c r="E191" s="239"/>
      <c r="F191" s="18">
        <f t="shared" si="129"/>
        <v>0</v>
      </c>
      <c r="G191" s="90">
        <f>ESTIMATE!I1517</f>
        <v>0</v>
      </c>
      <c r="H191" s="85" t="s">
        <v>114</v>
      </c>
      <c r="I191" s="109">
        <f>ESTIMATE!K1517</f>
        <v>20207</v>
      </c>
      <c r="J191" s="18">
        <f t="shared" si="113"/>
        <v>0</v>
      </c>
      <c r="K191" s="87">
        <f t="shared" si="100"/>
        <v>0</v>
      </c>
      <c r="L191" s="87">
        <f t="shared" si="101"/>
        <v>0</v>
      </c>
      <c r="M191" s="83" t="s">
        <v>15</v>
      </c>
      <c r="N191" s="188">
        <f t="shared" si="102"/>
        <v>-20207</v>
      </c>
      <c r="S191" s="88">
        <v>24300</v>
      </c>
      <c r="U191" s="152">
        <f t="shared" si="121"/>
        <v>-24300</v>
      </c>
      <c r="W191" s="88">
        <v>1</v>
      </c>
      <c r="X191" s="152">
        <f t="shared" si="122"/>
        <v>-1</v>
      </c>
    </row>
    <row r="192" spans="1:24" s="88" customFormat="1" ht="20.25" hidden="1" customHeight="1">
      <c r="A192" s="83" t="s">
        <v>1438</v>
      </c>
      <c r="B192" s="89" t="s">
        <v>621</v>
      </c>
      <c r="C192" s="240"/>
      <c r="D192" s="249"/>
      <c r="E192" s="239"/>
      <c r="F192" s="18">
        <f t="shared" si="129"/>
        <v>0</v>
      </c>
      <c r="G192" s="90">
        <f>ESTIMATE!I1520</f>
        <v>0</v>
      </c>
      <c r="H192" s="85" t="s">
        <v>271</v>
      </c>
      <c r="I192" s="109">
        <f>ESTIMATE!K1520</f>
        <v>80</v>
      </c>
      <c r="J192" s="18">
        <f t="shared" si="113"/>
        <v>0</v>
      </c>
      <c r="K192" s="87">
        <f t="shared" si="100"/>
        <v>0</v>
      </c>
      <c r="L192" s="87">
        <f t="shared" si="101"/>
        <v>0</v>
      </c>
      <c r="M192" s="83" t="s">
        <v>15</v>
      </c>
      <c r="N192" s="188">
        <f t="shared" si="102"/>
        <v>-80</v>
      </c>
      <c r="S192" s="88">
        <v>5120</v>
      </c>
      <c r="U192" s="152">
        <f t="shared" si="121"/>
        <v>-5120</v>
      </c>
      <c r="W192" s="88">
        <v>80</v>
      </c>
      <c r="X192" s="152">
        <f t="shared" si="122"/>
        <v>-80</v>
      </c>
    </row>
    <row r="193" spans="1:24" s="88" customFormat="1" ht="20.25" hidden="1" customHeight="1">
      <c r="A193" s="83" t="s">
        <v>1439</v>
      </c>
      <c r="B193" s="89" t="s">
        <v>279</v>
      </c>
      <c r="C193" s="240"/>
      <c r="D193" s="249"/>
      <c r="E193" s="239"/>
      <c r="F193" s="18">
        <f t="shared" si="129"/>
        <v>0</v>
      </c>
      <c r="G193" s="90">
        <f>ESTIMATE!I1523</f>
        <v>0</v>
      </c>
      <c r="H193" s="85" t="s">
        <v>114</v>
      </c>
      <c r="I193" s="109">
        <f>ESTIMATE!K1523</f>
        <v>330.75</v>
      </c>
      <c r="J193" s="18">
        <f t="shared" si="113"/>
        <v>0</v>
      </c>
      <c r="K193" s="87">
        <f t="shared" si="100"/>
        <v>0</v>
      </c>
      <c r="L193" s="87">
        <f t="shared" si="101"/>
        <v>0</v>
      </c>
      <c r="M193" s="83" t="s">
        <v>15</v>
      </c>
      <c r="N193" s="188">
        <f t="shared" si="102"/>
        <v>-330.75</v>
      </c>
      <c r="S193" s="88">
        <v>109</v>
      </c>
      <c r="U193" s="152">
        <f t="shared" si="121"/>
        <v>-109</v>
      </c>
      <c r="W193" s="88">
        <v>1</v>
      </c>
      <c r="X193" s="152">
        <f t="shared" si="122"/>
        <v>-1</v>
      </c>
    </row>
    <row r="194" spans="1:24" s="88" customFormat="1" ht="20.25" hidden="1" customHeight="1">
      <c r="A194" s="83" t="s">
        <v>1440</v>
      </c>
      <c r="B194" s="89" t="s">
        <v>280</v>
      </c>
      <c r="C194" s="240"/>
      <c r="D194" s="249"/>
      <c r="E194" s="239"/>
      <c r="F194" s="18">
        <f t="shared" si="129"/>
        <v>0</v>
      </c>
      <c r="G194" s="90">
        <f>ESTIMATE!I1526</f>
        <v>0</v>
      </c>
      <c r="H194" s="85" t="s">
        <v>114</v>
      </c>
      <c r="I194" s="109">
        <f>ESTIMATE!K1526</f>
        <v>400</v>
      </c>
      <c r="J194" s="18">
        <f t="shared" si="113"/>
        <v>0</v>
      </c>
      <c r="K194" s="87">
        <f t="shared" si="100"/>
        <v>0</v>
      </c>
      <c r="L194" s="87">
        <f t="shared" si="101"/>
        <v>0</v>
      </c>
      <c r="M194" s="83" t="s">
        <v>15</v>
      </c>
      <c r="N194" s="188">
        <f t="shared" si="102"/>
        <v>-400</v>
      </c>
      <c r="S194" s="88">
        <v>99</v>
      </c>
      <c r="U194" s="152">
        <f t="shared" si="121"/>
        <v>-99</v>
      </c>
      <c r="W194" s="88">
        <v>0.5</v>
      </c>
      <c r="X194" s="152">
        <f t="shared" si="122"/>
        <v>-0.5</v>
      </c>
    </row>
    <row r="195" spans="1:24" s="88" customFormat="1" ht="20.25" hidden="1" customHeight="1">
      <c r="A195" s="83" t="s">
        <v>1441</v>
      </c>
      <c r="B195" s="89" t="s">
        <v>281</v>
      </c>
      <c r="C195" s="240"/>
      <c r="D195" s="249"/>
      <c r="E195" s="239"/>
      <c r="F195" s="18">
        <f t="shared" si="129"/>
        <v>0</v>
      </c>
      <c r="G195" s="90">
        <f>ESTIMATE!I1529</f>
        <v>0</v>
      </c>
      <c r="H195" s="85" t="s">
        <v>114</v>
      </c>
      <c r="I195" s="109">
        <f>ESTIMATE!K1529</f>
        <v>77</v>
      </c>
      <c r="J195" s="18">
        <f t="shared" si="113"/>
        <v>0</v>
      </c>
      <c r="K195" s="87">
        <f t="shared" si="100"/>
        <v>0</v>
      </c>
      <c r="L195" s="87">
        <f t="shared" si="101"/>
        <v>0</v>
      </c>
      <c r="M195" s="83" t="s">
        <v>15</v>
      </c>
      <c r="N195" s="188">
        <f t="shared" si="102"/>
        <v>-77</v>
      </c>
      <c r="S195" s="88">
        <v>22</v>
      </c>
      <c r="U195" s="152">
        <f t="shared" si="121"/>
        <v>-22</v>
      </c>
      <c r="W195" s="88">
        <v>1</v>
      </c>
      <c r="X195" s="152">
        <f t="shared" si="122"/>
        <v>-1</v>
      </c>
    </row>
    <row r="196" spans="1:24" s="88" customFormat="1" ht="20.25" hidden="1" customHeight="1">
      <c r="A196" s="83" t="s">
        <v>923</v>
      </c>
      <c r="B196" s="89" t="s">
        <v>282</v>
      </c>
      <c r="C196" s="240"/>
      <c r="D196" s="249"/>
      <c r="E196" s="239"/>
      <c r="F196" s="18">
        <f t="shared" si="129"/>
        <v>0</v>
      </c>
      <c r="G196" s="90">
        <f>ESTIMATE!I1532</f>
        <v>0</v>
      </c>
      <c r="H196" s="85" t="s">
        <v>114</v>
      </c>
      <c r="I196" s="109">
        <f>ESTIMATE!K1532</f>
        <v>185</v>
      </c>
      <c r="J196" s="18">
        <f t="shared" si="113"/>
        <v>0</v>
      </c>
      <c r="K196" s="87">
        <f t="shared" si="100"/>
        <v>0</v>
      </c>
      <c r="L196" s="87">
        <f t="shared" si="101"/>
        <v>0</v>
      </c>
      <c r="M196" s="83" t="s">
        <v>15</v>
      </c>
      <c r="N196" s="188">
        <f t="shared" si="102"/>
        <v>-185</v>
      </c>
      <c r="S196" s="88">
        <v>145</v>
      </c>
      <c r="U196" s="152">
        <f t="shared" si="121"/>
        <v>-145</v>
      </c>
      <c r="W196" s="88">
        <v>1</v>
      </c>
      <c r="X196" s="152">
        <f t="shared" si="122"/>
        <v>-1</v>
      </c>
    </row>
    <row r="197" spans="1:24" s="88" customFormat="1" ht="20.25" hidden="1" customHeight="1">
      <c r="A197" s="83" t="s">
        <v>924</v>
      </c>
      <c r="B197" s="89" t="s">
        <v>622</v>
      </c>
      <c r="C197" s="240"/>
      <c r="D197" s="249"/>
      <c r="E197" s="239"/>
      <c r="F197" s="18">
        <f t="shared" si="129"/>
        <v>0</v>
      </c>
      <c r="G197" s="90">
        <f>ESTIMATE!I1535</f>
        <v>0</v>
      </c>
      <c r="H197" s="85" t="s">
        <v>271</v>
      </c>
      <c r="I197" s="109">
        <f>ESTIMATE!K1535</f>
        <v>109</v>
      </c>
      <c r="J197" s="18">
        <f t="shared" si="113"/>
        <v>0</v>
      </c>
      <c r="K197" s="87">
        <f t="shared" si="100"/>
        <v>0</v>
      </c>
      <c r="L197" s="87">
        <f t="shared" si="101"/>
        <v>0</v>
      </c>
      <c r="M197" s="83" t="s">
        <v>15</v>
      </c>
      <c r="N197" s="188">
        <f t="shared" si="102"/>
        <v>-109</v>
      </c>
      <c r="S197" s="88">
        <v>6400</v>
      </c>
      <c r="U197" s="152">
        <f t="shared" si="121"/>
        <v>-6400</v>
      </c>
      <c r="W197" s="88">
        <v>80</v>
      </c>
      <c r="X197" s="152">
        <f t="shared" si="122"/>
        <v>-80</v>
      </c>
    </row>
    <row r="198" spans="1:24" s="88" customFormat="1" ht="20.25" hidden="1" customHeight="1">
      <c r="A198" s="83" t="s">
        <v>925</v>
      </c>
      <c r="B198" s="89" t="s">
        <v>623</v>
      </c>
      <c r="C198" s="240"/>
      <c r="D198" s="249"/>
      <c r="E198" s="239"/>
      <c r="F198" s="18">
        <f t="shared" si="129"/>
        <v>0</v>
      </c>
      <c r="G198" s="90">
        <f>ESTIMATE!I1538</f>
        <v>0</v>
      </c>
      <c r="H198" s="85" t="s">
        <v>114</v>
      </c>
      <c r="I198" s="109">
        <f>ESTIMATE!K1538</f>
        <v>5445</v>
      </c>
      <c r="J198" s="18">
        <f t="shared" si="113"/>
        <v>0</v>
      </c>
      <c r="K198" s="87">
        <f t="shared" si="100"/>
        <v>0</v>
      </c>
      <c r="L198" s="87">
        <f t="shared" si="101"/>
        <v>0</v>
      </c>
      <c r="M198" s="83" t="s">
        <v>15</v>
      </c>
      <c r="N198" s="188">
        <f t="shared" si="102"/>
        <v>-5445</v>
      </c>
      <c r="S198" s="88">
        <v>4500</v>
      </c>
      <c r="U198" s="152">
        <f t="shared" si="121"/>
        <v>-4500</v>
      </c>
      <c r="W198" s="88">
        <v>1</v>
      </c>
      <c r="X198" s="152">
        <f t="shared" si="122"/>
        <v>-1</v>
      </c>
    </row>
    <row r="199" spans="1:24" s="88" customFormat="1" ht="20.25" hidden="1" customHeight="1">
      <c r="A199" s="83" t="s">
        <v>926</v>
      </c>
      <c r="B199" s="89" t="s">
        <v>1428</v>
      </c>
      <c r="C199" s="240"/>
      <c r="D199" s="249"/>
      <c r="E199" s="239"/>
      <c r="F199" s="18">
        <f t="shared" si="129"/>
        <v>0</v>
      </c>
      <c r="G199" s="90"/>
      <c r="H199" s="85"/>
      <c r="I199" s="109"/>
      <c r="J199" s="18"/>
      <c r="K199" s="87">
        <f t="shared" si="100"/>
        <v>0</v>
      </c>
      <c r="L199" s="87">
        <f t="shared" si="101"/>
        <v>0</v>
      </c>
      <c r="M199" s="83" t="s">
        <v>15</v>
      </c>
      <c r="N199" s="188">
        <f t="shared" si="102"/>
        <v>0</v>
      </c>
      <c r="U199" s="152"/>
      <c r="X199" s="152"/>
    </row>
    <row r="200" spans="1:24" s="88" customFormat="1" ht="20.25" hidden="1" customHeight="1">
      <c r="A200" s="83" t="s">
        <v>502</v>
      </c>
      <c r="B200" s="84" t="s">
        <v>414</v>
      </c>
      <c r="C200" s="151"/>
      <c r="D200" s="195"/>
      <c r="E200" s="15"/>
      <c r="F200" s="234"/>
      <c r="G200" s="90"/>
      <c r="H200" s="85"/>
      <c r="I200" s="109"/>
      <c r="J200" s="18"/>
      <c r="K200" s="87">
        <f t="shared" si="100"/>
        <v>0</v>
      </c>
      <c r="L200" s="87">
        <f t="shared" si="101"/>
        <v>0</v>
      </c>
      <c r="M200" s="83" t="s">
        <v>15</v>
      </c>
      <c r="N200" s="188">
        <f t="shared" si="102"/>
        <v>0</v>
      </c>
      <c r="U200" s="152">
        <f t="shared" si="121"/>
        <v>0</v>
      </c>
      <c r="X200" s="152">
        <f t="shared" si="122"/>
        <v>0</v>
      </c>
    </row>
    <row r="201" spans="1:24" s="88" customFormat="1" ht="20.25" hidden="1" customHeight="1">
      <c r="A201" s="83" t="s">
        <v>503</v>
      </c>
      <c r="B201" s="89" t="s">
        <v>543</v>
      </c>
      <c r="C201" s="295"/>
      <c r="D201" s="296" t="s">
        <v>271</v>
      </c>
      <c r="E201" s="235">
        <v>65.02</v>
      </c>
      <c r="F201" s="18">
        <f t="shared" ref="F201:F203" si="130">ROUND(C201*E201,0)</f>
        <v>0</v>
      </c>
      <c r="G201" s="90">
        <f>ESTIMATE!I1544</f>
        <v>30</v>
      </c>
      <c r="H201" s="85" t="s">
        <v>271</v>
      </c>
      <c r="I201" s="109">
        <f>ESTIMATE!K1544</f>
        <v>92.37</v>
      </c>
      <c r="J201" s="18">
        <f t="shared" ref="J201" si="131">ROUND(G201*I201,0)</f>
        <v>2771</v>
      </c>
      <c r="K201" s="87">
        <f t="shared" ref="K201:K255" si="132">IF(J201&gt;F201,J201-F201,0)</f>
        <v>2771</v>
      </c>
      <c r="L201" s="87">
        <f t="shared" ref="L201:L255" si="133">IF(J201&lt;F201,F201-J201,0)</f>
        <v>0</v>
      </c>
      <c r="M201" s="83" t="s">
        <v>15</v>
      </c>
      <c r="N201" s="188">
        <f t="shared" ref="N201:N255" si="134">E201-I201</f>
        <v>-27.350000000000009</v>
      </c>
      <c r="S201" s="88">
        <v>8655</v>
      </c>
      <c r="U201" s="152">
        <f t="shared" si="121"/>
        <v>-5884</v>
      </c>
      <c r="W201" s="88">
        <v>150</v>
      </c>
      <c r="X201" s="152">
        <f t="shared" si="122"/>
        <v>-120</v>
      </c>
    </row>
    <row r="202" spans="1:24" s="88" customFormat="1" ht="20.25" hidden="1" customHeight="1">
      <c r="A202" s="83" t="s">
        <v>504</v>
      </c>
      <c r="B202" s="89" t="s">
        <v>543</v>
      </c>
      <c r="C202" s="295"/>
      <c r="D202" s="296" t="s">
        <v>271</v>
      </c>
      <c r="E202" s="235">
        <v>79.22</v>
      </c>
      <c r="F202" s="18">
        <f t="shared" si="130"/>
        <v>0</v>
      </c>
      <c r="G202" s="90">
        <f>ESTIMATE!I1550</f>
        <v>35</v>
      </c>
      <c r="H202" s="85" t="s">
        <v>271</v>
      </c>
      <c r="I202" s="109">
        <f>ESTIMATE!K1550</f>
        <v>111.79</v>
      </c>
      <c r="J202" s="18">
        <f t="shared" si="113"/>
        <v>3913</v>
      </c>
      <c r="K202" s="87">
        <f t="shared" si="132"/>
        <v>3913</v>
      </c>
      <c r="L202" s="87">
        <f t="shared" si="133"/>
        <v>0</v>
      </c>
      <c r="M202" s="83" t="s">
        <v>15</v>
      </c>
      <c r="N202" s="188">
        <f t="shared" si="134"/>
        <v>-32.570000000000007</v>
      </c>
      <c r="S202" s="88">
        <v>11552</v>
      </c>
      <c r="U202" s="152">
        <f t="shared" si="121"/>
        <v>-7639</v>
      </c>
      <c r="W202" s="88">
        <v>160</v>
      </c>
      <c r="X202" s="152">
        <f t="shared" si="122"/>
        <v>-125</v>
      </c>
    </row>
    <row r="203" spans="1:24" s="88" customFormat="1" ht="20.25" hidden="1" customHeight="1">
      <c r="A203" s="83" t="s">
        <v>927</v>
      </c>
      <c r="B203" s="89" t="s">
        <v>560</v>
      </c>
      <c r="C203" s="183"/>
      <c r="D203" s="253"/>
      <c r="E203" s="12"/>
      <c r="F203" s="18">
        <f t="shared" si="130"/>
        <v>0</v>
      </c>
      <c r="G203" s="90">
        <f>ESTIMATE!I1558</f>
        <v>0</v>
      </c>
      <c r="H203" s="85" t="s">
        <v>271</v>
      </c>
      <c r="I203" s="109">
        <f>ESTIMATE!K1558</f>
        <v>74</v>
      </c>
      <c r="J203" s="18">
        <f t="shared" si="113"/>
        <v>0</v>
      </c>
      <c r="K203" s="87">
        <f t="shared" si="132"/>
        <v>0</v>
      </c>
      <c r="L203" s="87">
        <f t="shared" si="133"/>
        <v>0</v>
      </c>
      <c r="M203" s="83" t="s">
        <v>15</v>
      </c>
      <c r="N203" s="188">
        <f t="shared" si="134"/>
        <v>-74</v>
      </c>
      <c r="S203" s="88">
        <v>0</v>
      </c>
      <c r="U203" s="152">
        <f t="shared" si="121"/>
        <v>0</v>
      </c>
      <c r="W203" s="88">
        <v>0</v>
      </c>
      <c r="X203" s="152">
        <f t="shared" si="122"/>
        <v>0</v>
      </c>
    </row>
    <row r="204" spans="1:24" s="88" customFormat="1" ht="20.25" hidden="1" customHeight="1">
      <c r="A204" s="83" t="s">
        <v>928</v>
      </c>
      <c r="B204" s="89" t="s">
        <v>544</v>
      </c>
      <c r="C204" s="151"/>
      <c r="D204" s="195"/>
      <c r="E204" s="15"/>
      <c r="F204" s="18"/>
      <c r="G204" s="90">
        <f>ESTIMATE!I1562</f>
        <v>0</v>
      </c>
      <c r="H204" s="85" t="s">
        <v>114</v>
      </c>
      <c r="I204" s="109">
        <f>ESTIMATE!K1562</f>
        <v>245</v>
      </c>
      <c r="J204" s="18">
        <f t="shared" si="113"/>
        <v>0</v>
      </c>
      <c r="K204" s="87">
        <f t="shared" si="132"/>
        <v>0</v>
      </c>
      <c r="L204" s="87">
        <f t="shared" si="133"/>
        <v>0</v>
      </c>
      <c r="M204" s="83" t="s">
        <v>15</v>
      </c>
      <c r="N204" s="188">
        <f t="shared" si="134"/>
        <v>-245</v>
      </c>
      <c r="S204" s="88">
        <v>2050</v>
      </c>
      <c r="U204" s="152">
        <f t="shared" si="121"/>
        <v>-2050</v>
      </c>
      <c r="W204" s="88">
        <v>10</v>
      </c>
      <c r="X204" s="152">
        <f t="shared" si="122"/>
        <v>-10</v>
      </c>
    </row>
    <row r="205" spans="1:24" s="88" customFormat="1" ht="20.25" customHeight="1">
      <c r="A205" s="83" t="s">
        <v>474</v>
      </c>
      <c r="B205" s="89" t="s">
        <v>624</v>
      </c>
      <c r="C205" s="151">
        <v>4</v>
      </c>
      <c r="D205" s="85" t="s">
        <v>114</v>
      </c>
      <c r="E205" s="15">
        <v>203</v>
      </c>
      <c r="F205" s="18">
        <f t="shared" ref="F205" si="135">ROUND(C205*E205,0)</f>
        <v>812</v>
      </c>
      <c r="G205" s="90">
        <f>ESTIMATE!I1566</f>
        <v>3</v>
      </c>
      <c r="H205" s="85" t="s">
        <v>114</v>
      </c>
      <c r="I205" s="109">
        <f>ESTIMATE!K1566</f>
        <v>230.64</v>
      </c>
      <c r="J205" s="18">
        <f t="shared" ref="J205" si="136">ROUND(G205*I205,0)</f>
        <v>692</v>
      </c>
      <c r="K205" s="87">
        <f t="shared" si="132"/>
        <v>0</v>
      </c>
      <c r="L205" s="87">
        <f t="shared" si="133"/>
        <v>120</v>
      </c>
      <c r="M205" s="83" t="s">
        <v>15</v>
      </c>
      <c r="N205" s="188">
        <f t="shared" si="134"/>
        <v>-27.639999999999986</v>
      </c>
      <c r="S205" s="88">
        <v>510</v>
      </c>
      <c r="U205" s="152">
        <f t="shared" si="121"/>
        <v>182</v>
      </c>
      <c r="W205" s="88">
        <v>3</v>
      </c>
      <c r="X205" s="152">
        <f t="shared" si="122"/>
        <v>0</v>
      </c>
    </row>
    <row r="206" spans="1:24" s="88" customFormat="1" ht="20.25" hidden="1" customHeight="1">
      <c r="A206" s="83" t="s">
        <v>1046</v>
      </c>
      <c r="B206" s="89" t="s">
        <v>703</v>
      </c>
      <c r="C206" s="151"/>
      <c r="D206" s="195"/>
      <c r="E206" s="15"/>
      <c r="F206" s="18"/>
      <c r="G206" s="90">
        <f>ESTIMATE!I1570</f>
        <v>0</v>
      </c>
      <c r="H206" s="85" t="s">
        <v>114</v>
      </c>
      <c r="I206" s="109">
        <f>ESTIMATE!K1570</f>
        <v>155</v>
      </c>
      <c r="J206" s="18">
        <f t="shared" ref="J206" si="137">ROUND(G206*I206,0)</f>
        <v>0</v>
      </c>
      <c r="K206" s="87">
        <f t="shared" si="132"/>
        <v>0</v>
      </c>
      <c r="L206" s="87">
        <f t="shared" si="133"/>
        <v>0</v>
      </c>
      <c r="M206" s="83" t="s">
        <v>15</v>
      </c>
      <c r="N206" s="188">
        <f t="shared" si="134"/>
        <v>-155</v>
      </c>
      <c r="S206" s="88">
        <v>0</v>
      </c>
      <c r="U206" s="152">
        <f t="shared" si="121"/>
        <v>0</v>
      </c>
      <c r="W206" s="88">
        <v>0</v>
      </c>
      <c r="X206" s="152">
        <f t="shared" si="122"/>
        <v>0</v>
      </c>
    </row>
    <row r="207" spans="1:24" s="88" customFormat="1" ht="20.25" hidden="1" customHeight="1">
      <c r="A207" s="83" t="s">
        <v>506</v>
      </c>
      <c r="B207" s="89" t="s">
        <v>738</v>
      </c>
      <c r="C207" s="151"/>
      <c r="D207" s="195"/>
      <c r="E207" s="15"/>
      <c r="F207" s="18"/>
      <c r="G207" s="90">
        <f>ESTIMATE!I1585</f>
        <v>0</v>
      </c>
      <c r="H207" s="85" t="s">
        <v>114</v>
      </c>
      <c r="I207" s="109">
        <f>ESTIMATE!K1585</f>
        <v>114</v>
      </c>
      <c r="J207" s="18">
        <f t="shared" ref="J207" si="138">ROUND(G207*I207,0)</f>
        <v>0</v>
      </c>
      <c r="K207" s="87">
        <f t="shared" si="132"/>
        <v>0</v>
      </c>
      <c r="L207" s="87">
        <f t="shared" si="133"/>
        <v>0</v>
      </c>
      <c r="M207" s="83" t="s">
        <v>15</v>
      </c>
      <c r="N207" s="188">
        <f t="shared" si="134"/>
        <v>-114</v>
      </c>
      <c r="S207" s="88">
        <v>0</v>
      </c>
      <c r="U207" s="152">
        <f t="shared" si="121"/>
        <v>0</v>
      </c>
      <c r="W207" s="88">
        <v>0</v>
      </c>
      <c r="X207" s="152">
        <f t="shared" si="122"/>
        <v>0</v>
      </c>
    </row>
    <row r="208" spans="1:24" s="88" customFormat="1" ht="20.25" hidden="1" customHeight="1">
      <c r="A208" s="83" t="s">
        <v>502</v>
      </c>
      <c r="B208" s="89" t="s">
        <v>625</v>
      </c>
      <c r="C208" s="151"/>
      <c r="D208" s="195"/>
      <c r="E208" s="15"/>
      <c r="F208" s="18"/>
      <c r="G208" s="90">
        <f>ESTIMATE!I1581</f>
        <v>0</v>
      </c>
      <c r="H208" s="85" t="s">
        <v>114</v>
      </c>
      <c r="I208" s="109">
        <f>ESTIMATE!K1581</f>
        <v>400</v>
      </c>
      <c r="J208" s="18">
        <f t="shared" ref="J208" si="139">ROUND(G208*I208,0)</f>
        <v>0</v>
      </c>
      <c r="K208" s="87">
        <f t="shared" si="132"/>
        <v>0</v>
      </c>
      <c r="L208" s="87">
        <f t="shared" si="133"/>
        <v>0</v>
      </c>
      <c r="M208" s="83" t="s">
        <v>15</v>
      </c>
      <c r="N208" s="188">
        <f t="shared" si="134"/>
        <v>-400</v>
      </c>
      <c r="S208" s="88">
        <v>0</v>
      </c>
      <c r="U208" s="152">
        <f t="shared" si="121"/>
        <v>0</v>
      </c>
      <c r="W208" s="88">
        <v>0</v>
      </c>
      <c r="X208" s="152">
        <f t="shared" si="122"/>
        <v>0</v>
      </c>
    </row>
    <row r="209" spans="1:24" s="88" customFormat="1" ht="20.25" hidden="1" customHeight="1">
      <c r="A209" s="83" t="s">
        <v>492</v>
      </c>
      <c r="B209" s="89" t="s">
        <v>1273</v>
      </c>
      <c r="C209" s="151"/>
      <c r="D209" s="195"/>
      <c r="E209" s="15"/>
      <c r="F209" s="18"/>
      <c r="G209" s="90">
        <f>ESTIMATE!I1577</f>
        <v>0</v>
      </c>
      <c r="H209" s="85" t="s">
        <v>114</v>
      </c>
      <c r="I209" s="109">
        <f>ESTIMATE!K1577</f>
        <v>359</v>
      </c>
      <c r="J209" s="18">
        <f t="shared" ref="J209" si="140">ROUND(G209*I209,0)</f>
        <v>0</v>
      </c>
      <c r="K209" s="87">
        <f t="shared" si="132"/>
        <v>0</v>
      </c>
      <c r="L209" s="87">
        <f t="shared" si="133"/>
        <v>0</v>
      </c>
      <c r="M209" s="83" t="s">
        <v>15</v>
      </c>
      <c r="N209" s="188">
        <f t="shared" si="134"/>
        <v>-359</v>
      </c>
      <c r="S209" s="88">
        <v>0</v>
      </c>
      <c r="U209" s="152">
        <f t="shared" ref="U209" si="141">J209-S209</f>
        <v>0</v>
      </c>
      <c r="W209" s="88">
        <v>0</v>
      </c>
      <c r="X209" s="152">
        <f t="shared" ref="X209" si="142">G209-W209</f>
        <v>0</v>
      </c>
    </row>
    <row r="210" spans="1:24" s="88" customFormat="1" ht="20.25" hidden="1" customHeight="1">
      <c r="A210" s="83" t="s">
        <v>629</v>
      </c>
      <c r="B210" s="89" t="s">
        <v>545</v>
      </c>
      <c r="C210" s="151"/>
      <c r="D210" s="195"/>
      <c r="E210" s="15"/>
      <c r="F210" s="18"/>
      <c r="G210" s="90">
        <f>ESTIMATE!I1588</f>
        <v>0</v>
      </c>
      <c r="H210" s="85" t="s">
        <v>114</v>
      </c>
      <c r="I210" s="109">
        <f>ESTIMATE!K1588</f>
        <v>68</v>
      </c>
      <c r="J210" s="18">
        <f t="shared" si="113"/>
        <v>0</v>
      </c>
      <c r="K210" s="87">
        <f t="shared" si="132"/>
        <v>0</v>
      </c>
      <c r="L210" s="87">
        <f t="shared" si="133"/>
        <v>0</v>
      </c>
      <c r="M210" s="83" t="s">
        <v>15</v>
      </c>
      <c r="N210" s="188">
        <f t="shared" si="134"/>
        <v>-68</v>
      </c>
      <c r="S210" s="88">
        <v>0</v>
      </c>
      <c r="U210" s="152">
        <f t="shared" si="121"/>
        <v>0</v>
      </c>
      <c r="W210" s="88">
        <v>0</v>
      </c>
      <c r="X210" s="152">
        <f t="shared" si="122"/>
        <v>0</v>
      </c>
    </row>
    <row r="211" spans="1:24" s="88" customFormat="1" ht="20.25" customHeight="1">
      <c r="A211" s="83" t="s">
        <v>475</v>
      </c>
      <c r="B211" s="89" t="s">
        <v>546</v>
      </c>
      <c r="C211" s="183">
        <v>7</v>
      </c>
      <c r="D211" s="253" t="s">
        <v>1900</v>
      </c>
      <c r="E211" s="12">
        <v>482.67</v>
      </c>
      <c r="F211" s="18">
        <f t="shared" ref="F211" si="143">ROUND(C211*E211,0)</f>
        <v>3379</v>
      </c>
      <c r="G211" s="90">
        <f>ESTIMATE!I1592</f>
        <v>9</v>
      </c>
      <c r="H211" s="85" t="s">
        <v>556</v>
      </c>
      <c r="I211" s="109">
        <f>ESTIMATE!K1592</f>
        <v>557.66</v>
      </c>
      <c r="J211" s="18">
        <f t="shared" si="113"/>
        <v>5019</v>
      </c>
      <c r="K211" s="87">
        <f t="shared" si="132"/>
        <v>1640</v>
      </c>
      <c r="L211" s="87">
        <f t="shared" si="133"/>
        <v>0</v>
      </c>
      <c r="M211" s="83" t="s">
        <v>15</v>
      </c>
      <c r="N211" s="188">
        <f t="shared" si="134"/>
        <v>-74.989999999999952</v>
      </c>
      <c r="S211" s="88">
        <v>29164</v>
      </c>
      <c r="U211" s="152">
        <f t="shared" si="121"/>
        <v>-24145</v>
      </c>
      <c r="W211" s="88">
        <v>65</v>
      </c>
      <c r="X211" s="152">
        <f t="shared" si="122"/>
        <v>-56</v>
      </c>
    </row>
    <row r="212" spans="1:24" s="88" customFormat="1" ht="20.25" customHeight="1">
      <c r="A212" s="83" t="s">
        <v>476</v>
      </c>
      <c r="B212" s="89" t="s">
        <v>546</v>
      </c>
      <c r="C212" s="183">
        <v>4</v>
      </c>
      <c r="D212" s="253" t="s">
        <v>1900</v>
      </c>
      <c r="E212" s="12">
        <v>504.67</v>
      </c>
      <c r="F212" s="18">
        <f t="shared" ref="F212:F218" si="144">ROUND(C212*E212,0)</f>
        <v>2019</v>
      </c>
      <c r="G212" s="90">
        <f>ESTIMATE!I1596</f>
        <v>3</v>
      </c>
      <c r="H212" s="85" t="s">
        <v>556</v>
      </c>
      <c r="I212" s="109">
        <f>ESTIMATE!K1596</f>
        <v>582.66</v>
      </c>
      <c r="J212" s="18">
        <f t="shared" si="113"/>
        <v>1748</v>
      </c>
      <c r="K212" s="87">
        <f t="shared" si="132"/>
        <v>0</v>
      </c>
      <c r="L212" s="87">
        <f t="shared" si="133"/>
        <v>271</v>
      </c>
      <c r="M212" s="83" t="s">
        <v>15</v>
      </c>
      <c r="N212" s="188">
        <f t="shared" si="134"/>
        <v>-77.989999999999952</v>
      </c>
      <c r="S212" s="88">
        <v>0</v>
      </c>
      <c r="U212" s="152">
        <f t="shared" si="121"/>
        <v>1748</v>
      </c>
      <c r="W212" s="88">
        <v>0</v>
      </c>
      <c r="X212" s="152">
        <f t="shared" si="122"/>
        <v>3</v>
      </c>
    </row>
    <row r="213" spans="1:24" s="88" customFormat="1" ht="20.25" hidden="1" customHeight="1">
      <c r="A213" s="83" t="s">
        <v>930</v>
      </c>
      <c r="B213" s="89" t="s">
        <v>1417</v>
      </c>
      <c r="C213" s="183"/>
      <c r="D213" s="253"/>
      <c r="E213" s="12"/>
      <c r="F213" s="18">
        <f t="shared" si="144"/>
        <v>0</v>
      </c>
      <c r="G213" s="90">
        <f>ESTIMATE!I1599</f>
        <v>0</v>
      </c>
      <c r="H213" s="85" t="s">
        <v>271</v>
      </c>
      <c r="I213" s="109">
        <f>ESTIMATE!K1599</f>
        <v>0</v>
      </c>
      <c r="J213" s="18">
        <f t="shared" ref="J213" si="145">ROUND(G213*I213,0)</f>
        <v>0</v>
      </c>
      <c r="K213" s="87">
        <f t="shared" si="132"/>
        <v>0</v>
      </c>
      <c r="L213" s="87">
        <f t="shared" si="133"/>
        <v>0</v>
      </c>
      <c r="M213" s="83" t="s">
        <v>15</v>
      </c>
      <c r="N213" s="188">
        <f t="shared" si="134"/>
        <v>0</v>
      </c>
      <c r="S213" s="88">
        <v>18954</v>
      </c>
      <c r="U213" s="152">
        <f t="shared" ref="U213" si="146">J213-S213</f>
        <v>-18954</v>
      </c>
      <c r="W213" s="88">
        <v>291.89999999999998</v>
      </c>
      <c r="X213" s="152">
        <f t="shared" ref="X213" si="147">G213-W213</f>
        <v>-291.89999999999998</v>
      </c>
    </row>
    <row r="214" spans="1:24" s="88" customFormat="1" ht="20.25" customHeight="1">
      <c r="A214" s="83" t="s">
        <v>477</v>
      </c>
      <c r="B214" s="89" t="s">
        <v>547</v>
      </c>
      <c r="C214" s="183">
        <v>40</v>
      </c>
      <c r="D214" s="253" t="s">
        <v>271</v>
      </c>
      <c r="E214" s="12">
        <v>83.37</v>
      </c>
      <c r="F214" s="18">
        <f t="shared" si="144"/>
        <v>3335</v>
      </c>
      <c r="G214" s="90">
        <f>ESTIMATE!I1600</f>
        <v>90</v>
      </c>
      <c r="H214" s="85" t="s">
        <v>271</v>
      </c>
      <c r="I214" s="109">
        <f>ESTIMATE!K1600</f>
        <v>100.19</v>
      </c>
      <c r="J214" s="18">
        <f t="shared" si="113"/>
        <v>9017</v>
      </c>
      <c r="K214" s="87">
        <f t="shared" si="132"/>
        <v>5682</v>
      </c>
      <c r="L214" s="87">
        <f t="shared" si="133"/>
        <v>0</v>
      </c>
      <c r="M214" s="83" t="s">
        <v>15</v>
      </c>
      <c r="N214" s="188">
        <f t="shared" si="134"/>
        <v>-16.819999999999993</v>
      </c>
      <c r="S214" s="88">
        <v>18954</v>
      </c>
      <c r="U214" s="152">
        <f t="shared" si="121"/>
        <v>-9937</v>
      </c>
      <c r="W214" s="88">
        <v>291.89999999999998</v>
      </c>
      <c r="X214" s="152">
        <f t="shared" si="122"/>
        <v>-201.89999999999998</v>
      </c>
    </row>
    <row r="215" spans="1:24" s="88" customFormat="1" ht="20.25" customHeight="1">
      <c r="A215" s="83" t="s">
        <v>478</v>
      </c>
      <c r="B215" s="89" t="s">
        <v>548</v>
      </c>
      <c r="C215" s="183">
        <v>20</v>
      </c>
      <c r="D215" s="253" t="s">
        <v>271</v>
      </c>
      <c r="E215" s="12">
        <v>126.7</v>
      </c>
      <c r="F215" s="18">
        <f t="shared" si="144"/>
        <v>2534</v>
      </c>
      <c r="G215" s="90">
        <f>ESTIMATE!I1604</f>
        <v>0</v>
      </c>
      <c r="H215" s="85" t="s">
        <v>271</v>
      </c>
      <c r="I215" s="109">
        <f>ESTIMATE!K1604</f>
        <v>133.97</v>
      </c>
      <c r="J215" s="18">
        <f t="shared" si="113"/>
        <v>0</v>
      </c>
      <c r="K215" s="87">
        <f t="shared" si="132"/>
        <v>0</v>
      </c>
      <c r="L215" s="87">
        <f t="shared" si="133"/>
        <v>2534</v>
      </c>
      <c r="M215" s="83" t="s">
        <v>15</v>
      </c>
      <c r="N215" s="188">
        <f t="shared" si="134"/>
        <v>-7.269999999999996</v>
      </c>
      <c r="S215" s="88">
        <v>3349</v>
      </c>
      <c r="U215" s="152">
        <f t="shared" si="121"/>
        <v>-3349</v>
      </c>
      <c r="W215" s="88">
        <v>33.950000000000003</v>
      </c>
      <c r="X215" s="152">
        <f t="shared" si="122"/>
        <v>-33.950000000000003</v>
      </c>
    </row>
    <row r="216" spans="1:24" s="88" customFormat="1" ht="20.25" hidden="1" customHeight="1">
      <c r="A216" s="83" t="s">
        <v>931</v>
      </c>
      <c r="B216" s="89" t="s">
        <v>787</v>
      </c>
      <c r="C216" s="183"/>
      <c r="D216" s="253"/>
      <c r="E216" s="12"/>
      <c r="F216" s="18">
        <f t="shared" si="144"/>
        <v>0</v>
      </c>
      <c r="G216" s="90">
        <f>ESTIMATE!I1607</f>
        <v>30</v>
      </c>
      <c r="H216" s="85" t="s">
        <v>271</v>
      </c>
      <c r="I216" s="109">
        <f>ESTIMATE!K1607</f>
        <v>77.744500000000002</v>
      </c>
      <c r="J216" s="18">
        <f t="shared" si="113"/>
        <v>2332</v>
      </c>
      <c r="K216" s="87">
        <f t="shared" si="132"/>
        <v>2332</v>
      </c>
      <c r="L216" s="87">
        <f t="shared" si="133"/>
        <v>0</v>
      </c>
      <c r="M216" s="83" t="s">
        <v>15</v>
      </c>
      <c r="N216" s="188">
        <f t="shared" si="134"/>
        <v>-77.744500000000002</v>
      </c>
      <c r="S216" s="88">
        <v>767</v>
      </c>
      <c r="U216" s="152">
        <f t="shared" si="121"/>
        <v>1565</v>
      </c>
      <c r="W216" s="88">
        <v>15</v>
      </c>
      <c r="X216" s="152">
        <f t="shared" si="122"/>
        <v>15</v>
      </c>
    </row>
    <row r="217" spans="1:24" s="88" customFormat="1" ht="20.25" hidden="1" customHeight="1">
      <c r="A217" s="83" t="s">
        <v>1049</v>
      </c>
      <c r="B217" s="89" t="s">
        <v>427</v>
      </c>
      <c r="C217" s="151"/>
      <c r="D217" s="195"/>
      <c r="E217" s="15"/>
      <c r="F217" s="18"/>
      <c r="G217" s="90">
        <f>ESTIMATE!I1611</f>
        <v>0</v>
      </c>
      <c r="H217" s="85" t="s">
        <v>114</v>
      </c>
      <c r="I217" s="109">
        <f>ESTIMATE!K1611</f>
        <v>240</v>
      </c>
      <c r="J217" s="18">
        <f t="shared" si="113"/>
        <v>0</v>
      </c>
      <c r="K217" s="87">
        <f t="shared" si="132"/>
        <v>0</v>
      </c>
      <c r="L217" s="87">
        <f t="shared" si="133"/>
        <v>0</v>
      </c>
      <c r="M217" s="83" t="s">
        <v>15</v>
      </c>
      <c r="N217" s="188">
        <f t="shared" si="134"/>
        <v>-240</v>
      </c>
      <c r="S217" s="88">
        <v>0</v>
      </c>
      <c r="U217" s="152">
        <f t="shared" si="121"/>
        <v>0</v>
      </c>
      <c r="W217" s="88">
        <v>0</v>
      </c>
      <c r="X217" s="152">
        <f t="shared" si="122"/>
        <v>0</v>
      </c>
    </row>
    <row r="218" spans="1:24" s="88" customFormat="1" ht="20.25" customHeight="1">
      <c r="A218" s="83" t="s">
        <v>479</v>
      </c>
      <c r="B218" s="89" t="s">
        <v>600</v>
      </c>
      <c r="C218" s="151">
        <v>4</v>
      </c>
      <c r="D218" s="195" t="s">
        <v>1901</v>
      </c>
      <c r="E218" s="15">
        <v>171</v>
      </c>
      <c r="F218" s="18">
        <f t="shared" si="144"/>
        <v>684</v>
      </c>
      <c r="G218" s="90">
        <f>ESTIMATE!I1615</f>
        <v>3</v>
      </c>
      <c r="H218" s="85" t="s">
        <v>114</v>
      </c>
      <c r="I218" s="109">
        <f>ESTIMATE!K1615</f>
        <v>223.82</v>
      </c>
      <c r="J218" s="18">
        <f t="shared" ref="J218" si="148">ROUND(G218*I218,0)</f>
        <v>671</v>
      </c>
      <c r="K218" s="87">
        <f t="shared" si="132"/>
        <v>0</v>
      </c>
      <c r="L218" s="87">
        <f t="shared" si="133"/>
        <v>13</v>
      </c>
      <c r="M218" s="83" t="s">
        <v>15</v>
      </c>
      <c r="N218" s="188">
        <f t="shared" si="134"/>
        <v>-52.819999999999993</v>
      </c>
      <c r="S218" s="88">
        <v>0</v>
      </c>
      <c r="U218" s="152">
        <f t="shared" si="121"/>
        <v>671</v>
      </c>
      <c r="W218" s="88">
        <v>0</v>
      </c>
      <c r="X218" s="152">
        <f t="shared" si="122"/>
        <v>3</v>
      </c>
    </row>
    <row r="219" spans="1:24" s="88" customFormat="1" ht="20.25" hidden="1" customHeight="1">
      <c r="A219" s="83" t="s">
        <v>934</v>
      </c>
      <c r="B219" s="89" t="s">
        <v>679</v>
      </c>
      <c r="C219" s="151"/>
      <c r="D219" s="195"/>
      <c r="E219" s="15"/>
      <c r="F219" s="18"/>
      <c r="G219" s="90">
        <f>ESTIMATE!I1619</f>
        <v>0</v>
      </c>
      <c r="H219" s="85" t="s">
        <v>114</v>
      </c>
      <c r="I219" s="109">
        <f>ESTIMATE!K1619</f>
        <v>152</v>
      </c>
      <c r="J219" s="18">
        <f t="shared" ref="J219" si="149">ROUND(G219*I219,0)</f>
        <v>0</v>
      </c>
      <c r="K219" s="87">
        <f t="shared" si="132"/>
        <v>0</v>
      </c>
      <c r="L219" s="87">
        <f t="shared" si="133"/>
        <v>0</v>
      </c>
      <c r="M219" s="83" t="s">
        <v>15</v>
      </c>
      <c r="N219" s="188">
        <f t="shared" si="134"/>
        <v>-152</v>
      </c>
      <c r="S219" s="88">
        <v>0</v>
      </c>
      <c r="U219" s="152">
        <f t="shared" si="121"/>
        <v>0</v>
      </c>
      <c r="W219" s="88">
        <v>0</v>
      </c>
      <c r="X219" s="152">
        <f t="shared" si="122"/>
        <v>0</v>
      </c>
    </row>
    <row r="220" spans="1:24" s="88" customFormat="1" ht="20.25" hidden="1" customHeight="1">
      <c r="A220" s="83" t="s">
        <v>513</v>
      </c>
      <c r="B220" s="89" t="s">
        <v>734</v>
      </c>
      <c r="C220" s="151"/>
      <c r="D220" s="195"/>
      <c r="E220" s="15"/>
      <c r="F220" s="18"/>
      <c r="G220" s="90">
        <f>ESTIMATE!I1627</f>
        <v>0</v>
      </c>
      <c r="H220" s="85" t="s">
        <v>114</v>
      </c>
      <c r="I220" s="109">
        <f>ESTIMATE!K1627</f>
        <v>101</v>
      </c>
      <c r="J220" s="18">
        <f t="shared" ref="J220" si="150">ROUND(G220*I220,0)</f>
        <v>0</v>
      </c>
      <c r="K220" s="87">
        <f t="shared" si="132"/>
        <v>0</v>
      </c>
      <c r="L220" s="87">
        <f t="shared" si="133"/>
        <v>0</v>
      </c>
      <c r="M220" s="83" t="s">
        <v>15</v>
      </c>
      <c r="N220" s="188">
        <f t="shared" si="134"/>
        <v>-101</v>
      </c>
      <c r="S220" s="88">
        <v>0</v>
      </c>
      <c r="U220" s="152">
        <f t="shared" si="121"/>
        <v>0</v>
      </c>
      <c r="W220" s="88">
        <v>0</v>
      </c>
      <c r="X220" s="152">
        <f t="shared" si="122"/>
        <v>0</v>
      </c>
    </row>
    <row r="221" spans="1:24" s="88" customFormat="1" ht="20.25" hidden="1" customHeight="1">
      <c r="A221" s="83" t="s">
        <v>511</v>
      </c>
      <c r="B221" s="89" t="s">
        <v>602</v>
      </c>
      <c r="C221" s="151"/>
      <c r="D221" s="195"/>
      <c r="E221" s="15"/>
      <c r="F221" s="18"/>
      <c r="G221" s="90">
        <f>ESTIMATE!I1623</f>
        <v>0</v>
      </c>
      <c r="H221" s="85" t="s">
        <v>114</v>
      </c>
      <c r="I221" s="109">
        <f>ESTIMATE!K1623</f>
        <v>392</v>
      </c>
      <c r="J221" s="18">
        <f t="shared" ref="J221" si="151">ROUND(G221*I221,0)</f>
        <v>0</v>
      </c>
      <c r="K221" s="87">
        <f t="shared" si="132"/>
        <v>0</v>
      </c>
      <c r="L221" s="87">
        <f t="shared" si="133"/>
        <v>0</v>
      </c>
      <c r="M221" s="83" t="s">
        <v>15</v>
      </c>
      <c r="N221" s="188">
        <f t="shared" si="134"/>
        <v>-392</v>
      </c>
      <c r="S221" s="88">
        <v>0</v>
      </c>
      <c r="U221" s="152">
        <f t="shared" si="121"/>
        <v>0</v>
      </c>
      <c r="W221" s="88">
        <v>0</v>
      </c>
      <c r="X221" s="152">
        <f t="shared" si="122"/>
        <v>0</v>
      </c>
    </row>
    <row r="222" spans="1:24" s="88" customFormat="1" ht="20.25" hidden="1" customHeight="1">
      <c r="A222" s="83" t="s">
        <v>631</v>
      </c>
      <c r="B222" s="89" t="s">
        <v>429</v>
      </c>
      <c r="C222" s="151"/>
      <c r="D222" s="195"/>
      <c r="E222" s="15"/>
      <c r="F222" s="18"/>
      <c r="G222" s="90">
        <f>ESTIMATE!I1631</f>
        <v>0</v>
      </c>
      <c r="H222" s="85" t="s">
        <v>114</v>
      </c>
      <c r="I222" s="109">
        <f>ESTIMATE!K1631</f>
        <v>76</v>
      </c>
      <c r="J222" s="18">
        <f t="shared" si="113"/>
        <v>0</v>
      </c>
      <c r="K222" s="87">
        <f t="shared" si="132"/>
        <v>0</v>
      </c>
      <c r="L222" s="87">
        <f t="shared" si="133"/>
        <v>0</v>
      </c>
      <c r="M222" s="83" t="s">
        <v>15</v>
      </c>
      <c r="N222" s="188">
        <f t="shared" si="134"/>
        <v>-76</v>
      </c>
      <c r="S222" s="88">
        <v>0</v>
      </c>
      <c r="U222" s="152">
        <f t="shared" si="121"/>
        <v>0</v>
      </c>
      <c r="W222" s="88">
        <v>0</v>
      </c>
      <c r="X222" s="152">
        <f t="shared" si="122"/>
        <v>0</v>
      </c>
    </row>
    <row r="223" spans="1:24" s="88" customFormat="1" ht="20.25" customHeight="1">
      <c r="A223" s="83" t="s">
        <v>480</v>
      </c>
      <c r="B223" s="89" t="s">
        <v>549</v>
      </c>
      <c r="C223" s="183">
        <v>4</v>
      </c>
      <c r="D223" s="253" t="s">
        <v>114</v>
      </c>
      <c r="E223" s="12">
        <v>127.08</v>
      </c>
      <c r="F223" s="18">
        <f t="shared" ref="F223:F226" si="152">ROUND(C223*E223,0)</f>
        <v>508</v>
      </c>
      <c r="G223" s="90">
        <f>ESTIMATE!I1639</f>
        <v>3</v>
      </c>
      <c r="H223" s="85" t="s">
        <v>114</v>
      </c>
      <c r="I223" s="109">
        <f>ESTIMATE!K1639</f>
        <v>156.56</v>
      </c>
      <c r="J223" s="18">
        <f t="shared" si="113"/>
        <v>470</v>
      </c>
      <c r="K223" s="87">
        <f t="shared" si="132"/>
        <v>0</v>
      </c>
      <c r="L223" s="87">
        <f t="shared" si="133"/>
        <v>38</v>
      </c>
      <c r="M223" s="83" t="s">
        <v>15</v>
      </c>
      <c r="N223" s="188">
        <f t="shared" si="134"/>
        <v>-29.480000000000004</v>
      </c>
      <c r="S223" s="88">
        <v>7263</v>
      </c>
      <c r="U223" s="152">
        <f t="shared" si="121"/>
        <v>-6793</v>
      </c>
      <c r="W223" s="88">
        <v>26</v>
      </c>
      <c r="X223" s="152">
        <f t="shared" si="122"/>
        <v>-23</v>
      </c>
    </row>
    <row r="224" spans="1:24" s="88" customFormat="1" ht="20.25" customHeight="1">
      <c r="A224" s="83" t="s">
        <v>1274</v>
      </c>
      <c r="B224" s="89" t="s">
        <v>1043</v>
      </c>
      <c r="C224" s="183">
        <v>1</v>
      </c>
      <c r="D224" s="195" t="s">
        <v>114</v>
      </c>
      <c r="E224" s="12">
        <v>424.5</v>
      </c>
      <c r="F224" s="18">
        <f t="shared" si="152"/>
        <v>425</v>
      </c>
      <c r="G224" s="90">
        <f>ESTIMATE!I1635</f>
        <v>0</v>
      </c>
      <c r="H224" s="85" t="s">
        <v>114</v>
      </c>
      <c r="I224" s="109">
        <f>ESTIMATE!K1635</f>
        <v>437.5</v>
      </c>
      <c r="J224" s="18">
        <f t="shared" ref="J224" si="153">ROUND(G224*I224,0)</f>
        <v>0</v>
      </c>
      <c r="K224" s="87">
        <f t="shared" si="132"/>
        <v>0</v>
      </c>
      <c r="L224" s="87">
        <f t="shared" si="133"/>
        <v>425</v>
      </c>
      <c r="M224" s="83" t="s">
        <v>15</v>
      </c>
      <c r="N224" s="188">
        <f t="shared" si="134"/>
        <v>-13</v>
      </c>
      <c r="S224" s="88">
        <v>7263</v>
      </c>
      <c r="U224" s="152">
        <f t="shared" ref="U224" si="154">J224-S224</f>
        <v>-7263</v>
      </c>
      <c r="W224" s="88">
        <v>26</v>
      </c>
      <c r="X224" s="152">
        <f t="shared" ref="X224" si="155">G224-W224</f>
        <v>-26</v>
      </c>
    </row>
    <row r="225" spans="1:24" s="88" customFormat="1" ht="20.25" hidden="1" customHeight="1">
      <c r="A225" s="83" t="s">
        <v>630</v>
      </c>
      <c r="B225" s="89" t="s">
        <v>626</v>
      </c>
      <c r="C225" s="151"/>
      <c r="D225" s="195"/>
      <c r="E225" s="15"/>
      <c r="F225" s="18"/>
      <c r="G225" s="90">
        <f>ESTIMATE!I1642</f>
        <v>0</v>
      </c>
      <c r="H225" s="85" t="s">
        <v>114</v>
      </c>
      <c r="I225" s="109">
        <f>ESTIMATE!K1642</f>
        <v>131.80000000000001</v>
      </c>
      <c r="J225" s="18">
        <f t="shared" ref="J225:J226" si="156">ROUND(G225*I225,0)</f>
        <v>0</v>
      </c>
      <c r="K225" s="87">
        <f t="shared" si="132"/>
        <v>0</v>
      </c>
      <c r="L225" s="87">
        <f t="shared" si="133"/>
        <v>0</v>
      </c>
      <c r="M225" s="83" t="s">
        <v>15</v>
      </c>
      <c r="N225" s="188">
        <f t="shared" si="134"/>
        <v>-131.80000000000001</v>
      </c>
      <c r="S225" s="88">
        <v>0</v>
      </c>
      <c r="U225" s="152">
        <f t="shared" si="121"/>
        <v>0</v>
      </c>
      <c r="W225" s="88">
        <v>0</v>
      </c>
      <c r="X225" s="152">
        <f t="shared" si="122"/>
        <v>0</v>
      </c>
    </row>
    <row r="226" spans="1:24" s="88" customFormat="1" ht="20.25" customHeight="1">
      <c r="A226" s="83" t="s">
        <v>481</v>
      </c>
      <c r="B226" s="89" t="s">
        <v>609</v>
      </c>
      <c r="C226" s="183">
        <v>4</v>
      </c>
      <c r="D226" s="195" t="s">
        <v>114</v>
      </c>
      <c r="E226" s="15">
        <v>21</v>
      </c>
      <c r="F226" s="18">
        <f t="shared" si="152"/>
        <v>84</v>
      </c>
      <c r="G226" s="90">
        <f>ESTIMATE!I1646</f>
        <v>3</v>
      </c>
      <c r="H226" s="85" t="s">
        <v>114</v>
      </c>
      <c r="I226" s="109">
        <f>ESTIMATE!K1646</f>
        <v>23.86</v>
      </c>
      <c r="J226" s="18">
        <f t="shared" si="156"/>
        <v>72</v>
      </c>
      <c r="K226" s="87">
        <f t="shared" si="132"/>
        <v>0</v>
      </c>
      <c r="L226" s="87">
        <f t="shared" si="133"/>
        <v>12</v>
      </c>
      <c r="M226" s="83" t="s">
        <v>15</v>
      </c>
      <c r="N226" s="188">
        <f t="shared" si="134"/>
        <v>-2.8599999999999994</v>
      </c>
      <c r="S226" s="88">
        <v>2090</v>
      </c>
      <c r="U226" s="152">
        <f t="shared" si="121"/>
        <v>-2018</v>
      </c>
      <c r="W226" s="88">
        <v>15</v>
      </c>
      <c r="X226" s="152">
        <f t="shared" si="122"/>
        <v>-12</v>
      </c>
    </row>
    <row r="227" spans="1:24" s="88" customFormat="1" ht="20.25" customHeight="1">
      <c r="A227" s="83" t="s">
        <v>482</v>
      </c>
      <c r="B227" s="89" t="s">
        <v>550</v>
      </c>
      <c r="C227" s="183">
        <v>2</v>
      </c>
      <c r="D227" s="195" t="s">
        <v>114</v>
      </c>
      <c r="E227" s="12">
        <v>128.25</v>
      </c>
      <c r="F227" s="18">
        <f t="shared" ref="F227:F228" si="157">ROUND(C227*E227,0)</f>
        <v>257</v>
      </c>
      <c r="G227" s="90">
        <f>ESTIMATE!I1650</f>
        <v>4</v>
      </c>
      <c r="H227" s="85" t="s">
        <v>114</v>
      </c>
      <c r="I227" s="109">
        <f>ESTIMATE!K1650</f>
        <v>154.80000000000001</v>
      </c>
      <c r="J227" s="18">
        <f t="shared" si="113"/>
        <v>619</v>
      </c>
      <c r="K227" s="87">
        <f t="shared" si="132"/>
        <v>362</v>
      </c>
      <c r="L227" s="87">
        <f t="shared" si="133"/>
        <v>0</v>
      </c>
      <c r="M227" s="83" t="s">
        <v>15</v>
      </c>
      <c r="N227" s="188">
        <f t="shared" si="134"/>
        <v>-26.550000000000011</v>
      </c>
      <c r="S227" s="88">
        <v>1674</v>
      </c>
      <c r="U227" s="152">
        <f t="shared" si="121"/>
        <v>-1055</v>
      </c>
      <c r="W227" s="88">
        <v>24</v>
      </c>
      <c r="X227" s="152">
        <f t="shared" si="122"/>
        <v>-20</v>
      </c>
    </row>
    <row r="228" spans="1:24" s="88" customFormat="1" ht="20.25" customHeight="1">
      <c r="A228" s="83" t="s">
        <v>483</v>
      </c>
      <c r="B228" s="89" t="s">
        <v>551</v>
      </c>
      <c r="C228" s="183">
        <v>4</v>
      </c>
      <c r="D228" s="195" t="s">
        <v>114</v>
      </c>
      <c r="E228" s="12">
        <v>3314.69</v>
      </c>
      <c r="F228" s="18">
        <f t="shared" si="157"/>
        <v>13259</v>
      </c>
      <c r="G228" s="90">
        <f>ESTIMATE!I1654</f>
        <v>3</v>
      </c>
      <c r="H228" s="85" t="s">
        <v>114</v>
      </c>
      <c r="I228" s="109">
        <f>ESTIMATE!K1654</f>
        <v>3780.03</v>
      </c>
      <c r="J228" s="18">
        <f t="shared" ref="J228" si="158">ROUND(G228*I228,0)</f>
        <v>11340</v>
      </c>
      <c r="K228" s="87">
        <f t="shared" si="132"/>
        <v>0</v>
      </c>
      <c r="L228" s="87">
        <f t="shared" si="133"/>
        <v>1919</v>
      </c>
      <c r="M228" s="83" t="s">
        <v>15</v>
      </c>
      <c r="N228" s="188">
        <f t="shared" si="134"/>
        <v>-465.34000000000015</v>
      </c>
      <c r="S228" s="88">
        <v>37536</v>
      </c>
      <c r="U228" s="152">
        <f t="shared" ref="U228" si="159">J228-S228</f>
        <v>-26196</v>
      </c>
      <c r="W228" s="88">
        <v>16</v>
      </c>
      <c r="X228" s="152">
        <f t="shared" ref="X228" si="160">G228-W228</f>
        <v>-13</v>
      </c>
    </row>
    <row r="229" spans="1:24" s="88" customFormat="1" ht="20.25" hidden="1" customHeight="1">
      <c r="A229" s="83" t="s">
        <v>1442</v>
      </c>
      <c r="B229" s="89" t="s">
        <v>551</v>
      </c>
      <c r="C229" s="183"/>
      <c r="D229" s="253"/>
      <c r="E229" s="12"/>
      <c r="F229" s="18">
        <f t="shared" ref="F229:F232" si="161">ROUND(C229*E229,0)</f>
        <v>0</v>
      </c>
      <c r="G229" s="90">
        <f>ESTIMATE!I1662</f>
        <v>0</v>
      </c>
      <c r="H229" s="85" t="s">
        <v>114</v>
      </c>
      <c r="I229" s="109">
        <f>ESTIMATE!K1662</f>
        <v>2933.04</v>
      </c>
      <c r="J229" s="18">
        <f t="shared" si="113"/>
        <v>0</v>
      </c>
      <c r="K229" s="87">
        <f t="shared" si="132"/>
        <v>0</v>
      </c>
      <c r="L229" s="87">
        <f t="shared" si="133"/>
        <v>0</v>
      </c>
      <c r="M229" s="83" t="s">
        <v>15</v>
      </c>
      <c r="N229" s="188">
        <f t="shared" si="134"/>
        <v>-2933.04</v>
      </c>
      <c r="S229" s="88">
        <v>37536</v>
      </c>
      <c r="U229" s="152">
        <f t="shared" si="121"/>
        <v>-37536</v>
      </c>
      <c r="W229" s="88">
        <v>16</v>
      </c>
      <c r="X229" s="152">
        <f t="shared" si="122"/>
        <v>-16</v>
      </c>
    </row>
    <row r="230" spans="1:24" s="88" customFormat="1" ht="20.25" hidden="1" customHeight="1">
      <c r="A230" s="83" t="s">
        <v>1443</v>
      </c>
      <c r="B230" s="89" t="s">
        <v>785</v>
      </c>
      <c r="C230" s="183"/>
      <c r="D230" s="253"/>
      <c r="E230" s="12"/>
      <c r="F230" s="18">
        <f t="shared" si="161"/>
        <v>0</v>
      </c>
      <c r="G230" s="90">
        <f>ESTIMATE!I1675</f>
        <v>0</v>
      </c>
      <c r="H230" s="85" t="s">
        <v>114</v>
      </c>
      <c r="I230" s="109">
        <f>ESTIMATE!K1675</f>
        <v>287</v>
      </c>
      <c r="J230" s="18">
        <f t="shared" si="113"/>
        <v>0</v>
      </c>
      <c r="K230" s="87">
        <f t="shared" si="132"/>
        <v>0</v>
      </c>
      <c r="L230" s="87">
        <f t="shared" si="133"/>
        <v>0</v>
      </c>
      <c r="M230" s="83" t="s">
        <v>15</v>
      </c>
      <c r="N230" s="188">
        <f t="shared" si="134"/>
        <v>-287</v>
      </c>
      <c r="S230" s="88">
        <v>7200</v>
      </c>
      <c r="U230" s="152">
        <f t="shared" si="121"/>
        <v>-7200</v>
      </c>
      <c r="W230" s="88">
        <v>16</v>
      </c>
      <c r="X230" s="152">
        <f t="shared" si="122"/>
        <v>-16</v>
      </c>
    </row>
    <row r="231" spans="1:24" s="88" customFormat="1" ht="20.25" hidden="1" customHeight="1">
      <c r="A231" s="83" t="s">
        <v>1045</v>
      </c>
      <c r="B231" s="89" t="s">
        <v>910</v>
      </c>
      <c r="C231" s="183"/>
      <c r="D231" s="253"/>
      <c r="E231" s="12"/>
      <c r="F231" s="18">
        <f t="shared" si="161"/>
        <v>0</v>
      </c>
      <c r="G231" s="90">
        <f>ESTIMATE!I1679</f>
        <v>0</v>
      </c>
      <c r="H231" s="85" t="s">
        <v>114</v>
      </c>
      <c r="I231" s="109">
        <f>ESTIMATE!K1679</f>
        <v>186.01</v>
      </c>
      <c r="J231" s="18">
        <f t="shared" si="113"/>
        <v>0</v>
      </c>
      <c r="K231" s="87">
        <f t="shared" si="132"/>
        <v>0</v>
      </c>
      <c r="L231" s="87">
        <f t="shared" si="133"/>
        <v>0</v>
      </c>
      <c r="M231" s="83" t="s">
        <v>15</v>
      </c>
      <c r="N231" s="188">
        <f t="shared" si="134"/>
        <v>-186.01</v>
      </c>
      <c r="S231" s="88">
        <v>2222</v>
      </c>
      <c r="U231" s="152">
        <f t="shared" si="121"/>
        <v>-2222</v>
      </c>
      <c r="W231" s="88">
        <v>16</v>
      </c>
      <c r="X231" s="152">
        <f t="shared" si="122"/>
        <v>-16</v>
      </c>
    </row>
    <row r="232" spans="1:24" s="88" customFormat="1" ht="20.25" customHeight="1">
      <c r="A232" s="83" t="s">
        <v>484</v>
      </c>
      <c r="B232" s="89" t="s">
        <v>1319</v>
      </c>
      <c r="C232" s="183">
        <v>4</v>
      </c>
      <c r="D232" s="195" t="s">
        <v>114</v>
      </c>
      <c r="E232" s="12">
        <v>230.73</v>
      </c>
      <c r="F232" s="18">
        <f t="shared" si="161"/>
        <v>923</v>
      </c>
      <c r="G232" s="90">
        <f>ESTIMATE!I1658</f>
        <v>3</v>
      </c>
      <c r="H232" s="85" t="s">
        <v>114</v>
      </c>
      <c r="I232" s="109">
        <f>ESTIMATE!K1658</f>
        <v>293.83999999999997</v>
      </c>
      <c r="J232" s="18">
        <f t="shared" ref="J232" si="162">ROUND(G232*I232,0)</f>
        <v>882</v>
      </c>
      <c r="K232" s="87">
        <f t="shared" si="132"/>
        <v>0</v>
      </c>
      <c r="L232" s="87">
        <f t="shared" si="133"/>
        <v>41</v>
      </c>
      <c r="M232" s="83" t="s">
        <v>15</v>
      </c>
      <c r="N232" s="188">
        <f t="shared" si="134"/>
        <v>-63.109999999999985</v>
      </c>
      <c r="S232" s="88">
        <v>2096</v>
      </c>
      <c r="U232" s="152">
        <f t="shared" ref="U232" si="163">J232-S232</f>
        <v>-1214</v>
      </c>
      <c r="W232" s="88">
        <v>16</v>
      </c>
      <c r="X232" s="152">
        <f t="shared" ref="X232" si="164">G232-W232</f>
        <v>-13</v>
      </c>
    </row>
    <row r="233" spans="1:24" s="88" customFormat="1" ht="20.25" hidden="1" customHeight="1">
      <c r="A233" s="83" t="s">
        <v>1275</v>
      </c>
      <c r="B233" s="89" t="s">
        <v>786</v>
      </c>
      <c r="C233" s="183"/>
      <c r="D233" s="253"/>
      <c r="E233" s="12"/>
      <c r="F233" s="18">
        <f t="shared" ref="F233:F234" si="165">ROUND(C233*E233,0)</f>
        <v>0</v>
      </c>
      <c r="G233" s="90">
        <f>ESTIMATE!I1685</f>
        <v>0</v>
      </c>
      <c r="H233" s="85" t="s">
        <v>114</v>
      </c>
      <c r="I233" s="109">
        <f>ESTIMATE!K1685</f>
        <v>178.5</v>
      </c>
      <c r="J233" s="18">
        <f t="shared" si="113"/>
        <v>0</v>
      </c>
      <c r="K233" s="87">
        <f t="shared" si="132"/>
        <v>0</v>
      </c>
      <c r="L233" s="87">
        <f t="shared" si="133"/>
        <v>0</v>
      </c>
      <c r="M233" s="83" t="s">
        <v>15</v>
      </c>
      <c r="N233" s="188">
        <f t="shared" si="134"/>
        <v>-178.5</v>
      </c>
      <c r="S233" s="88">
        <v>2096</v>
      </c>
      <c r="U233" s="152">
        <f t="shared" si="121"/>
        <v>-2096</v>
      </c>
      <c r="W233" s="88">
        <v>16</v>
      </c>
      <c r="X233" s="152">
        <f t="shared" si="122"/>
        <v>-16</v>
      </c>
    </row>
    <row r="234" spans="1:24" s="88" customFormat="1" ht="20.25" customHeight="1">
      <c r="A234" s="83" t="s">
        <v>1275</v>
      </c>
      <c r="B234" s="89" t="s">
        <v>552</v>
      </c>
      <c r="C234" s="183">
        <v>6</v>
      </c>
      <c r="D234" s="253" t="s">
        <v>114</v>
      </c>
      <c r="E234" s="12">
        <v>405.94</v>
      </c>
      <c r="F234" s="18">
        <f t="shared" si="165"/>
        <v>2436</v>
      </c>
      <c r="G234" s="90">
        <f>ESTIMATE!I1689</f>
        <v>3</v>
      </c>
      <c r="H234" s="85" t="s">
        <v>114</v>
      </c>
      <c r="I234" s="109">
        <f>ESTIMATE!K1689</f>
        <v>458.87</v>
      </c>
      <c r="J234" s="18">
        <f t="shared" si="113"/>
        <v>1377</v>
      </c>
      <c r="K234" s="87">
        <f t="shared" si="132"/>
        <v>0</v>
      </c>
      <c r="L234" s="87">
        <f t="shared" si="133"/>
        <v>1059</v>
      </c>
      <c r="M234" s="83" t="s">
        <v>15</v>
      </c>
      <c r="N234" s="188">
        <f t="shared" si="134"/>
        <v>-52.930000000000007</v>
      </c>
      <c r="S234" s="88">
        <v>12090</v>
      </c>
      <c r="U234" s="152">
        <f t="shared" si="121"/>
        <v>-10713</v>
      </c>
      <c r="W234" s="88">
        <v>30</v>
      </c>
      <c r="X234" s="152">
        <f t="shared" si="122"/>
        <v>-27</v>
      </c>
    </row>
    <row r="235" spans="1:24" s="88" customFormat="1" ht="20.25" hidden="1" customHeight="1">
      <c r="A235" s="83" t="s">
        <v>932</v>
      </c>
      <c r="B235" s="89" t="s">
        <v>911</v>
      </c>
      <c r="C235" s="183"/>
      <c r="D235" s="195"/>
      <c r="E235" s="12"/>
      <c r="F235" s="18"/>
      <c r="G235" s="90">
        <f>ESTIMATE!I1692</f>
        <v>0</v>
      </c>
      <c r="H235" s="85" t="s">
        <v>114</v>
      </c>
      <c r="I235" s="109">
        <f>ESTIMATE!K1692</f>
        <v>4543</v>
      </c>
      <c r="J235" s="18">
        <f t="shared" si="113"/>
        <v>0</v>
      </c>
      <c r="K235" s="87">
        <f t="shared" si="132"/>
        <v>0</v>
      </c>
      <c r="L235" s="87">
        <f t="shared" si="133"/>
        <v>0</v>
      </c>
      <c r="M235" s="83" t="s">
        <v>15</v>
      </c>
      <c r="N235" s="188">
        <f t="shared" si="134"/>
        <v>-4543</v>
      </c>
      <c r="S235" s="88">
        <v>11800</v>
      </c>
      <c r="U235" s="152">
        <f t="shared" si="121"/>
        <v>-11800</v>
      </c>
      <c r="W235" s="88">
        <v>2</v>
      </c>
      <c r="X235" s="152">
        <f t="shared" si="122"/>
        <v>-2</v>
      </c>
    </row>
    <row r="236" spans="1:24" s="88" customFormat="1" ht="20.25" hidden="1" customHeight="1">
      <c r="A236" s="83" t="s">
        <v>1047</v>
      </c>
      <c r="B236" s="89" t="s">
        <v>704</v>
      </c>
      <c r="C236" s="151"/>
      <c r="D236" s="195"/>
      <c r="E236" s="15"/>
      <c r="F236" s="18"/>
      <c r="G236" s="90">
        <f>ESTIMATE!I1700</f>
        <v>1</v>
      </c>
      <c r="H236" s="85" t="s">
        <v>114</v>
      </c>
      <c r="I236" s="109">
        <f>ESTIMATE!K1700</f>
        <v>4270.79</v>
      </c>
      <c r="J236" s="18">
        <f t="shared" ref="J236:J240" si="166">ROUND(G236*I236,0)</f>
        <v>4271</v>
      </c>
      <c r="K236" s="87">
        <f t="shared" si="132"/>
        <v>4271</v>
      </c>
      <c r="L236" s="87">
        <f t="shared" si="133"/>
        <v>0</v>
      </c>
      <c r="M236" s="83" t="s">
        <v>15</v>
      </c>
      <c r="N236" s="188">
        <f t="shared" si="134"/>
        <v>-4270.79</v>
      </c>
      <c r="S236" s="88">
        <v>5945</v>
      </c>
      <c r="U236" s="152">
        <f t="shared" si="121"/>
        <v>-1674</v>
      </c>
      <c r="W236" s="88">
        <v>2</v>
      </c>
      <c r="X236" s="152">
        <f t="shared" si="122"/>
        <v>-1</v>
      </c>
    </row>
    <row r="237" spans="1:24" s="88" customFormat="1" ht="20.25" hidden="1" customHeight="1">
      <c r="A237" s="83" t="s">
        <v>1048</v>
      </c>
      <c r="B237" s="89" t="s">
        <v>739</v>
      </c>
      <c r="C237" s="183"/>
      <c r="D237" s="253"/>
      <c r="E237" s="12"/>
      <c r="F237" s="18">
        <f t="shared" ref="F237:F239" si="167">ROUND(C237*E237,0)</f>
        <v>0</v>
      </c>
      <c r="G237" s="90">
        <f>ESTIMATE!I1696</f>
        <v>0</v>
      </c>
      <c r="H237" s="85" t="s">
        <v>114</v>
      </c>
      <c r="I237" s="109">
        <f>ESTIMATE!K1696</f>
        <v>1552</v>
      </c>
      <c r="J237" s="18">
        <f t="shared" si="166"/>
        <v>0</v>
      </c>
      <c r="K237" s="87">
        <f t="shared" si="132"/>
        <v>0</v>
      </c>
      <c r="L237" s="87">
        <f t="shared" si="133"/>
        <v>0</v>
      </c>
      <c r="M237" s="83" t="s">
        <v>15</v>
      </c>
      <c r="N237" s="188">
        <f t="shared" si="134"/>
        <v>-1552</v>
      </c>
      <c r="S237" s="88">
        <v>0</v>
      </c>
      <c r="U237" s="152">
        <f t="shared" si="121"/>
        <v>0</v>
      </c>
      <c r="W237" s="88">
        <v>0</v>
      </c>
      <c r="X237" s="152">
        <f t="shared" si="122"/>
        <v>0</v>
      </c>
    </row>
    <row r="238" spans="1:24" s="88" customFormat="1" ht="20.25" hidden="1" customHeight="1">
      <c r="A238" s="83" t="s">
        <v>933</v>
      </c>
      <c r="B238" s="89" t="s">
        <v>1419</v>
      </c>
      <c r="C238" s="183"/>
      <c r="D238" s="253"/>
      <c r="E238" s="12"/>
      <c r="F238" s="18">
        <f t="shared" si="167"/>
        <v>0</v>
      </c>
      <c r="G238" s="90"/>
      <c r="H238" s="85"/>
      <c r="I238" s="109"/>
      <c r="J238" s="18"/>
      <c r="K238" s="87">
        <f t="shared" si="132"/>
        <v>0</v>
      </c>
      <c r="L238" s="87">
        <f t="shared" si="133"/>
        <v>0</v>
      </c>
      <c r="M238" s="83" t="s">
        <v>15</v>
      </c>
      <c r="N238" s="188">
        <f t="shared" si="134"/>
        <v>0</v>
      </c>
      <c r="U238" s="152"/>
      <c r="X238" s="152"/>
    </row>
    <row r="239" spans="1:24" s="88" customFormat="1" ht="20.25" hidden="1" customHeight="1">
      <c r="A239" s="83" t="s">
        <v>1049</v>
      </c>
      <c r="B239" s="89" t="s">
        <v>1420</v>
      </c>
      <c r="C239" s="183"/>
      <c r="D239" s="253"/>
      <c r="E239" s="12"/>
      <c r="F239" s="18">
        <f t="shared" si="167"/>
        <v>0</v>
      </c>
      <c r="G239" s="90"/>
      <c r="H239" s="85"/>
      <c r="I239" s="109"/>
      <c r="J239" s="18"/>
      <c r="K239" s="87">
        <f t="shared" si="132"/>
        <v>0</v>
      </c>
      <c r="L239" s="87">
        <f t="shared" si="133"/>
        <v>0</v>
      </c>
      <c r="M239" s="83" t="s">
        <v>15</v>
      </c>
      <c r="N239" s="188">
        <f t="shared" si="134"/>
        <v>0</v>
      </c>
      <c r="U239" s="152"/>
      <c r="X239" s="152"/>
    </row>
    <row r="240" spans="1:24" s="88" customFormat="1" ht="30.75" hidden="1" customHeight="1">
      <c r="A240" s="83" t="s">
        <v>1050</v>
      </c>
      <c r="B240" s="89" t="s">
        <v>912</v>
      </c>
      <c r="C240" s="183"/>
      <c r="D240" s="253"/>
      <c r="E240" s="12"/>
      <c r="F240" s="18"/>
      <c r="G240" s="90">
        <f>ESTIMATE!I1704</f>
        <v>1</v>
      </c>
      <c r="H240" s="85" t="s">
        <v>114</v>
      </c>
      <c r="I240" s="109">
        <f>ESTIMATE!K1704</f>
        <v>1140.29</v>
      </c>
      <c r="J240" s="18">
        <f t="shared" si="166"/>
        <v>1140</v>
      </c>
      <c r="K240" s="87">
        <f t="shared" si="132"/>
        <v>1140</v>
      </c>
      <c r="L240" s="87">
        <f t="shared" si="133"/>
        <v>0</v>
      </c>
      <c r="M240" s="83" t="s">
        <v>15</v>
      </c>
      <c r="N240" s="188">
        <f t="shared" si="134"/>
        <v>-1140.29</v>
      </c>
      <c r="S240" s="88">
        <v>897</v>
      </c>
      <c r="U240" s="152">
        <f t="shared" ref="U240:U255" si="168">J240-S240</f>
        <v>243</v>
      </c>
      <c r="W240" s="88">
        <v>1</v>
      </c>
      <c r="X240" s="152">
        <f t="shared" ref="X240:X254" si="169">G240-W240</f>
        <v>0</v>
      </c>
    </row>
    <row r="241" spans="1:24" s="88" customFormat="1" ht="20.25" hidden="1" customHeight="1">
      <c r="A241" s="83" t="s">
        <v>934</v>
      </c>
      <c r="B241" s="89" t="s">
        <v>553</v>
      </c>
      <c r="C241" s="183"/>
      <c r="D241" s="253"/>
      <c r="E241" s="12"/>
      <c r="F241" s="18">
        <f t="shared" ref="F241:F244" si="170">ROUND(C241*E241,0)</f>
        <v>0</v>
      </c>
      <c r="G241" s="90">
        <f>ESTIMATE!I1707</f>
        <v>1</v>
      </c>
      <c r="H241" s="85" t="s">
        <v>114</v>
      </c>
      <c r="I241" s="109">
        <f>ESTIMATE!K1707</f>
        <v>5311.59</v>
      </c>
      <c r="J241" s="18">
        <f t="shared" si="113"/>
        <v>5312</v>
      </c>
      <c r="K241" s="87">
        <f t="shared" si="132"/>
        <v>5312</v>
      </c>
      <c r="L241" s="87">
        <f t="shared" si="133"/>
        <v>0</v>
      </c>
      <c r="M241" s="83" t="s">
        <v>15</v>
      </c>
      <c r="N241" s="188">
        <f t="shared" si="134"/>
        <v>-5311.59</v>
      </c>
      <c r="S241" s="88">
        <v>3420</v>
      </c>
      <c r="U241" s="152">
        <f t="shared" si="168"/>
        <v>1892</v>
      </c>
      <c r="W241" s="88">
        <v>1</v>
      </c>
      <c r="X241" s="152">
        <f t="shared" si="169"/>
        <v>0</v>
      </c>
    </row>
    <row r="242" spans="1:24" s="88" customFormat="1" ht="20.25" hidden="1" customHeight="1">
      <c r="A242" s="83" t="s">
        <v>1051</v>
      </c>
      <c r="B242" s="89" t="s">
        <v>1418</v>
      </c>
      <c r="C242" s="183"/>
      <c r="D242" s="253"/>
      <c r="E242" s="12"/>
      <c r="F242" s="18">
        <f t="shared" si="170"/>
        <v>0</v>
      </c>
      <c r="G242" s="90"/>
      <c r="H242" s="85"/>
      <c r="I242" s="109"/>
      <c r="J242" s="18"/>
      <c r="K242" s="87">
        <f t="shared" si="132"/>
        <v>0</v>
      </c>
      <c r="L242" s="87">
        <f t="shared" si="133"/>
        <v>0</v>
      </c>
      <c r="M242" s="83" t="s">
        <v>15</v>
      </c>
      <c r="N242" s="188">
        <f t="shared" si="134"/>
        <v>0</v>
      </c>
      <c r="U242" s="152"/>
      <c r="X242" s="152"/>
    </row>
    <row r="243" spans="1:24" s="88" customFormat="1" ht="20.25" hidden="1" customHeight="1">
      <c r="A243" s="83" t="s">
        <v>935</v>
      </c>
      <c r="B243" s="89" t="s">
        <v>1421</v>
      </c>
      <c r="C243" s="183"/>
      <c r="D243" s="253"/>
      <c r="E243" s="12"/>
      <c r="F243" s="18">
        <f t="shared" si="170"/>
        <v>0</v>
      </c>
      <c r="G243" s="90"/>
      <c r="H243" s="85"/>
      <c r="I243" s="109"/>
      <c r="J243" s="18"/>
      <c r="K243" s="87">
        <f t="shared" si="132"/>
        <v>0</v>
      </c>
      <c r="L243" s="87">
        <f t="shared" si="133"/>
        <v>0</v>
      </c>
      <c r="M243" s="83" t="s">
        <v>15</v>
      </c>
      <c r="N243" s="188">
        <f t="shared" si="134"/>
        <v>0</v>
      </c>
      <c r="U243" s="152"/>
      <c r="X243" s="152"/>
    </row>
    <row r="244" spans="1:24" s="88" customFormat="1" ht="20.25" hidden="1" customHeight="1">
      <c r="A244" s="83" t="s">
        <v>936</v>
      </c>
      <c r="B244" s="89" t="s">
        <v>1422</v>
      </c>
      <c r="C244" s="183"/>
      <c r="D244" s="253"/>
      <c r="E244" s="12"/>
      <c r="F244" s="18">
        <f t="shared" si="170"/>
        <v>0</v>
      </c>
      <c r="G244" s="90"/>
      <c r="H244" s="85"/>
      <c r="I244" s="109"/>
      <c r="J244" s="18"/>
      <c r="K244" s="87">
        <f t="shared" si="132"/>
        <v>0</v>
      </c>
      <c r="L244" s="87">
        <f t="shared" si="133"/>
        <v>0</v>
      </c>
      <c r="M244" s="83" t="s">
        <v>15</v>
      </c>
      <c r="N244" s="188">
        <f t="shared" si="134"/>
        <v>0</v>
      </c>
      <c r="U244" s="152"/>
      <c r="X244" s="152"/>
    </row>
    <row r="245" spans="1:24" s="88" customFormat="1" ht="20.25" hidden="1" customHeight="1">
      <c r="A245" s="83" t="s">
        <v>519</v>
      </c>
      <c r="B245" s="89" t="s">
        <v>521</v>
      </c>
      <c r="C245" s="151"/>
      <c r="D245" s="195"/>
      <c r="E245" s="15"/>
      <c r="F245" s="18"/>
      <c r="G245" s="90"/>
      <c r="H245" s="85"/>
      <c r="I245" s="109"/>
      <c r="J245" s="18"/>
      <c r="K245" s="87">
        <f t="shared" si="132"/>
        <v>0</v>
      </c>
      <c r="L245" s="87">
        <f t="shared" si="133"/>
        <v>0</v>
      </c>
      <c r="M245" s="83" t="s">
        <v>15</v>
      </c>
      <c r="N245" s="188">
        <f t="shared" si="134"/>
        <v>0</v>
      </c>
      <c r="U245" s="152">
        <f t="shared" si="168"/>
        <v>0</v>
      </c>
      <c r="X245" s="152">
        <f t="shared" si="169"/>
        <v>0</v>
      </c>
    </row>
    <row r="246" spans="1:24" s="88" customFormat="1" ht="20.25" hidden="1" customHeight="1">
      <c r="A246" s="83" t="s">
        <v>520</v>
      </c>
      <c r="B246" s="89" t="s">
        <v>522</v>
      </c>
      <c r="C246" s="151"/>
      <c r="D246" s="195"/>
      <c r="E246" s="15"/>
      <c r="F246" s="18"/>
      <c r="G246" s="90"/>
      <c r="H246" s="85"/>
      <c r="I246" s="109"/>
      <c r="J246" s="18"/>
      <c r="K246" s="87">
        <f t="shared" si="132"/>
        <v>0</v>
      </c>
      <c r="L246" s="87">
        <f t="shared" si="133"/>
        <v>0</v>
      </c>
      <c r="M246" s="83" t="s">
        <v>15</v>
      </c>
      <c r="N246" s="188">
        <f t="shared" si="134"/>
        <v>0</v>
      </c>
      <c r="U246" s="152">
        <f t="shared" si="168"/>
        <v>0</v>
      </c>
      <c r="X246" s="152">
        <f t="shared" si="169"/>
        <v>0</v>
      </c>
    </row>
    <row r="247" spans="1:24" s="88" customFormat="1" ht="20.25" hidden="1" customHeight="1">
      <c r="A247" s="83" t="s">
        <v>500</v>
      </c>
      <c r="B247" s="89" t="s">
        <v>987</v>
      </c>
      <c r="C247" s="184"/>
      <c r="D247" s="189"/>
      <c r="E247" s="93"/>
      <c r="F247" s="294"/>
      <c r="G247" s="90"/>
      <c r="H247" s="189"/>
      <c r="I247" s="94"/>
      <c r="J247" s="188"/>
      <c r="K247" s="87">
        <f t="shared" si="132"/>
        <v>0</v>
      </c>
      <c r="L247" s="87">
        <f t="shared" si="133"/>
        <v>0</v>
      </c>
      <c r="M247" s="83" t="s">
        <v>15</v>
      </c>
      <c r="N247" s="188">
        <f t="shared" si="134"/>
        <v>0</v>
      </c>
      <c r="S247" s="88">
        <v>20301</v>
      </c>
      <c r="U247" s="152">
        <f t="shared" ref="U247" si="171">J247-S247</f>
        <v>-20301</v>
      </c>
      <c r="X247" s="152">
        <f t="shared" ref="X247" si="172">G247-W247</f>
        <v>0</v>
      </c>
    </row>
    <row r="248" spans="1:24" s="88" customFormat="1" ht="20.25" hidden="1" customHeight="1">
      <c r="A248" s="83" t="s">
        <v>1444</v>
      </c>
      <c r="B248" s="89" t="s">
        <v>1429</v>
      </c>
      <c r="C248" s="184"/>
      <c r="D248" s="189"/>
      <c r="E248" s="93"/>
      <c r="F248" s="254"/>
      <c r="G248" s="90"/>
      <c r="H248" s="189"/>
      <c r="I248" s="94"/>
      <c r="J248" s="188"/>
      <c r="K248" s="87">
        <f t="shared" si="132"/>
        <v>0</v>
      </c>
      <c r="L248" s="87">
        <f t="shared" si="133"/>
        <v>0</v>
      </c>
      <c r="M248" s="83" t="s">
        <v>15</v>
      </c>
      <c r="N248" s="188">
        <f t="shared" si="134"/>
        <v>0</v>
      </c>
      <c r="U248" s="152"/>
      <c r="X248" s="152"/>
    </row>
    <row r="249" spans="1:24" s="88" customFormat="1" ht="20.25" customHeight="1">
      <c r="A249" s="83" t="s">
        <v>1276</v>
      </c>
      <c r="B249" s="89" t="s">
        <v>554</v>
      </c>
      <c r="C249" s="184"/>
      <c r="D249" s="189"/>
      <c r="E249" s="93"/>
      <c r="F249" s="254">
        <v>2045</v>
      </c>
      <c r="G249" s="90"/>
      <c r="H249" s="189"/>
      <c r="I249" s="94"/>
      <c r="J249" s="188">
        <f>ESTIMATE!M1716</f>
        <v>6148</v>
      </c>
      <c r="K249" s="87">
        <f t="shared" si="132"/>
        <v>4103</v>
      </c>
      <c r="L249" s="87">
        <f t="shared" si="133"/>
        <v>0</v>
      </c>
      <c r="M249" s="83" t="s">
        <v>15</v>
      </c>
      <c r="N249" s="188">
        <f t="shared" si="134"/>
        <v>0</v>
      </c>
      <c r="S249" s="88">
        <v>20301</v>
      </c>
      <c r="U249" s="152">
        <f t="shared" si="168"/>
        <v>-14153</v>
      </c>
      <c r="X249" s="152">
        <f t="shared" si="169"/>
        <v>0</v>
      </c>
    </row>
    <row r="250" spans="1:24" s="88" customFormat="1" ht="20.25" customHeight="1">
      <c r="A250" s="83" t="s">
        <v>1277</v>
      </c>
      <c r="B250" s="89" t="s">
        <v>1886</v>
      </c>
      <c r="C250" s="184"/>
      <c r="D250" s="189"/>
      <c r="E250" s="93"/>
      <c r="F250" s="254">
        <v>73605</v>
      </c>
      <c r="G250" s="90"/>
      <c r="H250" s="189"/>
      <c r="I250" s="94"/>
      <c r="J250" s="188">
        <f>ESTIMATE!M1717</f>
        <v>221749</v>
      </c>
      <c r="K250" s="87">
        <f t="shared" si="132"/>
        <v>148144</v>
      </c>
      <c r="L250" s="87">
        <f t="shared" si="133"/>
        <v>0</v>
      </c>
      <c r="M250" s="83" t="s">
        <v>15</v>
      </c>
      <c r="N250" s="188">
        <f t="shared" si="134"/>
        <v>0</v>
      </c>
      <c r="U250" s="152"/>
      <c r="X250" s="152"/>
    </row>
    <row r="251" spans="1:24" s="88" customFormat="1" ht="20.25" customHeight="1">
      <c r="A251" s="83" t="s">
        <v>1278</v>
      </c>
      <c r="B251" s="89" t="s">
        <v>1834</v>
      </c>
      <c r="C251" s="184"/>
      <c r="D251" s="189"/>
      <c r="E251" s="93"/>
      <c r="F251" s="254">
        <v>15000</v>
      </c>
      <c r="G251" s="90"/>
      <c r="H251" s="189"/>
      <c r="I251" s="94"/>
      <c r="J251" s="188" t="e">
        <f>ESTIMATE!#REF!</f>
        <v>#REF!</v>
      </c>
      <c r="K251" s="87" t="e">
        <f t="shared" si="132"/>
        <v>#REF!</v>
      </c>
      <c r="L251" s="87" t="e">
        <f t="shared" si="133"/>
        <v>#REF!</v>
      </c>
      <c r="M251" s="83" t="s">
        <v>15</v>
      </c>
      <c r="N251" s="188">
        <f t="shared" si="134"/>
        <v>0</v>
      </c>
      <c r="U251" s="152"/>
      <c r="X251" s="152"/>
    </row>
    <row r="252" spans="1:24" s="88" customFormat="1" ht="20.25" customHeight="1">
      <c r="A252" s="83" t="s">
        <v>1279</v>
      </c>
      <c r="B252" s="89" t="s">
        <v>433</v>
      </c>
      <c r="C252" s="184"/>
      <c r="D252" s="189"/>
      <c r="E252" s="93"/>
      <c r="F252" s="254">
        <v>306</v>
      </c>
      <c r="G252" s="90"/>
      <c r="H252" s="189"/>
      <c r="I252" s="94"/>
      <c r="J252" s="188">
        <f>ESTIMATE!M1714</f>
        <v>2427</v>
      </c>
      <c r="K252" s="87">
        <f t="shared" si="132"/>
        <v>2121</v>
      </c>
      <c r="L252" s="87">
        <f t="shared" si="133"/>
        <v>0</v>
      </c>
      <c r="M252" s="83" t="s">
        <v>15</v>
      </c>
      <c r="N252" s="188">
        <f t="shared" si="134"/>
        <v>0</v>
      </c>
      <c r="S252" s="88">
        <v>26478</v>
      </c>
      <c r="U252" s="152">
        <f t="shared" si="168"/>
        <v>-24051</v>
      </c>
      <c r="X252" s="152">
        <f t="shared" si="169"/>
        <v>0</v>
      </c>
    </row>
    <row r="253" spans="1:24" s="88" customFormat="1" ht="20.25" hidden="1" customHeight="1">
      <c r="A253" s="83" t="s">
        <v>510</v>
      </c>
      <c r="B253" s="89" t="s">
        <v>434</v>
      </c>
      <c r="C253" s="185"/>
      <c r="D253" s="189"/>
      <c r="E253" s="94"/>
      <c r="F253" s="254">
        <v>0</v>
      </c>
      <c r="G253" s="90"/>
      <c r="H253" s="189"/>
      <c r="I253" s="94"/>
      <c r="J253" s="188"/>
      <c r="K253" s="87">
        <f t="shared" si="132"/>
        <v>0</v>
      </c>
      <c r="L253" s="87">
        <f t="shared" si="133"/>
        <v>0</v>
      </c>
      <c r="M253" s="83" t="s">
        <v>15</v>
      </c>
      <c r="N253" s="188">
        <f t="shared" si="134"/>
        <v>0</v>
      </c>
      <c r="S253" s="88">
        <v>2500</v>
      </c>
      <c r="U253" s="152">
        <f t="shared" si="168"/>
        <v>-2500</v>
      </c>
      <c r="X253" s="152">
        <f t="shared" si="169"/>
        <v>0</v>
      </c>
    </row>
    <row r="254" spans="1:24" s="88" customFormat="1" ht="20.25" hidden="1" customHeight="1">
      <c r="A254" s="83" t="s">
        <v>511</v>
      </c>
      <c r="B254" s="89" t="s">
        <v>555</v>
      </c>
      <c r="C254" s="185"/>
      <c r="D254" s="189"/>
      <c r="E254" s="94"/>
      <c r="F254" s="294">
        <v>0</v>
      </c>
      <c r="G254" s="90"/>
      <c r="H254" s="189"/>
      <c r="I254" s="94"/>
      <c r="J254" s="188"/>
      <c r="K254" s="87">
        <f t="shared" si="132"/>
        <v>0</v>
      </c>
      <c r="L254" s="87">
        <f t="shared" si="133"/>
        <v>0</v>
      </c>
      <c r="M254" s="83" t="s">
        <v>15</v>
      </c>
      <c r="N254" s="188">
        <f t="shared" si="134"/>
        <v>0</v>
      </c>
      <c r="S254" s="88">
        <v>100</v>
      </c>
      <c r="U254" s="152">
        <f t="shared" si="168"/>
        <v>-100</v>
      </c>
      <c r="X254" s="152">
        <f t="shared" si="169"/>
        <v>0</v>
      </c>
    </row>
    <row r="255" spans="1:24" s="88" customFormat="1" ht="20.25" customHeight="1">
      <c r="A255" s="83" t="s">
        <v>486</v>
      </c>
      <c r="B255" s="89" t="s">
        <v>287</v>
      </c>
      <c r="C255" s="185"/>
      <c r="D255" s="189"/>
      <c r="E255" s="94"/>
      <c r="F255" s="254">
        <v>126</v>
      </c>
      <c r="G255" s="90"/>
      <c r="H255" s="189"/>
      <c r="I255" s="94"/>
      <c r="J255" s="188">
        <f>ESTIMATE!M1718</f>
        <v>40165</v>
      </c>
      <c r="K255" s="87">
        <f t="shared" si="132"/>
        <v>40039</v>
      </c>
      <c r="L255" s="87">
        <f t="shared" si="133"/>
        <v>0</v>
      </c>
      <c r="M255" s="83" t="s">
        <v>15</v>
      </c>
      <c r="N255" s="188">
        <f t="shared" si="134"/>
        <v>0</v>
      </c>
      <c r="S255" s="88">
        <v>-122011</v>
      </c>
      <c r="U255" s="152">
        <f t="shared" si="168"/>
        <v>162176</v>
      </c>
    </row>
    <row r="256" spans="1:24" s="88" customFormat="1" ht="20.25" customHeight="1">
      <c r="A256" s="83"/>
      <c r="B256" s="95"/>
      <c r="C256" s="1001" t="s">
        <v>1902</v>
      </c>
      <c r="D256" s="1001"/>
      <c r="E256" s="1002"/>
      <c r="F256" s="96">
        <f>SUM(F7:F255)</f>
        <v>500000</v>
      </c>
      <c r="G256" s="90"/>
      <c r="H256" s="190"/>
      <c r="I256" s="83"/>
      <c r="J256" s="96" t="e">
        <f>SUM(J7:J255)</f>
        <v>#REF!</v>
      </c>
      <c r="K256" s="96" t="e">
        <f>SUM(K7:K255)</f>
        <v>#REF!</v>
      </c>
      <c r="L256" s="96" t="e">
        <f>SUM(L7:L255)</f>
        <v>#REF!</v>
      </c>
      <c r="M256" s="83"/>
    </row>
    <row r="257" spans="1:14" ht="20.25" customHeight="1">
      <c r="A257" s="83"/>
      <c r="B257" s="97"/>
      <c r="C257" s="1001" t="s">
        <v>557</v>
      </c>
      <c r="D257" s="1001"/>
      <c r="E257" s="1002"/>
      <c r="F257" s="98" t="e">
        <f>J256</f>
        <v>#REF!</v>
      </c>
      <c r="G257" s="99"/>
      <c r="H257" s="191"/>
      <c r="I257" s="192"/>
      <c r="J257" s="193"/>
      <c r="K257" s="98"/>
      <c r="L257" s="193" t="e">
        <f>K256</f>
        <v>#REF!</v>
      </c>
      <c r="M257" s="192"/>
    </row>
    <row r="258" spans="1:14" ht="20.25" customHeight="1">
      <c r="A258" s="83"/>
      <c r="B258" s="292" t="s">
        <v>523</v>
      </c>
      <c r="C258" s="1001" t="s">
        <v>524</v>
      </c>
      <c r="D258" s="1001"/>
      <c r="E258" s="1002"/>
      <c r="F258" s="98" t="e">
        <f>F256-F257</f>
        <v>#REF!</v>
      </c>
      <c r="G258" s="99"/>
      <c r="H258" s="100"/>
      <c r="I258" s="101"/>
      <c r="J258" s="98"/>
      <c r="K258" s="193"/>
      <c r="L258" s="98" t="e">
        <f>L256-L257</f>
        <v>#REF!</v>
      </c>
      <c r="M258" s="101"/>
    </row>
    <row r="259" spans="1:14" ht="24.75" customHeight="1">
      <c r="A259" s="88"/>
      <c r="B259" s="102"/>
    </row>
    <row r="260" spans="1:14" ht="17.25" customHeight="1">
      <c r="A260" s="88"/>
      <c r="B260" s="102"/>
    </row>
    <row r="261" spans="1:14">
      <c r="A261" s="88"/>
      <c r="B261" s="102"/>
      <c r="H261" s="106" t="str">
        <f>'lead 24-25'!H32</f>
        <v>Deputy Executive Engineer</v>
      </c>
      <c r="K261" s="106" t="str">
        <f>'lead 24-25'!K32</f>
        <v>Assistant  Engineer</v>
      </c>
      <c r="L261" s="107"/>
    </row>
    <row r="262" spans="1:14">
      <c r="A262" s="88"/>
      <c r="B262" s="102"/>
      <c r="H262" s="106" t="str">
        <f>'lead 24-25'!H33</f>
        <v>PRI Sub Division</v>
      </c>
      <c r="K262" s="106" t="str">
        <f>'lead 24-25'!K33</f>
        <v>Mandal Praja parishad</v>
      </c>
    </row>
    <row r="263" spans="1:14">
      <c r="A263" s="88"/>
      <c r="B263" s="102"/>
      <c r="H263" s="106" t="str">
        <f>'lead 24-25'!H34</f>
        <v>Kanigiri</v>
      </c>
      <c r="K263" s="106" t="str">
        <f>'lead 24-25'!K34</f>
        <v>P.C.Palli</v>
      </c>
    </row>
    <row r="264" spans="1:14">
      <c r="A264" s="88"/>
      <c r="B264" s="102"/>
    </row>
    <row r="265" spans="1:14" s="103" customFormat="1">
      <c r="A265" s="88"/>
      <c r="B265" s="102"/>
      <c r="C265" s="186"/>
      <c r="D265" s="104"/>
      <c r="E265" s="108"/>
      <c r="F265" s="108"/>
      <c r="H265" s="104"/>
      <c r="I265" s="108"/>
      <c r="J265" s="108"/>
      <c r="K265" s="105"/>
      <c r="L265" s="105"/>
      <c r="M265" s="108"/>
      <c r="N265" s="108"/>
    </row>
    <row r="266" spans="1:14" s="103" customFormat="1">
      <c r="A266" s="88"/>
      <c r="B266" s="102"/>
      <c r="C266" s="186"/>
      <c r="D266" s="104"/>
      <c r="E266" s="108"/>
      <c r="F266" s="108"/>
      <c r="H266" s="104"/>
      <c r="I266" s="108"/>
      <c r="J266" s="108"/>
      <c r="K266" s="105"/>
      <c r="L266" s="105"/>
      <c r="M266" s="108"/>
      <c r="N266" s="108"/>
    </row>
    <row r="267" spans="1:14" s="103" customFormat="1">
      <c r="A267" s="88"/>
      <c r="B267" s="102"/>
      <c r="C267" s="186"/>
      <c r="D267" s="104"/>
      <c r="E267" s="108"/>
      <c r="F267" s="108"/>
      <c r="H267" s="104"/>
      <c r="I267" s="108"/>
      <c r="J267" s="108"/>
      <c r="K267" s="105"/>
      <c r="L267" s="105"/>
      <c r="M267" s="108"/>
      <c r="N267" s="108"/>
    </row>
    <row r="268" spans="1:14" s="103" customFormat="1">
      <c r="A268" s="88"/>
      <c r="B268" s="102"/>
      <c r="C268" s="186"/>
      <c r="D268" s="104"/>
      <c r="E268" s="108"/>
      <c r="F268" s="108"/>
      <c r="H268" s="104"/>
      <c r="I268" s="108"/>
      <c r="J268" s="108"/>
      <c r="K268" s="105"/>
      <c r="L268" s="105"/>
      <c r="M268" s="108"/>
      <c r="N268" s="108"/>
    </row>
    <row r="269" spans="1:14" s="103" customFormat="1">
      <c r="A269" s="88"/>
      <c r="B269" s="108"/>
      <c r="C269" s="186"/>
      <c r="D269" s="104"/>
      <c r="E269" s="108"/>
      <c r="F269" s="108"/>
      <c r="H269" s="104"/>
      <c r="I269" s="108"/>
      <c r="J269" s="108"/>
      <c r="K269" s="105"/>
      <c r="L269" s="105"/>
      <c r="M269" s="108"/>
      <c r="N269" s="108"/>
    </row>
    <row r="270" spans="1:14" s="103" customFormat="1">
      <c r="A270" s="88"/>
      <c r="B270" s="108"/>
      <c r="C270" s="186"/>
      <c r="D270" s="104"/>
      <c r="E270" s="108"/>
      <c r="F270" s="108"/>
      <c r="H270" s="104"/>
      <c r="I270" s="108"/>
      <c r="J270" s="108"/>
      <c r="K270" s="105"/>
      <c r="L270" s="105"/>
      <c r="M270" s="108"/>
      <c r="N270" s="108"/>
    </row>
    <row r="271" spans="1:14" s="103" customFormat="1">
      <c r="A271" s="88"/>
      <c r="B271" s="108"/>
      <c r="C271" s="186"/>
      <c r="D271" s="104"/>
      <c r="E271" s="108"/>
      <c r="F271" s="108"/>
      <c r="H271" s="104"/>
      <c r="I271" s="108"/>
      <c r="J271" s="108"/>
      <c r="K271" s="105"/>
      <c r="L271" s="105"/>
      <c r="M271" s="108"/>
      <c r="N271" s="108"/>
    </row>
    <row r="272" spans="1:14" s="103" customFormat="1">
      <c r="A272" s="88"/>
      <c r="B272" s="108"/>
      <c r="C272" s="186"/>
      <c r="D272" s="104"/>
      <c r="E272" s="108"/>
      <c r="F272" s="108"/>
      <c r="H272" s="104"/>
      <c r="I272" s="108"/>
      <c r="J272" s="108"/>
      <c r="K272" s="105"/>
      <c r="L272" s="105"/>
      <c r="M272" s="108"/>
      <c r="N272" s="108"/>
    </row>
    <row r="273" spans="1:14" s="103" customFormat="1">
      <c r="A273" s="88"/>
      <c r="B273" s="108"/>
      <c r="C273" s="186"/>
      <c r="D273" s="104"/>
      <c r="E273" s="108"/>
      <c r="F273" s="108"/>
      <c r="H273" s="104"/>
      <c r="I273" s="108"/>
      <c r="J273" s="108"/>
      <c r="K273" s="105"/>
      <c r="L273" s="105"/>
      <c r="M273" s="108"/>
      <c r="N273" s="108"/>
    </row>
    <row r="274" spans="1:14" s="103" customFormat="1">
      <c r="A274" s="88"/>
      <c r="B274" s="108"/>
      <c r="C274" s="186"/>
      <c r="D274" s="104"/>
      <c r="E274" s="108"/>
      <c r="F274" s="108"/>
      <c r="H274" s="104"/>
      <c r="I274" s="108"/>
      <c r="J274" s="108"/>
      <c r="K274" s="105"/>
      <c r="L274" s="105"/>
      <c r="M274" s="108"/>
      <c r="N274" s="108"/>
    </row>
    <row r="275" spans="1:14" s="103" customFormat="1">
      <c r="A275" s="88"/>
      <c r="B275" s="108"/>
      <c r="C275" s="186"/>
      <c r="D275" s="104"/>
      <c r="E275" s="108"/>
      <c r="F275" s="108"/>
      <c r="H275" s="104"/>
      <c r="I275" s="108"/>
      <c r="J275" s="108"/>
      <c r="K275" s="105"/>
      <c r="L275" s="105"/>
      <c r="M275" s="108"/>
      <c r="N275" s="108"/>
    </row>
    <row r="276" spans="1:14" s="103" customFormat="1">
      <c r="A276" s="88"/>
      <c r="B276" s="108"/>
      <c r="C276" s="186"/>
      <c r="D276" s="104"/>
      <c r="E276" s="108"/>
      <c r="F276" s="108"/>
      <c r="H276" s="104"/>
      <c r="I276" s="108"/>
      <c r="J276" s="108"/>
      <c r="K276" s="105"/>
      <c r="L276" s="105"/>
      <c r="M276" s="108"/>
      <c r="N276" s="108"/>
    </row>
    <row r="277" spans="1:14" s="103" customFormat="1">
      <c r="A277" s="88"/>
      <c r="B277" s="108"/>
      <c r="C277" s="186"/>
      <c r="D277" s="104"/>
      <c r="E277" s="108"/>
      <c r="F277" s="108"/>
      <c r="H277" s="104"/>
      <c r="I277" s="108"/>
      <c r="J277" s="108"/>
      <c r="K277" s="105"/>
      <c r="L277" s="105"/>
      <c r="M277" s="108"/>
      <c r="N277" s="108"/>
    </row>
    <row r="278" spans="1:14" s="103" customFormat="1">
      <c r="A278" s="88"/>
      <c r="B278" s="108"/>
      <c r="C278" s="186"/>
      <c r="D278" s="104"/>
      <c r="E278" s="108"/>
      <c r="F278" s="108"/>
      <c r="H278" s="104"/>
      <c r="I278" s="108"/>
      <c r="J278" s="108"/>
      <c r="K278" s="105"/>
      <c r="L278" s="105"/>
      <c r="M278" s="108"/>
      <c r="N278" s="108"/>
    </row>
    <row r="279" spans="1:14" s="103" customFormat="1">
      <c r="A279" s="88"/>
      <c r="B279" s="108"/>
      <c r="C279" s="186"/>
      <c r="D279" s="104"/>
      <c r="E279" s="108"/>
      <c r="F279" s="108"/>
      <c r="H279" s="104"/>
      <c r="I279" s="108"/>
      <c r="J279" s="108"/>
      <c r="K279" s="105"/>
      <c r="L279" s="105"/>
      <c r="M279" s="108"/>
      <c r="N279" s="108"/>
    </row>
    <row r="280" spans="1:14" s="103" customFormat="1">
      <c r="A280" s="88"/>
      <c r="B280" s="108"/>
      <c r="C280" s="186"/>
      <c r="D280" s="104"/>
      <c r="E280" s="108"/>
      <c r="F280" s="108"/>
      <c r="H280" s="104"/>
      <c r="I280" s="108"/>
      <c r="J280" s="108"/>
      <c r="K280" s="105"/>
      <c r="L280" s="105"/>
      <c r="M280" s="108"/>
      <c r="N280" s="108"/>
    </row>
    <row r="281" spans="1:14">
      <c r="A281" s="88"/>
    </row>
    <row r="282" spans="1:14">
      <c r="A282" s="88"/>
    </row>
    <row r="283" spans="1:14">
      <c r="A283" s="88"/>
    </row>
    <row r="284" spans="1:14">
      <c r="A284" s="88"/>
    </row>
    <row r="285" spans="1:14">
      <c r="A285" s="88"/>
    </row>
    <row r="286" spans="1:14">
      <c r="A286" s="88"/>
    </row>
    <row r="287" spans="1:14">
      <c r="A287" s="88"/>
    </row>
    <row r="288" spans="1:14">
      <c r="A288" s="88"/>
    </row>
    <row r="289" spans="1:12">
      <c r="A289" s="88"/>
      <c r="C289" s="187"/>
      <c r="G289" s="108"/>
      <c r="H289" s="108"/>
      <c r="K289" s="108"/>
      <c r="L289" s="108"/>
    </row>
    <row r="290" spans="1:12">
      <c r="A290" s="88"/>
      <c r="C290" s="187"/>
      <c r="G290" s="108"/>
      <c r="H290" s="108"/>
      <c r="K290" s="108"/>
      <c r="L290" s="108"/>
    </row>
    <row r="291" spans="1:12">
      <c r="A291" s="88"/>
      <c r="C291" s="187"/>
      <c r="G291" s="108"/>
      <c r="H291" s="108"/>
      <c r="K291" s="108"/>
      <c r="L291" s="108"/>
    </row>
    <row r="292" spans="1:12">
      <c r="A292" s="88"/>
      <c r="C292" s="187"/>
      <c r="G292" s="108"/>
      <c r="H292" s="108"/>
      <c r="K292" s="108"/>
      <c r="L292" s="108"/>
    </row>
    <row r="293" spans="1:12">
      <c r="A293" s="88"/>
      <c r="C293" s="187"/>
      <c r="G293" s="108"/>
      <c r="H293" s="108"/>
      <c r="K293" s="108"/>
      <c r="L293" s="108"/>
    </row>
    <row r="294" spans="1:12">
      <c r="A294" s="88"/>
      <c r="C294" s="187"/>
      <c r="G294" s="108"/>
      <c r="H294" s="108"/>
      <c r="K294" s="108"/>
      <c r="L294" s="108"/>
    </row>
    <row r="295" spans="1:12">
      <c r="A295" s="88"/>
      <c r="C295" s="187"/>
      <c r="G295" s="108"/>
      <c r="H295" s="108"/>
      <c r="K295" s="108"/>
      <c r="L295" s="108"/>
    </row>
    <row r="296" spans="1:12">
      <c r="A296" s="88"/>
      <c r="C296" s="187"/>
      <c r="G296" s="108"/>
      <c r="H296" s="108"/>
      <c r="K296" s="108"/>
      <c r="L296" s="108"/>
    </row>
    <row r="297" spans="1:12">
      <c r="A297" s="88"/>
      <c r="C297" s="187"/>
      <c r="G297" s="108"/>
      <c r="H297" s="108"/>
      <c r="K297" s="108"/>
      <c r="L297" s="108"/>
    </row>
    <row r="298" spans="1:12">
      <c r="A298" s="88"/>
      <c r="C298" s="187"/>
      <c r="G298" s="108"/>
      <c r="H298" s="108"/>
      <c r="K298" s="108"/>
      <c r="L298" s="108"/>
    </row>
    <row r="299" spans="1:12">
      <c r="A299" s="88"/>
      <c r="C299" s="187"/>
      <c r="G299" s="108"/>
      <c r="H299" s="108"/>
      <c r="K299" s="108"/>
      <c r="L299" s="108"/>
    </row>
    <row r="300" spans="1:12">
      <c r="A300" s="88"/>
      <c r="C300" s="187"/>
      <c r="G300" s="108"/>
      <c r="H300" s="108"/>
      <c r="K300" s="108"/>
      <c r="L300" s="108"/>
    </row>
    <row r="301" spans="1:12">
      <c r="A301" s="88"/>
      <c r="C301" s="187"/>
      <c r="G301" s="108"/>
      <c r="H301" s="108"/>
      <c r="K301" s="108"/>
      <c r="L301" s="108"/>
    </row>
    <row r="302" spans="1:12">
      <c r="A302" s="88"/>
      <c r="C302" s="187"/>
      <c r="G302" s="108"/>
      <c r="H302" s="108"/>
      <c r="K302" s="108"/>
      <c r="L302" s="108"/>
    </row>
    <row r="303" spans="1:12">
      <c r="A303" s="88"/>
      <c r="C303" s="187"/>
      <c r="G303" s="108"/>
      <c r="H303" s="108"/>
      <c r="K303" s="108"/>
      <c r="L303" s="108"/>
    </row>
    <row r="304" spans="1:12">
      <c r="A304" s="88"/>
      <c r="C304" s="187"/>
      <c r="G304" s="108"/>
      <c r="H304" s="108"/>
      <c r="K304" s="108"/>
      <c r="L304" s="108"/>
    </row>
    <row r="305" spans="1:12">
      <c r="A305" s="88"/>
      <c r="C305" s="187"/>
      <c r="G305" s="108"/>
      <c r="H305" s="108"/>
      <c r="K305" s="108"/>
      <c r="L305" s="108"/>
    </row>
    <row r="306" spans="1:12">
      <c r="A306" s="88"/>
      <c r="C306" s="187"/>
      <c r="G306" s="108"/>
      <c r="H306" s="108"/>
      <c r="K306" s="108"/>
      <c r="L306" s="108"/>
    </row>
    <row r="307" spans="1:12">
      <c r="A307" s="88"/>
      <c r="C307" s="187"/>
      <c r="G307" s="108"/>
      <c r="H307" s="108"/>
      <c r="K307" s="108"/>
      <c r="L307" s="108"/>
    </row>
    <row r="308" spans="1:12">
      <c r="A308" s="88"/>
      <c r="C308" s="187"/>
      <c r="G308" s="108"/>
      <c r="H308" s="108"/>
      <c r="K308" s="108"/>
      <c r="L308" s="108"/>
    </row>
    <row r="309" spans="1:12">
      <c r="A309" s="88"/>
      <c r="C309" s="187"/>
      <c r="G309" s="108"/>
      <c r="H309" s="108"/>
      <c r="K309" s="108"/>
      <c r="L309" s="108"/>
    </row>
    <row r="310" spans="1:12">
      <c r="A310" s="88"/>
      <c r="C310" s="187"/>
      <c r="G310" s="108"/>
      <c r="H310" s="108"/>
      <c r="K310" s="108"/>
      <c r="L310" s="108"/>
    </row>
    <row r="311" spans="1:12">
      <c r="A311" s="88"/>
      <c r="C311" s="187"/>
      <c r="G311" s="108"/>
      <c r="H311" s="108"/>
      <c r="K311" s="108"/>
      <c r="L311" s="108"/>
    </row>
    <row r="312" spans="1:12">
      <c r="A312" s="88"/>
      <c r="C312" s="187"/>
      <c r="G312" s="108"/>
      <c r="H312" s="108"/>
      <c r="K312" s="108"/>
      <c r="L312" s="108"/>
    </row>
    <row r="313" spans="1:12">
      <c r="A313" s="88"/>
      <c r="C313" s="187"/>
      <c r="G313" s="108"/>
      <c r="H313" s="108"/>
      <c r="K313" s="108"/>
      <c r="L313" s="108"/>
    </row>
    <row r="314" spans="1:12">
      <c r="A314" s="88"/>
      <c r="C314" s="187"/>
      <c r="G314" s="108"/>
      <c r="H314" s="108"/>
      <c r="K314" s="108"/>
      <c r="L314" s="108"/>
    </row>
    <row r="315" spans="1:12">
      <c r="A315" s="88"/>
      <c r="C315" s="187"/>
      <c r="G315" s="108"/>
      <c r="H315" s="108"/>
      <c r="K315" s="108"/>
      <c r="L315" s="108"/>
    </row>
    <row r="316" spans="1:12">
      <c r="A316" s="88"/>
      <c r="C316" s="187"/>
      <c r="G316" s="108"/>
      <c r="H316" s="108"/>
      <c r="K316" s="108"/>
      <c r="L316" s="108"/>
    </row>
    <row r="317" spans="1:12">
      <c r="A317" s="88"/>
      <c r="C317" s="187"/>
      <c r="G317" s="108"/>
      <c r="H317" s="108"/>
      <c r="K317" s="108"/>
      <c r="L317" s="108"/>
    </row>
    <row r="318" spans="1:12">
      <c r="A318" s="88"/>
      <c r="C318" s="187"/>
      <c r="G318" s="108"/>
      <c r="H318" s="108"/>
      <c r="K318" s="108"/>
      <c r="L318" s="108"/>
    </row>
    <row r="319" spans="1:12">
      <c r="A319" s="88"/>
      <c r="C319" s="187"/>
      <c r="G319" s="108"/>
      <c r="H319" s="108"/>
      <c r="K319" s="108"/>
      <c r="L319" s="108"/>
    </row>
    <row r="320" spans="1:12">
      <c r="A320" s="88"/>
      <c r="C320" s="187"/>
      <c r="G320" s="108"/>
      <c r="H320" s="108"/>
      <c r="K320" s="108"/>
      <c r="L320" s="108"/>
    </row>
    <row r="321" spans="1:12">
      <c r="A321" s="88"/>
      <c r="C321" s="187"/>
      <c r="G321" s="108"/>
      <c r="H321" s="108"/>
      <c r="K321" s="108"/>
      <c r="L321" s="108"/>
    </row>
    <row r="322" spans="1:12">
      <c r="A322" s="88"/>
      <c r="C322" s="187"/>
      <c r="G322" s="108"/>
      <c r="H322" s="108"/>
      <c r="K322" s="108"/>
      <c r="L322" s="108"/>
    </row>
    <row r="323" spans="1:12">
      <c r="A323" s="88"/>
      <c r="C323" s="187"/>
      <c r="G323" s="108"/>
      <c r="H323" s="108"/>
      <c r="K323" s="108"/>
      <c r="L323" s="108"/>
    </row>
    <row r="324" spans="1:12">
      <c r="A324" s="88"/>
      <c r="C324" s="187"/>
      <c r="G324" s="108"/>
      <c r="H324" s="108"/>
      <c r="K324" s="108"/>
      <c r="L324" s="108"/>
    </row>
    <row r="325" spans="1:12">
      <c r="A325" s="88"/>
      <c r="C325" s="187"/>
      <c r="G325" s="108"/>
      <c r="H325" s="108"/>
      <c r="K325" s="108"/>
      <c r="L325" s="108"/>
    </row>
    <row r="326" spans="1:12">
      <c r="A326" s="88"/>
      <c r="C326" s="187"/>
      <c r="G326" s="108"/>
      <c r="H326" s="108"/>
      <c r="K326" s="108"/>
      <c r="L326" s="108"/>
    </row>
    <row r="327" spans="1:12">
      <c r="A327" s="88"/>
      <c r="C327" s="187"/>
      <c r="G327" s="108"/>
      <c r="H327" s="108"/>
      <c r="K327" s="108"/>
      <c r="L327" s="108"/>
    </row>
    <row r="328" spans="1:12">
      <c r="A328" s="88"/>
      <c r="C328" s="187"/>
      <c r="G328" s="108"/>
      <c r="H328" s="108"/>
      <c r="K328" s="108"/>
      <c r="L328" s="108"/>
    </row>
    <row r="329" spans="1:12">
      <c r="A329" s="88"/>
      <c r="C329" s="187"/>
      <c r="G329" s="108"/>
      <c r="H329" s="108"/>
      <c r="K329" s="108"/>
      <c r="L329" s="108"/>
    </row>
    <row r="330" spans="1:12">
      <c r="A330" s="88"/>
      <c r="C330" s="187"/>
      <c r="G330" s="108"/>
      <c r="H330" s="108"/>
      <c r="K330" s="108"/>
      <c r="L330" s="108"/>
    </row>
    <row r="331" spans="1:12">
      <c r="A331" s="88"/>
      <c r="C331" s="187"/>
      <c r="G331" s="108"/>
      <c r="H331" s="108"/>
      <c r="K331" s="108"/>
      <c r="L331" s="108"/>
    </row>
    <row r="332" spans="1:12">
      <c r="A332" s="88"/>
      <c r="C332" s="187"/>
      <c r="G332" s="108"/>
      <c r="H332" s="108"/>
      <c r="K332" s="108"/>
      <c r="L332" s="108"/>
    </row>
    <row r="333" spans="1:12">
      <c r="A333" s="88"/>
      <c r="C333" s="187"/>
      <c r="G333" s="108"/>
      <c r="H333" s="108"/>
      <c r="K333" s="108"/>
      <c r="L333" s="108"/>
    </row>
    <row r="334" spans="1:12">
      <c r="A334" s="88"/>
      <c r="C334" s="187"/>
      <c r="G334" s="108"/>
      <c r="H334" s="108"/>
      <c r="K334" s="108"/>
      <c r="L334" s="108"/>
    </row>
    <row r="335" spans="1:12">
      <c r="A335" s="88"/>
      <c r="C335" s="187"/>
      <c r="G335" s="108"/>
      <c r="H335" s="108"/>
      <c r="K335" s="108"/>
      <c r="L335" s="108"/>
    </row>
    <row r="336" spans="1:12">
      <c r="A336" s="88"/>
      <c r="C336" s="187"/>
      <c r="G336" s="108"/>
      <c r="H336" s="108"/>
      <c r="K336" s="108"/>
      <c r="L336" s="108"/>
    </row>
    <row r="337" spans="1:12">
      <c r="A337" s="88"/>
      <c r="C337" s="187"/>
      <c r="G337" s="108"/>
      <c r="H337" s="108"/>
      <c r="K337" s="108"/>
      <c r="L337" s="108"/>
    </row>
    <row r="338" spans="1:12">
      <c r="A338" s="88"/>
      <c r="C338" s="187"/>
      <c r="G338" s="108"/>
      <c r="H338" s="108"/>
      <c r="K338" s="108"/>
      <c r="L338" s="108"/>
    </row>
    <row r="339" spans="1:12">
      <c r="A339" s="88"/>
      <c r="C339" s="187"/>
      <c r="G339" s="108"/>
      <c r="H339" s="108"/>
      <c r="K339" s="108"/>
      <c r="L339" s="108"/>
    </row>
    <row r="340" spans="1:12">
      <c r="A340" s="88"/>
      <c r="C340" s="187"/>
      <c r="G340" s="108"/>
      <c r="H340" s="108"/>
      <c r="K340" s="108"/>
      <c r="L340" s="108"/>
    </row>
    <row r="341" spans="1:12">
      <c r="A341" s="88"/>
      <c r="C341" s="187"/>
      <c r="G341" s="108"/>
      <c r="H341" s="108"/>
      <c r="K341" s="108"/>
      <c r="L341" s="108"/>
    </row>
    <row r="342" spans="1:12">
      <c r="A342" s="88"/>
      <c r="C342" s="187"/>
      <c r="G342" s="108"/>
      <c r="H342" s="108"/>
      <c r="K342" s="108"/>
      <c r="L342" s="108"/>
    </row>
    <row r="343" spans="1:12">
      <c r="A343" s="88"/>
      <c r="C343" s="187"/>
      <c r="G343" s="108"/>
      <c r="H343" s="108"/>
      <c r="K343" s="108"/>
      <c r="L343" s="108"/>
    </row>
    <row r="344" spans="1:12">
      <c r="A344" s="88"/>
      <c r="C344" s="187"/>
      <c r="G344" s="108"/>
      <c r="H344" s="108"/>
      <c r="K344" s="108"/>
      <c r="L344" s="108"/>
    </row>
    <row r="345" spans="1:12">
      <c r="A345" s="88"/>
      <c r="C345" s="187"/>
      <c r="G345" s="108"/>
      <c r="H345" s="108"/>
      <c r="K345" s="108"/>
      <c r="L345" s="108"/>
    </row>
    <row r="346" spans="1:12">
      <c r="A346" s="88"/>
      <c r="C346" s="187"/>
      <c r="G346" s="108"/>
      <c r="H346" s="108"/>
      <c r="K346" s="108"/>
      <c r="L346" s="108"/>
    </row>
    <row r="347" spans="1:12">
      <c r="A347" s="88"/>
      <c r="C347" s="187"/>
      <c r="G347" s="108"/>
      <c r="H347" s="108"/>
      <c r="K347" s="108"/>
      <c r="L347" s="108"/>
    </row>
    <row r="348" spans="1:12">
      <c r="A348" s="88"/>
      <c r="C348" s="187"/>
      <c r="G348" s="108"/>
      <c r="H348" s="108"/>
      <c r="K348" s="108"/>
      <c r="L348" s="108"/>
    </row>
    <row r="349" spans="1:12">
      <c r="A349" s="88"/>
      <c r="C349" s="187"/>
      <c r="G349" s="108"/>
      <c r="H349" s="108"/>
      <c r="K349" s="108"/>
      <c r="L349" s="108"/>
    </row>
    <row r="350" spans="1:12">
      <c r="A350" s="88"/>
      <c r="C350" s="187"/>
      <c r="G350" s="108"/>
      <c r="H350" s="108"/>
      <c r="K350" s="108"/>
      <c r="L350" s="108"/>
    </row>
    <row r="351" spans="1:12">
      <c r="A351" s="88"/>
      <c r="C351" s="187"/>
      <c r="G351" s="108"/>
      <c r="H351" s="108"/>
      <c r="K351" s="108"/>
      <c r="L351" s="108"/>
    </row>
    <row r="352" spans="1:12">
      <c r="A352" s="88"/>
      <c r="C352" s="187"/>
      <c r="G352" s="108"/>
      <c r="H352" s="108"/>
      <c r="K352" s="108"/>
      <c r="L352" s="108"/>
    </row>
    <row r="353" spans="1:12">
      <c r="A353" s="88"/>
      <c r="C353" s="187"/>
      <c r="G353" s="108"/>
      <c r="H353" s="108"/>
      <c r="K353" s="108"/>
      <c r="L353" s="108"/>
    </row>
    <row r="354" spans="1:12">
      <c r="A354" s="88"/>
      <c r="C354" s="187"/>
      <c r="G354" s="108"/>
      <c r="H354" s="108"/>
      <c r="K354" s="108"/>
      <c r="L354" s="108"/>
    </row>
    <row r="355" spans="1:12">
      <c r="A355" s="88"/>
      <c r="C355" s="187"/>
      <c r="G355" s="108"/>
      <c r="H355" s="108"/>
      <c r="K355" s="108"/>
      <c r="L355" s="108"/>
    </row>
    <row r="356" spans="1:12">
      <c r="A356" s="88"/>
      <c r="C356" s="187"/>
      <c r="G356" s="108"/>
      <c r="H356" s="108"/>
      <c r="K356" s="108"/>
      <c r="L356" s="108"/>
    </row>
    <row r="357" spans="1:12">
      <c r="A357" s="88"/>
      <c r="C357" s="187"/>
      <c r="G357" s="108"/>
      <c r="H357" s="108"/>
      <c r="K357" s="108"/>
      <c r="L357" s="108"/>
    </row>
    <row r="358" spans="1:12">
      <c r="A358" s="88"/>
      <c r="C358" s="187"/>
      <c r="G358" s="108"/>
      <c r="H358" s="108"/>
      <c r="K358" s="108"/>
      <c r="L358" s="108"/>
    </row>
    <row r="359" spans="1:12">
      <c r="A359" s="88"/>
      <c r="C359" s="187"/>
      <c r="G359" s="108"/>
      <c r="H359" s="108"/>
      <c r="K359" s="108"/>
      <c r="L359" s="108"/>
    </row>
    <row r="360" spans="1:12">
      <c r="A360" s="88"/>
      <c r="C360" s="187"/>
      <c r="G360" s="108"/>
      <c r="H360" s="108"/>
      <c r="K360" s="108"/>
      <c r="L360" s="108"/>
    </row>
    <row r="361" spans="1:12">
      <c r="A361" s="88"/>
      <c r="C361" s="187"/>
      <c r="G361" s="108"/>
      <c r="H361" s="108"/>
      <c r="K361" s="108"/>
      <c r="L361" s="108"/>
    </row>
    <row r="362" spans="1:12">
      <c r="A362" s="88"/>
      <c r="C362" s="187"/>
      <c r="G362" s="108"/>
      <c r="H362" s="108"/>
      <c r="K362" s="108"/>
      <c r="L362" s="108"/>
    </row>
    <row r="363" spans="1:12">
      <c r="A363" s="88"/>
      <c r="C363" s="187"/>
      <c r="G363" s="108"/>
      <c r="H363" s="108"/>
      <c r="K363" s="108"/>
      <c r="L363" s="108"/>
    </row>
    <row r="364" spans="1:12">
      <c r="A364" s="88"/>
      <c r="C364" s="187"/>
      <c r="G364" s="108"/>
      <c r="H364" s="108"/>
      <c r="K364" s="108"/>
      <c r="L364" s="108"/>
    </row>
    <row r="365" spans="1:12">
      <c r="A365" s="88"/>
      <c r="C365" s="187"/>
      <c r="G365" s="108"/>
      <c r="H365" s="108"/>
      <c r="K365" s="108"/>
      <c r="L365" s="108"/>
    </row>
    <row r="366" spans="1:12">
      <c r="A366" s="88"/>
      <c r="C366" s="187"/>
      <c r="G366" s="108"/>
      <c r="H366" s="108"/>
      <c r="K366" s="108"/>
      <c r="L366" s="108"/>
    </row>
    <row r="367" spans="1:12">
      <c r="A367" s="88"/>
      <c r="C367" s="187"/>
      <c r="G367" s="108"/>
      <c r="H367" s="108"/>
      <c r="K367" s="108"/>
      <c r="L367" s="108"/>
    </row>
    <row r="368" spans="1:12">
      <c r="A368" s="88"/>
      <c r="C368" s="187"/>
      <c r="G368" s="108"/>
      <c r="H368" s="108"/>
      <c r="K368" s="108"/>
      <c r="L368" s="108"/>
    </row>
    <row r="369" spans="1:12">
      <c r="A369" s="88"/>
      <c r="C369" s="187"/>
      <c r="G369" s="108"/>
      <c r="H369" s="108"/>
      <c r="K369" s="108"/>
      <c r="L369" s="108"/>
    </row>
    <row r="370" spans="1:12">
      <c r="A370" s="88"/>
      <c r="C370" s="187"/>
      <c r="G370" s="108"/>
      <c r="H370" s="108"/>
      <c r="K370" s="108"/>
      <c r="L370" s="108"/>
    </row>
    <row r="371" spans="1:12">
      <c r="A371" s="88"/>
      <c r="C371" s="187"/>
      <c r="G371" s="108"/>
      <c r="H371" s="108"/>
      <c r="K371" s="108"/>
      <c r="L371" s="108"/>
    </row>
  </sheetData>
  <mergeCells count="16">
    <mergeCell ref="C258:E258"/>
    <mergeCell ref="A1:M1"/>
    <mergeCell ref="A2:M2"/>
    <mergeCell ref="K3:M3"/>
    <mergeCell ref="A4:A5"/>
    <mergeCell ref="B4:B5"/>
    <mergeCell ref="C4:F4"/>
    <mergeCell ref="G4:J4"/>
    <mergeCell ref="K4:L4"/>
    <mergeCell ref="M4:M5"/>
    <mergeCell ref="C5:D5"/>
    <mergeCell ref="G5:H5"/>
    <mergeCell ref="C6:D6"/>
    <mergeCell ref="G6:H6"/>
    <mergeCell ref="C256:E256"/>
    <mergeCell ref="C257:E257"/>
  </mergeCells>
  <printOptions horizontalCentered="1"/>
  <pageMargins left="0.23622047244094499" right="0.15748031496063" top="0.25" bottom="0.34" header="0.22" footer="0.23622047244094499"/>
  <pageSetup paperSize="9" orientation="landscape" errors="blank" r:id="rId1"/>
  <headerFooter alignWithMargins="0"/>
  <rowBreaks count="1" manualBreakCount="1">
    <brk id="253" max="12"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X164"/>
  <sheetViews>
    <sheetView showZeros="0" view="pageBreakPreview" topLeftCell="A38" zoomScale="115" zoomScaleSheetLayoutView="115" workbookViewId="0">
      <selection activeCell="F49" sqref="F49"/>
    </sheetView>
  </sheetViews>
  <sheetFormatPr defaultRowHeight="12.75"/>
  <cols>
    <col min="1" max="1" width="5.140625" style="108" customWidth="1"/>
    <col min="2" max="2" width="42.42578125" style="108" customWidth="1"/>
    <col min="3" max="3" width="8.28515625" style="186" customWidth="1"/>
    <col min="4" max="4" width="5.140625" style="104" customWidth="1"/>
    <col min="5" max="5" width="9" style="108" customWidth="1"/>
    <col min="6" max="6" width="12.28515625" style="108" customWidth="1"/>
    <col min="7" max="7" width="8.140625" style="103" customWidth="1"/>
    <col min="8" max="8" width="4.7109375" style="104" customWidth="1"/>
    <col min="9" max="9" width="9.42578125" style="108" bestFit="1" customWidth="1"/>
    <col min="10" max="10" width="10.42578125" style="108" customWidth="1"/>
    <col min="11" max="12" width="11" style="105" customWidth="1"/>
    <col min="13" max="13" width="7.85546875" style="108" customWidth="1"/>
    <col min="14" max="14" width="9.28515625" style="108" bestFit="1" customWidth="1"/>
    <col min="15" max="16" width="10.42578125" style="108" bestFit="1" customWidth="1"/>
    <col min="17" max="16384" width="9.140625" style="108"/>
  </cols>
  <sheetData>
    <row r="1" spans="1:24" ht="19.5" customHeight="1">
      <c r="A1" s="1003" t="s">
        <v>1903</v>
      </c>
      <c r="B1" s="1004"/>
      <c r="C1" s="1004"/>
      <c r="D1" s="1004"/>
      <c r="E1" s="1004"/>
      <c r="F1" s="1004"/>
      <c r="G1" s="1004"/>
      <c r="H1" s="1004"/>
      <c r="I1" s="1004"/>
      <c r="J1" s="1004"/>
      <c r="K1" s="1004"/>
      <c r="L1" s="1005"/>
      <c r="M1" s="1005"/>
    </row>
    <row r="2" spans="1:24" ht="36.75" customHeight="1">
      <c r="A2" s="1006" t="str">
        <f>'lead 24-25'!B2&amp;'lead 24-25'!C2</f>
        <v>Name of the Work: Completion of incomplete Anganwadi building  in Paletipalli village of P.C.Palli Mandal.</v>
      </c>
      <c r="B2" s="1006"/>
      <c r="C2" s="1006"/>
      <c r="D2" s="1006"/>
      <c r="E2" s="1006"/>
      <c r="F2" s="1006"/>
      <c r="G2" s="1006"/>
      <c r="H2" s="1006"/>
      <c r="I2" s="1006"/>
      <c r="J2" s="1006"/>
      <c r="K2" s="1006"/>
      <c r="L2" s="1006"/>
      <c r="M2" s="1006"/>
    </row>
    <row r="3" spans="1:24">
      <c r="A3" s="241"/>
      <c r="B3" s="242"/>
      <c r="C3" s="243"/>
      <c r="D3" s="244"/>
      <c r="E3" s="245"/>
      <c r="F3" s="242"/>
      <c r="G3" s="246"/>
      <c r="H3" s="244"/>
      <c r="I3" s="245"/>
      <c r="J3" s="242" t="s">
        <v>441</v>
      </c>
      <c r="K3" s="1007" t="str">
        <f>'lead 24-25'!K4</f>
        <v>15.00 Lakhs</v>
      </c>
      <c r="L3" s="1008"/>
      <c r="M3" s="1008"/>
    </row>
    <row r="4" spans="1:24" ht="19.5" customHeight="1">
      <c r="A4" s="1009" t="s">
        <v>263</v>
      </c>
      <c r="B4" s="1009" t="s">
        <v>7</v>
      </c>
      <c r="C4" s="1009" t="s">
        <v>557</v>
      </c>
      <c r="D4" s="1009"/>
      <c r="E4" s="1010"/>
      <c r="F4" s="1010"/>
      <c r="G4" s="1009" t="s">
        <v>1904</v>
      </c>
      <c r="H4" s="1009"/>
      <c r="I4" s="1010"/>
      <c r="J4" s="1010"/>
      <c r="K4" s="1009" t="s">
        <v>442</v>
      </c>
      <c r="L4" s="1010"/>
      <c r="M4" s="1009" t="s">
        <v>443</v>
      </c>
    </row>
    <row r="5" spans="1:24" ht="15.75" customHeight="1">
      <c r="A5" s="1009"/>
      <c r="B5" s="1009"/>
      <c r="C5" s="1009" t="s">
        <v>444</v>
      </c>
      <c r="D5" s="1009"/>
      <c r="E5" s="292" t="s">
        <v>445</v>
      </c>
      <c r="F5" s="292" t="s">
        <v>10</v>
      </c>
      <c r="G5" s="1009" t="s">
        <v>444</v>
      </c>
      <c r="H5" s="1009"/>
      <c r="I5" s="292" t="s">
        <v>445</v>
      </c>
      <c r="J5" s="292" t="s">
        <v>10</v>
      </c>
      <c r="K5" s="292" t="s">
        <v>446</v>
      </c>
      <c r="L5" s="292" t="s">
        <v>447</v>
      </c>
      <c r="M5" s="1009"/>
    </row>
    <row r="6" spans="1:24" ht="16.5" customHeight="1">
      <c r="A6" s="292" t="s">
        <v>448</v>
      </c>
      <c r="B6" s="292" t="s">
        <v>449</v>
      </c>
      <c r="C6" s="1009" t="s">
        <v>450</v>
      </c>
      <c r="D6" s="1009"/>
      <c r="E6" s="292" t="s">
        <v>451</v>
      </c>
      <c r="F6" s="292" t="s">
        <v>452</v>
      </c>
      <c r="G6" s="1009" t="s">
        <v>453</v>
      </c>
      <c r="H6" s="1009"/>
      <c r="I6" s="292" t="s">
        <v>454</v>
      </c>
      <c r="J6" s="292" t="s">
        <v>455</v>
      </c>
      <c r="K6" s="292" t="s">
        <v>456</v>
      </c>
      <c r="L6" s="292" t="s">
        <v>317</v>
      </c>
      <c r="M6" s="292" t="s">
        <v>457</v>
      </c>
    </row>
    <row r="7" spans="1:24" s="88" customFormat="1" ht="20.25" customHeight="1">
      <c r="A7" s="83"/>
      <c r="B7" s="84" t="s">
        <v>485</v>
      </c>
      <c r="C7" s="151"/>
      <c r="D7" s="189"/>
      <c r="E7" s="15"/>
      <c r="F7" s="18"/>
      <c r="G7" s="90"/>
      <c r="H7" s="189"/>
      <c r="I7" s="109"/>
      <c r="J7" s="18">
        <f t="shared" ref="J7" si="0">ROUND(G7*I7,0)</f>
        <v>0</v>
      </c>
      <c r="K7" s="87">
        <f t="shared" ref="K7" si="1">IF(J7&gt;F7,J7-F7,0)</f>
        <v>0</v>
      </c>
      <c r="L7" s="87">
        <f t="shared" ref="L7" si="2">IF(J7&lt;F7,F7-J7,0)</f>
        <v>0</v>
      </c>
      <c r="M7" s="83" t="s">
        <v>15</v>
      </c>
      <c r="N7" s="188">
        <f t="shared" ref="N7" si="3">E7-I7</f>
        <v>0</v>
      </c>
      <c r="S7" s="88">
        <v>0</v>
      </c>
      <c r="U7" s="152">
        <f t="shared" ref="U7:U9" si="4">J7-S7</f>
        <v>0</v>
      </c>
      <c r="X7" s="152">
        <f t="shared" ref="X7:X9" si="5">G7-W7</f>
        <v>0</v>
      </c>
    </row>
    <row r="8" spans="1:24" s="88" customFormat="1" ht="20.25" customHeight="1">
      <c r="A8" s="83" t="s">
        <v>448</v>
      </c>
      <c r="B8" s="89" t="s">
        <v>1241</v>
      </c>
      <c r="C8" s="295">
        <f>G8</f>
        <v>0</v>
      </c>
      <c r="D8" s="296" t="s">
        <v>102</v>
      </c>
      <c r="E8" s="235">
        <f>I8</f>
        <v>406.34</v>
      </c>
      <c r="F8" s="18">
        <f t="shared" ref="F8" si="6">ROUND(C8*E8,0)</f>
        <v>0</v>
      </c>
      <c r="G8" s="90">
        <f>ESTIMATE!I588</f>
        <v>0</v>
      </c>
      <c r="H8" s="92" t="s">
        <v>102</v>
      </c>
      <c r="I8" s="109">
        <f>ESTIMATE!K588</f>
        <v>406.34</v>
      </c>
      <c r="J8" s="18">
        <f>ROUND(G8*I8,2)</f>
        <v>0</v>
      </c>
      <c r="K8" s="87">
        <f t="shared" ref="K8:K17" si="7">IF(J8&gt;F8,J8-F8,0)</f>
        <v>0</v>
      </c>
      <c r="L8" s="87">
        <f t="shared" ref="L8:L17" si="8">IF(J8&lt;F8,F8-J8,0)</f>
        <v>0</v>
      </c>
      <c r="M8" s="83" t="s">
        <v>15</v>
      </c>
      <c r="N8" s="188">
        <f t="shared" ref="N8:N17" si="9">E8-I8</f>
        <v>0</v>
      </c>
      <c r="S8" s="88">
        <v>43353</v>
      </c>
      <c r="U8" s="152">
        <f t="shared" si="4"/>
        <v>-43353</v>
      </c>
      <c r="W8" s="88">
        <v>117.23</v>
      </c>
      <c r="X8" s="152">
        <f t="shared" si="5"/>
        <v>-117.23</v>
      </c>
    </row>
    <row r="9" spans="1:24" s="88" customFormat="1" ht="20.25" customHeight="1">
      <c r="A9" s="83" t="s">
        <v>449</v>
      </c>
      <c r="B9" s="89" t="s">
        <v>783</v>
      </c>
      <c r="C9" s="295">
        <f t="shared" ref="C9:C17" si="10">G9</f>
        <v>0</v>
      </c>
      <c r="D9" s="296" t="s">
        <v>102</v>
      </c>
      <c r="E9" s="235">
        <f t="shared" ref="E9:E17" si="11">I9</f>
        <v>521.53</v>
      </c>
      <c r="F9" s="18">
        <f t="shared" ref="F9" si="12">ROUND(C9*E9,0)</f>
        <v>0</v>
      </c>
      <c r="G9" s="90">
        <f>ESTIMATE!I726</f>
        <v>0</v>
      </c>
      <c r="H9" s="85" t="s">
        <v>102</v>
      </c>
      <c r="I9" s="109">
        <f>ESTIMATE!K726</f>
        <v>521.53</v>
      </c>
      <c r="J9" s="18">
        <f t="shared" ref="J9:J17" si="13">ROUND(G9*I9,2)</f>
        <v>0</v>
      </c>
      <c r="K9" s="87">
        <f t="shared" si="7"/>
        <v>0</v>
      </c>
      <c r="L9" s="87">
        <f t="shared" si="8"/>
        <v>0</v>
      </c>
      <c r="M9" s="83" t="s">
        <v>15</v>
      </c>
      <c r="N9" s="188">
        <f t="shared" si="9"/>
        <v>0</v>
      </c>
      <c r="S9" s="88">
        <v>73418</v>
      </c>
      <c r="U9" s="152">
        <f t="shared" si="4"/>
        <v>-73418</v>
      </c>
      <c r="W9" s="88" t="s">
        <v>942</v>
      </c>
      <c r="X9" s="152">
        <f t="shared" si="5"/>
        <v>-281.20999999999998</v>
      </c>
    </row>
    <row r="10" spans="1:24" s="88" customFormat="1" ht="20.25" customHeight="1">
      <c r="A10" s="83" t="s">
        <v>450</v>
      </c>
      <c r="B10" s="89" t="s">
        <v>493</v>
      </c>
      <c r="C10" s="295">
        <f t="shared" si="10"/>
        <v>0</v>
      </c>
      <c r="D10" s="296" t="s">
        <v>102</v>
      </c>
      <c r="E10" s="235">
        <f t="shared" si="11"/>
        <v>1284.3599999999999</v>
      </c>
      <c r="F10" s="18">
        <f t="shared" ref="F10:F11" si="14">ROUND(C10*E10,0)</f>
        <v>0</v>
      </c>
      <c r="G10" s="90">
        <f>ESTIMATE!I748</f>
        <v>0</v>
      </c>
      <c r="H10" s="85" t="s">
        <v>102</v>
      </c>
      <c r="I10" s="109">
        <f>ESTIMATE!K748</f>
        <v>1284.3599999999999</v>
      </c>
      <c r="J10" s="18">
        <f t="shared" si="13"/>
        <v>0</v>
      </c>
      <c r="K10" s="87">
        <f t="shared" si="7"/>
        <v>0</v>
      </c>
      <c r="L10" s="87">
        <f t="shared" si="8"/>
        <v>0</v>
      </c>
      <c r="M10" s="83" t="s">
        <v>15</v>
      </c>
      <c r="N10" s="188">
        <f t="shared" si="9"/>
        <v>0</v>
      </c>
      <c r="S10" s="88">
        <v>105936</v>
      </c>
      <c r="U10" s="152">
        <f t="shared" ref="U10:U24" si="15">J10-S10</f>
        <v>-105936</v>
      </c>
      <c r="W10" s="88">
        <v>105.51</v>
      </c>
      <c r="X10" s="152">
        <f t="shared" ref="X10:X24" si="16">G10-W10</f>
        <v>-105.51</v>
      </c>
    </row>
    <row r="11" spans="1:24" s="88" customFormat="1" ht="20.25" customHeight="1">
      <c r="A11" s="83" t="s">
        <v>451</v>
      </c>
      <c r="B11" s="89" t="s">
        <v>495</v>
      </c>
      <c r="C11" s="295">
        <f t="shared" si="10"/>
        <v>0</v>
      </c>
      <c r="D11" s="296" t="s">
        <v>102</v>
      </c>
      <c r="E11" s="235">
        <f t="shared" si="11"/>
        <v>1279.49</v>
      </c>
      <c r="F11" s="18">
        <f t="shared" si="14"/>
        <v>0</v>
      </c>
      <c r="G11" s="90">
        <f>ESTIMATE!I763</f>
        <v>0</v>
      </c>
      <c r="H11" s="85" t="s">
        <v>102</v>
      </c>
      <c r="I11" s="109">
        <f>ESTIMATE!K763</f>
        <v>1279.49</v>
      </c>
      <c r="J11" s="18">
        <f t="shared" si="13"/>
        <v>0</v>
      </c>
      <c r="K11" s="87">
        <f t="shared" si="7"/>
        <v>0</v>
      </c>
      <c r="L11" s="87">
        <f t="shared" si="8"/>
        <v>0</v>
      </c>
      <c r="M11" s="83" t="s">
        <v>15</v>
      </c>
      <c r="N11" s="188">
        <f t="shared" si="9"/>
        <v>0</v>
      </c>
      <c r="S11" s="88">
        <v>9527</v>
      </c>
      <c r="U11" s="152">
        <f>J11-S11</f>
        <v>-9527</v>
      </c>
      <c r="W11" s="88">
        <v>9.4400000000000013</v>
      </c>
      <c r="X11" s="152">
        <f>G11-W11</f>
        <v>-9.4400000000000013</v>
      </c>
    </row>
    <row r="12" spans="1:24" s="88" customFormat="1" ht="20.25" customHeight="1">
      <c r="A12" s="83" t="s">
        <v>452</v>
      </c>
      <c r="B12" s="89" t="s">
        <v>497</v>
      </c>
      <c r="C12" s="295">
        <f t="shared" si="10"/>
        <v>0</v>
      </c>
      <c r="D12" s="296" t="s">
        <v>102</v>
      </c>
      <c r="E12" s="235">
        <f t="shared" si="11"/>
        <v>889.81</v>
      </c>
      <c r="F12" s="18">
        <f t="shared" ref="F12:F13" si="17">ROUND(C12*E12,0)</f>
        <v>0</v>
      </c>
      <c r="G12" s="90">
        <f>ESTIMATE!I806</f>
        <v>0</v>
      </c>
      <c r="H12" s="85" t="s">
        <v>102</v>
      </c>
      <c r="I12" s="109">
        <f>ESTIMATE!K806</f>
        <v>889.81</v>
      </c>
      <c r="J12" s="18">
        <f t="shared" si="13"/>
        <v>0</v>
      </c>
      <c r="K12" s="87">
        <f t="shared" si="7"/>
        <v>0</v>
      </c>
      <c r="L12" s="87">
        <f t="shared" si="8"/>
        <v>0</v>
      </c>
      <c r="M12" s="83" t="s">
        <v>15</v>
      </c>
      <c r="N12" s="188">
        <f t="shared" si="9"/>
        <v>0</v>
      </c>
      <c r="S12" s="88">
        <v>6476</v>
      </c>
      <c r="U12" s="152">
        <f t="shared" si="15"/>
        <v>-6476</v>
      </c>
      <c r="W12" s="88">
        <v>9.24</v>
      </c>
      <c r="X12" s="152">
        <f t="shared" si="16"/>
        <v>-9.24</v>
      </c>
    </row>
    <row r="13" spans="1:24" s="88" customFormat="1" ht="20.25" customHeight="1">
      <c r="A13" s="83" t="s">
        <v>453</v>
      </c>
      <c r="B13" s="89" t="s">
        <v>558</v>
      </c>
      <c r="C13" s="295">
        <f t="shared" si="10"/>
        <v>0</v>
      </c>
      <c r="D13" s="296" t="s">
        <v>102</v>
      </c>
      <c r="E13" s="235">
        <f t="shared" si="11"/>
        <v>509.65</v>
      </c>
      <c r="F13" s="18">
        <f t="shared" si="17"/>
        <v>0</v>
      </c>
      <c r="G13" s="90">
        <f>ESTIMATE!I812</f>
        <v>0</v>
      </c>
      <c r="H13" s="85" t="s">
        <v>102</v>
      </c>
      <c r="I13" s="109">
        <f>ESTIMATE!K812</f>
        <v>509.65</v>
      </c>
      <c r="J13" s="18">
        <f t="shared" si="13"/>
        <v>0</v>
      </c>
      <c r="K13" s="87">
        <f t="shared" si="7"/>
        <v>0</v>
      </c>
      <c r="L13" s="87">
        <f t="shared" si="8"/>
        <v>0</v>
      </c>
      <c r="M13" s="83" t="s">
        <v>15</v>
      </c>
      <c r="N13" s="188">
        <f t="shared" si="9"/>
        <v>0</v>
      </c>
      <c r="S13" s="88">
        <v>20815</v>
      </c>
      <c r="U13" s="152">
        <f t="shared" si="15"/>
        <v>-20815</v>
      </c>
      <c r="W13" s="88">
        <v>42.84</v>
      </c>
      <c r="X13" s="152">
        <f t="shared" si="16"/>
        <v>-42.84</v>
      </c>
    </row>
    <row r="14" spans="1:24" s="88" customFormat="1" ht="20.25" customHeight="1">
      <c r="A14" s="83" t="s">
        <v>454</v>
      </c>
      <c r="B14" s="89" t="s">
        <v>838</v>
      </c>
      <c r="C14" s="295">
        <f t="shared" si="10"/>
        <v>0</v>
      </c>
      <c r="D14" s="195" t="s">
        <v>102</v>
      </c>
      <c r="E14" s="235">
        <f t="shared" si="11"/>
        <v>199.95</v>
      </c>
      <c r="F14" s="18">
        <f t="shared" ref="F14:F17" si="18">ROUND(C14*E14,0)</f>
        <v>0</v>
      </c>
      <c r="G14" s="90">
        <f>ESTIMATE!I877</f>
        <v>0</v>
      </c>
      <c r="H14" s="85" t="s">
        <v>102</v>
      </c>
      <c r="I14" s="109">
        <f>ESTIMATE!K877</f>
        <v>199.95</v>
      </c>
      <c r="J14" s="18">
        <f t="shared" si="13"/>
        <v>0</v>
      </c>
      <c r="K14" s="87">
        <f t="shared" si="7"/>
        <v>0</v>
      </c>
      <c r="L14" s="87">
        <f t="shared" si="8"/>
        <v>0</v>
      </c>
      <c r="M14" s="83" t="s">
        <v>15</v>
      </c>
      <c r="N14" s="188">
        <f t="shared" si="9"/>
        <v>0</v>
      </c>
      <c r="S14" s="88">
        <v>68284</v>
      </c>
      <c r="U14" s="152">
        <f t="shared" si="15"/>
        <v>-68284</v>
      </c>
      <c r="W14" s="88">
        <v>436.56999999999994</v>
      </c>
      <c r="X14" s="152">
        <f t="shared" si="16"/>
        <v>-436.56999999999994</v>
      </c>
    </row>
    <row r="15" spans="1:24" s="88" customFormat="1" ht="20.25" customHeight="1">
      <c r="A15" s="83" t="s">
        <v>455</v>
      </c>
      <c r="B15" s="89" t="s">
        <v>559</v>
      </c>
      <c r="C15" s="295">
        <f t="shared" si="10"/>
        <v>0</v>
      </c>
      <c r="D15" s="296" t="s">
        <v>102</v>
      </c>
      <c r="E15" s="235">
        <f t="shared" si="11"/>
        <v>201.45</v>
      </c>
      <c r="F15" s="18">
        <f t="shared" si="18"/>
        <v>0</v>
      </c>
      <c r="G15" s="90">
        <f>ESTIMATE!I908</f>
        <v>0</v>
      </c>
      <c r="H15" s="85" t="s">
        <v>102</v>
      </c>
      <c r="I15" s="109">
        <f>ESTIMATE!K908</f>
        <v>201.45</v>
      </c>
      <c r="J15" s="18">
        <f t="shared" si="13"/>
        <v>0</v>
      </c>
      <c r="K15" s="87">
        <f t="shared" si="7"/>
        <v>0</v>
      </c>
      <c r="L15" s="87">
        <f t="shared" si="8"/>
        <v>0</v>
      </c>
      <c r="M15" s="83" t="s">
        <v>15</v>
      </c>
      <c r="N15" s="188">
        <f t="shared" si="9"/>
        <v>0</v>
      </c>
      <c r="S15" s="88">
        <v>0</v>
      </c>
      <c r="U15" s="152">
        <f t="shared" si="15"/>
        <v>0</v>
      </c>
      <c r="W15" s="88">
        <v>0</v>
      </c>
      <c r="X15" s="152">
        <f t="shared" si="16"/>
        <v>0</v>
      </c>
    </row>
    <row r="16" spans="1:24" s="88" customFormat="1" ht="20.25" customHeight="1">
      <c r="A16" s="83" t="s">
        <v>456</v>
      </c>
      <c r="B16" s="89" t="s">
        <v>1005</v>
      </c>
      <c r="C16" s="295">
        <f t="shared" si="10"/>
        <v>0</v>
      </c>
      <c r="D16" s="296" t="s">
        <v>102</v>
      </c>
      <c r="E16" s="235">
        <f t="shared" si="11"/>
        <v>276.7</v>
      </c>
      <c r="F16" s="18">
        <f t="shared" si="18"/>
        <v>0</v>
      </c>
      <c r="G16" s="90">
        <f>ESTIMATE!I916</f>
        <v>0</v>
      </c>
      <c r="H16" s="85" t="s">
        <v>102</v>
      </c>
      <c r="I16" s="109">
        <f>ESTIMATE!K916</f>
        <v>276.7</v>
      </c>
      <c r="J16" s="18">
        <f t="shared" si="13"/>
        <v>0</v>
      </c>
      <c r="K16" s="87">
        <f t="shared" si="7"/>
        <v>0</v>
      </c>
      <c r="L16" s="87">
        <f t="shared" si="8"/>
        <v>0</v>
      </c>
      <c r="M16" s="83" t="s">
        <v>15</v>
      </c>
      <c r="N16" s="188">
        <f t="shared" si="9"/>
        <v>0</v>
      </c>
      <c r="S16" s="88">
        <v>29548</v>
      </c>
      <c r="U16" s="152">
        <f t="shared" si="15"/>
        <v>-29548</v>
      </c>
      <c r="W16" s="88">
        <v>157.73000000000002</v>
      </c>
      <c r="X16" s="152">
        <f t="shared" si="16"/>
        <v>-157.73000000000002</v>
      </c>
    </row>
    <row r="17" spans="1:24" s="88" customFormat="1" ht="27.75" customHeight="1">
      <c r="A17" s="83" t="s">
        <v>317</v>
      </c>
      <c r="B17" s="89" t="s">
        <v>1898</v>
      </c>
      <c r="C17" s="295">
        <f t="shared" si="10"/>
        <v>0</v>
      </c>
      <c r="D17" s="296" t="s">
        <v>102</v>
      </c>
      <c r="E17" s="235">
        <f t="shared" si="11"/>
        <v>1760.4100000000003</v>
      </c>
      <c r="F17" s="18">
        <f t="shared" si="18"/>
        <v>0</v>
      </c>
      <c r="G17" s="90">
        <f>ESTIMATE!I922</f>
        <v>0</v>
      </c>
      <c r="H17" s="85" t="s">
        <v>102</v>
      </c>
      <c r="I17" s="109">
        <f>ESTIMATE!K922</f>
        <v>1760.4100000000003</v>
      </c>
      <c r="J17" s="18">
        <f t="shared" si="13"/>
        <v>0</v>
      </c>
      <c r="K17" s="87">
        <f t="shared" si="7"/>
        <v>0</v>
      </c>
      <c r="L17" s="87">
        <f t="shared" si="8"/>
        <v>0</v>
      </c>
      <c r="M17" s="83" t="s">
        <v>15</v>
      </c>
      <c r="N17" s="188">
        <f t="shared" si="9"/>
        <v>0</v>
      </c>
      <c r="U17" s="152"/>
      <c r="X17" s="152"/>
    </row>
    <row r="18" spans="1:24" s="88" customFormat="1" ht="32.25" customHeight="1">
      <c r="A18" s="83" t="s">
        <v>457</v>
      </c>
      <c r="B18" s="89" t="s">
        <v>699</v>
      </c>
      <c r="C18" s="295">
        <f t="shared" ref="C18:C31" si="19">G18</f>
        <v>6.3</v>
      </c>
      <c r="D18" s="296" t="s">
        <v>102</v>
      </c>
      <c r="E18" s="235">
        <f t="shared" ref="E18:E31" si="20">I18</f>
        <v>8363.11</v>
      </c>
      <c r="F18" s="18">
        <f>ROUND(C18*E18/1,0)</f>
        <v>52688</v>
      </c>
      <c r="G18" s="90">
        <f>ESTIMATE!I1360</f>
        <v>6.3</v>
      </c>
      <c r="H18" s="85" t="s">
        <v>102</v>
      </c>
      <c r="I18" s="109">
        <f>ESTIMATE!K1360</f>
        <v>8363.11</v>
      </c>
      <c r="J18" s="18">
        <f t="shared" ref="J18:J31" si="21">ROUND(G18*I18,2)</f>
        <v>52687.59</v>
      </c>
      <c r="K18" s="87">
        <f t="shared" ref="K18:K30" si="22">IF(J18&gt;F18,J18-F18,0)</f>
        <v>0</v>
      </c>
      <c r="L18" s="87">
        <f t="shared" ref="L18:L30" si="23">IF(J18&lt;F18,F18-J18,0)</f>
        <v>0.41000000000349246</v>
      </c>
      <c r="M18" s="83" t="s">
        <v>15</v>
      </c>
      <c r="N18" s="188">
        <f t="shared" ref="N18:N30" si="24">E18-I18</f>
        <v>0</v>
      </c>
      <c r="S18" s="88">
        <v>189353</v>
      </c>
      <c r="U18" s="152">
        <f t="shared" si="15"/>
        <v>-136665.41</v>
      </c>
      <c r="W18" s="88">
        <v>31.5</v>
      </c>
      <c r="X18" s="152">
        <f t="shared" si="16"/>
        <v>-25.2</v>
      </c>
    </row>
    <row r="19" spans="1:24" s="88" customFormat="1" ht="24.75" customHeight="1">
      <c r="A19" s="83" t="s">
        <v>460</v>
      </c>
      <c r="B19" s="89" t="s">
        <v>1899</v>
      </c>
      <c r="C19" s="295">
        <f t="shared" si="19"/>
        <v>0</v>
      </c>
      <c r="D19" s="195" t="s">
        <v>102</v>
      </c>
      <c r="E19" s="235">
        <f t="shared" si="20"/>
        <v>6698</v>
      </c>
      <c r="F19" s="18">
        <f>ROUND(C19*E19/1,0)</f>
        <v>0</v>
      </c>
      <c r="G19" s="90">
        <f>ESTIMATE!I1386</f>
        <v>0</v>
      </c>
      <c r="H19" s="85" t="s">
        <v>102</v>
      </c>
      <c r="I19" s="109">
        <f>ESTIMATE!K1386</f>
        <v>6698</v>
      </c>
      <c r="J19" s="18">
        <f t="shared" si="21"/>
        <v>0</v>
      </c>
      <c r="K19" s="87">
        <f t="shared" si="22"/>
        <v>0</v>
      </c>
      <c r="L19" s="87">
        <f t="shared" si="23"/>
        <v>0</v>
      </c>
      <c r="M19" s="83" t="s">
        <v>15</v>
      </c>
      <c r="N19" s="188">
        <f t="shared" si="24"/>
        <v>0</v>
      </c>
      <c r="U19" s="152"/>
      <c r="X19" s="152"/>
    </row>
    <row r="20" spans="1:24" s="88" customFormat="1" ht="20.25" customHeight="1">
      <c r="A20" s="83" t="s">
        <v>461</v>
      </c>
      <c r="B20" s="89" t="s">
        <v>700</v>
      </c>
      <c r="C20" s="295">
        <f t="shared" si="19"/>
        <v>0</v>
      </c>
      <c r="D20" s="195" t="s">
        <v>114</v>
      </c>
      <c r="E20" s="235">
        <f t="shared" si="20"/>
        <v>591.9</v>
      </c>
      <c r="F20" s="18">
        <f>ROUND(C20*E20/1,0)</f>
        <v>0</v>
      </c>
      <c r="G20" s="90">
        <f>ESTIMATE!I1395</f>
        <v>0</v>
      </c>
      <c r="H20" s="85" t="s">
        <v>114</v>
      </c>
      <c r="I20" s="109">
        <f>ESTIMATE!K1395</f>
        <v>591.9</v>
      </c>
      <c r="J20" s="18">
        <f t="shared" si="21"/>
        <v>0</v>
      </c>
      <c r="K20" s="87">
        <f t="shared" si="22"/>
        <v>0</v>
      </c>
      <c r="L20" s="87">
        <f t="shared" si="23"/>
        <v>0</v>
      </c>
      <c r="M20" s="83" t="s">
        <v>15</v>
      </c>
      <c r="N20" s="188">
        <f t="shared" si="24"/>
        <v>0</v>
      </c>
      <c r="S20" s="88">
        <v>0</v>
      </c>
      <c r="U20" s="152">
        <f t="shared" si="15"/>
        <v>0</v>
      </c>
      <c r="X20" s="152">
        <f t="shared" si="16"/>
        <v>0</v>
      </c>
    </row>
    <row r="21" spans="1:24" s="88" customFormat="1" ht="20.25" customHeight="1">
      <c r="A21" s="83" t="s">
        <v>462</v>
      </c>
      <c r="B21" s="89" t="s">
        <v>530</v>
      </c>
      <c r="C21" s="295">
        <f t="shared" si="19"/>
        <v>0</v>
      </c>
      <c r="D21" s="247" t="s">
        <v>4</v>
      </c>
      <c r="E21" s="235">
        <f t="shared" si="20"/>
        <v>116.46000000000001</v>
      </c>
      <c r="F21" s="18">
        <f>ROUND(C21*E21/1,0)</f>
        <v>0</v>
      </c>
      <c r="G21" s="90">
        <f>ESTIMATE!I1403</f>
        <v>0</v>
      </c>
      <c r="H21" s="85" t="s">
        <v>822</v>
      </c>
      <c r="I21" s="109">
        <f>ESTIMATE!K1403</f>
        <v>116.46000000000001</v>
      </c>
      <c r="J21" s="18">
        <f t="shared" si="21"/>
        <v>0</v>
      </c>
      <c r="K21" s="87">
        <f t="shared" si="22"/>
        <v>0</v>
      </c>
      <c r="L21" s="87">
        <f t="shared" si="23"/>
        <v>0</v>
      </c>
      <c r="M21" s="83" t="s">
        <v>15</v>
      </c>
      <c r="N21" s="188">
        <f t="shared" si="24"/>
        <v>0</v>
      </c>
      <c r="S21" s="88">
        <v>39023</v>
      </c>
      <c r="U21" s="152">
        <f t="shared" ref="U21" si="25">J21-S21</f>
        <v>-39023</v>
      </c>
      <c r="W21" s="88">
        <v>32.42</v>
      </c>
      <c r="X21" s="152">
        <f t="shared" ref="X21" si="26">G21-W21</f>
        <v>-32.42</v>
      </c>
    </row>
    <row r="22" spans="1:24" s="88" customFormat="1" ht="20.25" customHeight="1">
      <c r="A22" s="83" t="s">
        <v>463</v>
      </c>
      <c r="B22" s="89" t="s">
        <v>532</v>
      </c>
      <c r="C22" s="295">
        <f t="shared" si="19"/>
        <v>0</v>
      </c>
      <c r="D22" s="249" t="s">
        <v>271</v>
      </c>
      <c r="E22" s="235">
        <f t="shared" si="20"/>
        <v>222</v>
      </c>
      <c r="F22" s="18">
        <f t="shared" ref="F22" si="27">ROUND(C22*E22,0)</f>
        <v>0</v>
      </c>
      <c r="G22" s="90">
        <f>ESTIMATE!I1439</f>
        <v>0</v>
      </c>
      <c r="H22" s="85" t="s">
        <v>271</v>
      </c>
      <c r="I22" s="109">
        <f>ESTIMATE!K1439</f>
        <v>222</v>
      </c>
      <c r="J22" s="18">
        <f t="shared" si="21"/>
        <v>0</v>
      </c>
      <c r="K22" s="87">
        <f t="shared" si="22"/>
        <v>0</v>
      </c>
      <c r="L22" s="87">
        <f t="shared" si="23"/>
        <v>0</v>
      </c>
      <c r="M22" s="83" t="s">
        <v>15</v>
      </c>
      <c r="N22" s="188">
        <f t="shared" si="24"/>
        <v>0</v>
      </c>
      <c r="S22" s="88">
        <v>4920</v>
      </c>
      <c r="U22" s="152">
        <f t="shared" si="15"/>
        <v>-4920</v>
      </c>
      <c r="W22" s="88">
        <v>40</v>
      </c>
      <c r="X22" s="152">
        <f t="shared" si="16"/>
        <v>-40</v>
      </c>
    </row>
    <row r="23" spans="1:24" s="88" customFormat="1" ht="20.25" customHeight="1">
      <c r="A23" s="83" t="s">
        <v>464</v>
      </c>
      <c r="B23" s="89" t="s">
        <v>533</v>
      </c>
      <c r="C23" s="295">
        <f t="shared" si="19"/>
        <v>0</v>
      </c>
      <c r="D23" s="249" t="s">
        <v>271</v>
      </c>
      <c r="E23" s="235">
        <f t="shared" si="20"/>
        <v>35</v>
      </c>
      <c r="F23" s="18">
        <f t="shared" ref="F23:F28" si="28">ROUND(C23*E23,0)</f>
        <v>0</v>
      </c>
      <c r="G23" s="90">
        <f>ESTIMATE!I1453</f>
        <v>0</v>
      </c>
      <c r="H23" s="85" t="s">
        <v>271</v>
      </c>
      <c r="I23" s="109">
        <f>ESTIMATE!K1453</f>
        <v>35</v>
      </c>
      <c r="J23" s="18">
        <f t="shared" si="21"/>
        <v>0</v>
      </c>
      <c r="K23" s="87">
        <f t="shared" si="22"/>
        <v>0</v>
      </c>
      <c r="L23" s="87">
        <f t="shared" si="23"/>
        <v>0</v>
      </c>
      <c r="M23" s="83" t="s">
        <v>15</v>
      </c>
      <c r="N23" s="188">
        <f t="shared" si="24"/>
        <v>0</v>
      </c>
      <c r="S23" s="88">
        <v>2480</v>
      </c>
      <c r="U23" s="152">
        <f t="shared" si="15"/>
        <v>-2480</v>
      </c>
      <c r="W23" s="88">
        <v>80</v>
      </c>
      <c r="X23" s="152">
        <f t="shared" si="16"/>
        <v>-80</v>
      </c>
    </row>
    <row r="24" spans="1:24" s="88" customFormat="1" ht="20.25" customHeight="1">
      <c r="A24" s="83" t="s">
        <v>466</v>
      </c>
      <c r="B24" s="89" t="s">
        <v>534</v>
      </c>
      <c r="C24" s="295">
        <f t="shared" si="19"/>
        <v>0</v>
      </c>
      <c r="D24" s="249" t="s">
        <v>114</v>
      </c>
      <c r="E24" s="235">
        <f t="shared" si="20"/>
        <v>387</v>
      </c>
      <c r="F24" s="18">
        <f t="shared" si="28"/>
        <v>0</v>
      </c>
      <c r="G24" s="90">
        <f>ESTIMATE!I1457</f>
        <v>0</v>
      </c>
      <c r="H24" s="85" t="s">
        <v>114</v>
      </c>
      <c r="I24" s="109">
        <f>ESTIMATE!K1457</f>
        <v>387</v>
      </c>
      <c r="J24" s="18">
        <f t="shared" si="21"/>
        <v>0</v>
      </c>
      <c r="K24" s="87">
        <f t="shared" si="22"/>
        <v>0</v>
      </c>
      <c r="L24" s="87">
        <f t="shared" si="23"/>
        <v>0</v>
      </c>
      <c r="M24" s="83" t="s">
        <v>15</v>
      </c>
      <c r="N24" s="188">
        <f t="shared" si="24"/>
        <v>0</v>
      </c>
      <c r="S24" s="88">
        <v>698</v>
      </c>
      <c r="U24" s="152">
        <f t="shared" si="15"/>
        <v>-698</v>
      </c>
      <c r="W24" s="88">
        <v>2</v>
      </c>
      <c r="X24" s="152">
        <f t="shared" si="16"/>
        <v>-2</v>
      </c>
    </row>
    <row r="25" spans="1:24" s="88" customFormat="1" ht="20.25" customHeight="1">
      <c r="A25" s="83" t="s">
        <v>467</v>
      </c>
      <c r="B25" s="89" t="s">
        <v>535</v>
      </c>
      <c r="C25" s="295">
        <f t="shared" si="19"/>
        <v>0</v>
      </c>
      <c r="D25" s="249" t="s">
        <v>271</v>
      </c>
      <c r="E25" s="235">
        <f t="shared" si="20"/>
        <v>149</v>
      </c>
      <c r="F25" s="18">
        <f t="shared" si="28"/>
        <v>0</v>
      </c>
      <c r="G25" s="90">
        <f>ESTIMATE!I1470</f>
        <v>0</v>
      </c>
      <c r="H25" s="85" t="s">
        <v>271</v>
      </c>
      <c r="I25" s="109">
        <f>ESTIMATE!K1470</f>
        <v>149</v>
      </c>
      <c r="J25" s="18">
        <f t="shared" si="21"/>
        <v>0</v>
      </c>
      <c r="K25" s="87">
        <f t="shared" si="22"/>
        <v>0</v>
      </c>
      <c r="L25" s="87">
        <f t="shared" si="23"/>
        <v>0</v>
      </c>
      <c r="M25" s="83" t="s">
        <v>15</v>
      </c>
      <c r="N25" s="188">
        <f t="shared" si="24"/>
        <v>0</v>
      </c>
      <c r="S25" s="88">
        <v>820</v>
      </c>
      <c r="U25" s="152">
        <f t="shared" ref="U25:U43" si="29">J25-S25</f>
        <v>-820</v>
      </c>
      <c r="W25" s="88">
        <v>6</v>
      </c>
      <c r="X25" s="152">
        <f t="shared" ref="X25:X43" si="30">G25-W25</f>
        <v>-6</v>
      </c>
    </row>
    <row r="26" spans="1:24" s="88" customFormat="1" ht="20.25" customHeight="1">
      <c r="A26" s="83" t="s">
        <v>468</v>
      </c>
      <c r="B26" s="89" t="s">
        <v>537</v>
      </c>
      <c r="C26" s="295">
        <f t="shared" si="19"/>
        <v>0</v>
      </c>
      <c r="D26" s="249" t="s">
        <v>271</v>
      </c>
      <c r="E26" s="235">
        <f t="shared" si="20"/>
        <v>89</v>
      </c>
      <c r="F26" s="18">
        <f t="shared" si="28"/>
        <v>0</v>
      </c>
      <c r="G26" s="90">
        <f>ESTIMATE!I1478</f>
        <v>0</v>
      </c>
      <c r="H26" s="85" t="s">
        <v>271</v>
      </c>
      <c r="I26" s="109">
        <f>ESTIMATE!K1478</f>
        <v>89</v>
      </c>
      <c r="J26" s="18">
        <f t="shared" si="21"/>
        <v>0</v>
      </c>
      <c r="K26" s="87">
        <f t="shared" si="22"/>
        <v>0</v>
      </c>
      <c r="L26" s="87">
        <f t="shared" si="23"/>
        <v>0</v>
      </c>
      <c r="M26" s="83" t="s">
        <v>15</v>
      </c>
      <c r="N26" s="188">
        <f t="shared" si="24"/>
        <v>0</v>
      </c>
      <c r="S26" s="88">
        <v>488</v>
      </c>
      <c r="U26" s="152">
        <f t="shared" si="29"/>
        <v>-488</v>
      </c>
      <c r="W26" s="88">
        <v>6</v>
      </c>
      <c r="X26" s="152">
        <f t="shared" si="30"/>
        <v>-6</v>
      </c>
    </row>
    <row r="27" spans="1:24" s="88" customFormat="1" ht="20.25" customHeight="1">
      <c r="A27" s="83" t="s">
        <v>469</v>
      </c>
      <c r="B27" s="89" t="s">
        <v>538</v>
      </c>
      <c r="C27" s="295">
        <f t="shared" si="19"/>
        <v>0</v>
      </c>
      <c r="D27" s="249" t="s">
        <v>271</v>
      </c>
      <c r="E27" s="235">
        <f t="shared" si="20"/>
        <v>84</v>
      </c>
      <c r="F27" s="18">
        <f t="shared" si="28"/>
        <v>0</v>
      </c>
      <c r="G27" s="90">
        <f>ESTIMATE!I1483</f>
        <v>0</v>
      </c>
      <c r="H27" s="85" t="s">
        <v>271</v>
      </c>
      <c r="I27" s="109">
        <f>ESTIMATE!K1483</f>
        <v>84</v>
      </c>
      <c r="J27" s="18">
        <f t="shared" si="21"/>
        <v>0</v>
      </c>
      <c r="K27" s="87">
        <f t="shared" si="22"/>
        <v>0</v>
      </c>
      <c r="L27" s="87">
        <f t="shared" si="23"/>
        <v>0</v>
      </c>
      <c r="M27" s="83" t="s">
        <v>15</v>
      </c>
      <c r="N27" s="188">
        <f t="shared" si="24"/>
        <v>0</v>
      </c>
      <c r="S27" s="88">
        <v>840</v>
      </c>
      <c r="U27" s="152">
        <f t="shared" si="29"/>
        <v>-840</v>
      </c>
      <c r="W27" s="88">
        <v>12</v>
      </c>
      <c r="X27" s="152">
        <f t="shared" si="30"/>
        <v>-12</v>
      </c>
    </row>
    <row r="28" spans="1:24" s="88" customFormat="1" ht="20.25" customHeight="1">
      <c r="A28" s="83" t="s">
        <v>471</v>
      </c>
      <c r="B28" s="89" t="s">
        <v>539</v>
      </c>
      <c r="C28" s="295">
        <f t="shared" si="19"/>
        <v>0</v>
      </c>
      <c r="D28" s="249" t="s">
        <v>114</v>
      </c>
      <c r="E28" s="235">
        <f t="shared" si="20"/>
        <v>5297</v>
      </c>
      <c r="F28" s="18">
        <f t="shared" si="28"/>
        <v>0</v>
      </c>
      <c r="G28" s="90">
        <f>ESTIMATE!I1487</f>
        <v>0</v>
      </c>
      <c r="H28" s="85" t="s">
        <v>114</v>
      </c>
      <c r="I28" s="109">
        <f>ESTIMATE!K1487</f>
        <v>5297</v>
      </c>
      <c r="J28" s="18">
        <f t="shared" si="21"/>
        <v>0</v>
      </c>
      <c r="K28" s="87">
        <f t="shared" si="22"/>
        <v>0</v>
      </c>
      <c r="L28" s="87">
        <f t="shared" si="23"/>
        <v>0</v>
      </c>
      <c r="M28" s="83" t="s">
        <v>15</v>
      </c>
      <c r="N28" s="188">
        <f t="shared" si="24"/>
        <v>0</v>
      </c>
      <c r="S28" s="88">
        <v>9552</v>
      </c>
      <c r="U28" s="152">
        <f t="shared" si="29"/>
        <v>-9552</v>
      </c>
      <c r="W28" s="88">
        <v>2</v>
      </c>
      <c r="X28" s="152">
        <f t="shared" si="30"/>
        <v>-2</v>
      </c>
    </row>
    <row r="29" spans="1:24" s="88" customFormat="1" ht="20.25" customHeight="1">
      <c r="A29" s="83" t="s">
        <v>472</v>
      </c>
      <c r="B29" s="89" t="s">
        <v>619</v>
      </c>
      <c r="C29" s="295">
        <f t="shared" si="19"/>
        <v>0</v>
      </c>
      <c r="D29" s="249" t="s">
        <v>114</v>
      </c>
      <c r="E29" s="235">
        <f t="shared" si="20"/>
        <v>2025</v>
      </c>
      <c r="F29" s="18">
        <f t="shared" ref="F29" si="31">ROUND(C29*E29,0)</f>
        <v>0</v>
      </c>
      <c r="G29" s="90">
        <f>ESTIMATE!I1499</f>
        <v>0</v>
      </c>
      <c r="H29" s="85" t="s">
        <v>114</v>
      </c>
      <c r="I29" s="109">
        <f>ESTIMATE!K1499</f>
        <v>2025</v>
      </c>
      <c r="J29" s="18">
        <f t="shared" si="21"/>
        <v>0</v>
      </c>
      <c r="K29" s="87">
        <f t="shared" si="22"/>
        <v>0</v>
      </c>
      <c r="L29" s="87">
        <f t="shared" si="23"/>
        <v>0</v>
      </c>
      <c r="M29" s="83" t="s">
        <v>15</v>
      </c>
      <c r="N29" s="188">
        <f t="shared" si="24"/>
        <v>0</v>
      </c>
      <c r="S29" s="88">
        <v>3654</v>
      </c>
      <c r="U29" s="152">
        <f t="shared" si="29"/>
        <v>-3654</v>
      </c>
      <c r="W29" s="88">
        <v>2</v>
      </c>
      <c r="X29" s="152">
        <f t="shared" si="30"/>
        <v>-2</v>
      </c>
    </row>
    <row r="30" spans="1:24" s="88" customFormat="1" ht="20.25" customHeight="1">
      <c r="A30" s="83" t="s">
        <v>473</v>
      </c>
      <c r="B30" s="89" t="s">
        <v>709</v>
      </c>
      <c r="C30" s="295">
        <f t="shared" si="19"/>
        <v>0</v>
      </c>
      <c r="D30" s="249" t="s">
        <v>114</v>
      </c>
      <c r="E30" s="235">
        <f t="shared" si="20"/>
        <v>115</v>
      </c>
      <c r="F30" s="18">
        <f t="shared" ref="F30" si="32">ROUND(C30*E30,0)</f>
        <v>0</v>
      </c>
      <c r="G30" s="90">
        <f>ESTIMATE!I1502</f>
        <v>0</v>
      </c>
      <c r="H30" s="85" t="s">
        <v>114</v>
      </c>
      <c r="I30" s="109">
        <f>ESTIMATE!K1502</f>
        <v>115</v>
      </c>
      <c r="J30" s="18">
        <f t="shared" si="21"/>
        <v>0</v>
      </c>
      <c r="K30" s="87">
        <f t="shared" si="22"/>
        <v>0</v>
      </c>
      <c r="L30" s="87">
        <f t="shared" si="23"/>
        <v>0</v>
      </c>
      <c r="M30" s="83" t="s">
        <v>15</v>
      </c>
      <c r="N30" s="188">
        <f t="shared" si="24"/>
        <v>0</v>
      </c>
      <c r="S30" s="88">
        <v>230</v>
      </c>
      <c r="U30" s="152">
        <f t="shared" si="29"/>
        <v>-230</v>
      </c>
      <c r="W30" s="88">
        <v>2</v>
      </c>
      <c r="X30" s="152">
        <f t="shared" si="30"/>
        <v>-2</v>
      </c>
    </row>
    <row r="31" spans="1:24" s="88" customFormat="1" ht="20.25" customHeight="1">
      <c r="A31" s="83" t="s">
        <v>474</v>
      </c>
      <c r="B31" s="89" t="s">
        <v>624</v>
      </c>
      <c r="C31" s="295">
        <f t="shared" si="19"/>
        <v>3</v>
      </c>
      <c r="D31" s="85" t="s">
        <v>114</v>
      </c>
      <c r="E31" s="235">
        <f t="shared" si="20"/>
        <v>230.64</v>
      </c>
      <c r="F31" s="18">
        <f t="shared" ref="F31" si="33">ROUND(C31*E31,0)</f>
        <v>692</v>
      </c>
      <c r="G31" s="90">
        <f>ESTIMATE!I1566</f>
        <v>3</v>
      </c>
      <c r="H31" s="85" t="s">
        <v>114</v>
      </c>
      <c r="I31" s="109">
        <f>ESTIMATE!K1566</f>
        <v>230.64</v>
      </c>
      <c r="J31" s="18">
        <f t="shared" si="21"/>
        <v>691.92</v>
      </c>
      <c r="K31" s="87">
        <f t="shared" ref="K31:K48" si="34">IF(J31&gt;F31,J31-F31,0)</f>
        <v>0</v>
      </c>
      <c r="L31" s="87">
        <f t="shared" ref="L31:L48" si="35">IF(J31&lt;F31,F31-J31,0)</f>
        <v>8.0000000000040927E-2</v>
      </c>
      <c r="M31" s="83" t="s">
        <v>15</v>
      </c>
      <c r="N31" s="188">
        <f t="shared" ref="N31:N48" si="36">E31-I31</f>
        <v>0</v>
      </c>
      <c r="S31" s="88">
        <v>510</v>
      </c>
      <c r="U31" s="152">
        <f t="shared" si="29"/>
        <v>181.91999999999996</v>
      </c>
      <c r="W31" s="88">
        <v>3</v>
      </c>
      <c r="X31" s="152">
        <f t="shared" si="30"/>
        <v>0</v>
      </c>
    </row>
    <row r="32" spans="1:24" s="88" customFormat="1" ht="20.25" customHeight="1">
      <c r="A32" s="83" t="s">
        <v>475</v>
      </c>
      <c r="B32" s="89" t="s">
        <v>546</v>
      </c>
      <c r="C32" s="295">
        <f t="shared" ref="C32:C43" si="37">G32</f>
        <v>9</v>
      </c>
      <c r="D32" s="253" t="s">
        <v>1900</v>
      </c>
      <c r="E32" s="235">
        <f t="shared" ref="E32:E43" si="38">I32</f>
        <v>557.66</v>
      </c>
      <c r="F32" s="18">
        <f t="shared" ref="F32:F36" si="39">ROUND(C32*E32,0)</f>
        <v>5019</v>
      </c>
      <c r="G32" s="90">
        <f>ESTIMATE!I1592</f>
        <v>9</v>
      </c>
      <c r="H32" s="85" t="s">
        <v>556</v>
      </c>
      <c r="I32" s="109">
        <f>ESTIMATE!K1592</f>
        <v>557.66</v>
      </c>
      <c r="J32" s="18">
        <f t="shared" ref="J32:J43" si="40">ROUND(G32*I32,2)</f>
        <v>5018.9399999999996</v>
      </c>
      <c r="K32" s="87">
        <f t="shared" si="34"/>
        <v>0</v>
      </c>
      <c r="L32" s="87">
        <f t="shared" si="35"/>
        <v>6.0000000000400178E-2</v>
      </c>
      <c r="M32" s="83" t="s">
        <v>15</v>
      </c>
      <c r="N32" s="188">
        <f t="shared" si="36"/>
        <v>0</v>
      </c>
      <c r="S32" s="88">
        <v>29164</v>
      </c>
      <c r="U32" s="152">
        <f t="shared" si="29"/>
        <v>-24145.06</v>
      </c>
      <c r="W32" s="88">
        <v>65</v>
      </c>
      <c r="X32" s="152">
        <f t="shared" si="30"/>
        <v>-56</v>
      </c>
    </row>
    <row r="33" spans="1:24" s="88" customFormat="1" ht="20.25" customHeight="1">
      <c r="A33" s="83" t="s">
        <v>476</v>
      </c>
      <c r="B33" s="89" t="s">
        <v>546</v>
      </c>
      <c r="C33" s="295">
        <f t="shared" si="37"/>
        <v>3</v>
      </c>
      <c r="D33" s="253" t="s">
        <v>1900</v>
      </c>
      <c r="E33" s="235">
        <f t="shared" si="38"/>
        <v>582.66</v>
      </c>
      <c r="F33" s="18">
        <f t="shared" si="39"/>
        <v>1748</v>
      </c>
      <c r="G33" s="90">
        <f>ESTIMATE!I1596</f>
        <v>3</v>
      </c>
      <c r="H33" s="85" t="s">
        <v>556</v>
      </c>
      <c r="I33" s="109">
        <f>ESTIMATE!K1596</f>
        <v>582.66</v>
      </c>
      <c r="J33" s="18">
        <f t="shared" si="40"/>
        <v>1747.98</v>
      </c>
      <c r="K33" s="87">
        <f t="shared" si="34"/>
        <v>0</v>
      </c>
      <c r="L33" s="87">
        <f t="shared" si="35"/>
        <v>1.999999999998181E-2</v>
      </c>
      <c r="M33" s="83" t="s">
        <v>15</v>
      </c>
      <c r="N33" s="188">
        <f t="shared" si="36"/>
        <v>0</v>
      </c>
      <c r="S33" s="88">
        <v>0</v>
      </c>
      <c r="U33" s="152">
        <f t="shared" si="29"/>
        <v>1747.98</v>
      </c>
      <c r="W33" s="88">
        <v>0</v>
      </c>
      <c r="X33" s="152">
        <f t="shared" si="30"/>
        <v>3</v>
      </c>
    </row>
    <row r="34" spans="1:24" s="88" customFormat="1" ht="20.25" customHeight="1">
      <c r="A34" s="83" t="s">
        <v>477</v>
      </c>
      <c r="B34" s="89" t="s">
        <v>547</v>
      </c>
      <c r="C34" s="295">
        <f t="shared" si="37"/>
        <v>90</v>
      </c>
      <c r="D34" s="253" t="s">
        <v>271</v>
      </c>
      <c r="E34" s="235">
        <f t="shared" si="38"/>
        <v>100.19</v>
      </c>
      <c r="F34" s="18">
        <f t="shared" si="39"/>
        <v>9017</v>
      </c>
      <c r="G34" s="90">
        <f>ESTIMATE!I1600</f>
        <v>90</v>
      </c>
      <c r="H34" s="85" t="s">
        <v>271</v>
      </c>
      <c r="I34" s="109">
        <f>ESTIMATE!K1600</f>
        <v>100.19</v>
      </c>
      <c r="J34" s="18">
        <f t="shared" si="40"/>
        <v>9017.1</v>
      </c>
      <c r="K34" s="87">
        <f t="shared" si="34"/>
        <v>0.1000000000003638</v>
      </c>
      <c r="L34" s="87">
        <f t="shared" si="35"/>
        <v>0</v>
      </c>
      <c r="M34" s="83" t="s">
        <v>15</v>
      </c>
      <c r="N34" s="188">
        <f t="shared" si="36"/>
        <v>0</v>
      </c>
      <c r="S34" s="88">
        <v>18954</v>
      </c>
      <c r="U34" s="152">
        <f t="shared" si="29"/>
        <v>-9936.9</v>
      </c>
      <c r="W34" s="88">
        <v>291.89999999999998</v>
      </c>
      <c r="X34" s="152">
        <f t="shared" si="30"/>
        <v>-201.89999999999998</v>
      </c>
    </row>
    <row r="35" spans="1:24" s="88" customFormat="1" ht="20.25" customHeight="1">
      <c r="A35" s="83" t="s">
        <v>478</v>
      </c>
      <c r="B35" s="89" t="s">
        <v>548</v>
      </c>
      <c r="C35" s="295">
        <f t="shared" si="37"/>
        <v>0</v>
      </c>
      <c r="D35" s="253" t="s">
        <v>271</v>
      </c>
      <c r="E35" s="235">
        <f t="shared" si="38"/>
        <v>133.97</v>
      </c>
      <c r="F35" s="18">
        <f t="shared" si="39"/>
        <v>0</v>
      </c>
      <c r="G35" s="90">
        <f>ESTIMATE!I1604</f>
        <v>0</v>
      </c>
      <c r="H35" s="85" t="s">
        <v>271</v>
      </c>
      <c r="I35" s="109">
        <f>ESTIMATE!K1604</f>
        <v>133.97</v>
      </c>
      <c r="J35" s="18">
        <f t="shared" si="40"/>
        <v>0</v>
      </c>
      <c r="K35" s="87">
        <f t="shared" si="34"/>
        <v>0</v>
      </c>
      <c r="L35" s="87">
        <f t="shared" si="35"/>
        <v>0</v>
      </c>
      <c r="M35" s="83" t="s">
        <v>15</v>
      </c>
      <c r="N35" s="188">
        <f t="shared" si="36"/>
        <v>0</v>
      </c>
      <c r="S35" s="88">
        <v>3349</v>
      </c>
      <c r="U35" s="152">
        <f t="shared" si="29"/>
        <v>-3349</v>
      </c>
      <c r="W35" s="88">
        <v>33.950000000000003</v>
      </c>
      <c r="X35" s="152">
        <f t="shared" si="30"/>
        <v>-33.950000000000003</v>
      </c>
    </row>
    <row r="36" spans="1:24" s="88" customFormat="1" ht="20.25" customHeight="1">
      <c r="A36" s="83" t="s">
        <v>479</v>
      </c>
      <c r="B36" s="89" t="s">
        <v>600</v>
      </c>
      <c r="C36" s="295">
        <f t="shared" si="37"/>
        <v>3</v>
      </c>
      <c r="D36" s="195" t="s">
        <v>1901</v>
      </c>
      <c r="E36" s="235">
        <f t="shared" si="38"/>
        <v>223.82</v>
      </c>
      <c r="F36" s="18">
        <f t="shared" si="39"/>
        <v>671</v>
      </c>
      <c r="G36" s="90">
        <f>ESTIMATE!I1615</f>
        <v>3</v>
      </c>
      <c r="H36" s="85" t="s">
        <v>114</v>
      </c>
      <c r="I36" s="109">
        <f>ESTIMATE!K1615</f>
        <v>223.82</v>
      </c>
      <c r="J36" s="18">
        <f t="shared" si="40"/>
        <v>671.46</v>
      </c>
      <c r="K36" s="87">
        <f t="shared" si="34"/>
        <v>0.46000000000003638</v>
      </c>
      <c r="L36" s="87">
        <f t="shared" si="35"/>
        <v>0</v>
      </c>
      <c r="M36" s="83" t="s">
        <v>15</v>
      </c>
      <c r="N36" s="188">
        <f t="shared" si="36"/>
        <v>0</v>
      </c>
      <c r="S36" s="88">
        <v>0</v>
      </c>
      <c r="U36" s="152">
        <f t="shared" si="29"/>
        <v>671.46</v>
      </c>
      <c r="W36" s="88">
        <v>0</v>
      </c>
      <c r="X36" s="152">
        <f t="shared" si="30"/>
        <v>3</v>
      </c>
    </row>
    <row r="37" spans="1:24" s="88" customFormat="1" ht="20.25" customHeight="1">
      <c r="A37" s="83" t="s">
        <v>480</v>
      </c>
      <c r="B37" s="89" t="s">
        <v>549</v>
      </c>
      <c r="C37" s="295">
        <f t="shared" si="37"/>
        <v>3</v>
      </c>
      <c r="D37" s="253" t="s">
        <v>114</v>
      </c>
      <c r="E37" s="235">
        <f t="shared" si="38"/>
        <v>156.56</v>
      </c>
      <c r="F37" s="18">
        <f t="shared" ref="F37:F43" si="41">ROUND(C37*E37,0)</f>
        <v>470</v>
      </c>
      <c r="G37" s="90">
        <f>ESTIMATE!I1639</f>
        <v>3</v>
      </c>
      <c r="H37" s="85" t="s">
        <v>114</v>
      </c>
      <c r="I37" s="109">
        <f>ESTIMATE!K1639</f>
        <v>156.56</v>
      </c>
      <c r="J37" s="18">
        <f t="shared" si="40"/>
        <v>469.68</v>
      </c>
      <c r="K37" s="87">
        <f t="shared" si="34"/>
        <v>0</v>
      </c>
      <c r="L37" s="87">
        <f t="shared" si="35"/>
        <v>0.31999999999999318</v>
      </c>
      <c r="M37" s="83" t="s">
        <v>15</v>
      </c>
      <c r="N37" s="188">
        <f t="shared" si="36"/>
        <v>0</v>
      </c>
      <c r="S37" s="88">
        <v>7263</v>
      </c>
      <c r="U37" s="152">
        <f t="shared" si="29"/>
        <v>-6793.32</v>
      </c>
      <c r="W37" s="88">
        <v>26</v>
      </c>
      <c r="X37" s="152">
        <f t="shared" si="30"/>
        <v>-23</v>
      </c>
    </row>
    <row r="38" spans="1:24" s="88" customFormat="1" ht="20.25" customHeight="1">
      <c r="A38" s="83" t="s">
        <v>1274</v>
      </c>
      <c r="B38" s="89" t="s">
        <v>1043</v>
      </c>
      <c r="C38" s="295">
        <f t="shared" si="37"/>
        <v>0</v>
      </c>
      <c r="D38" s="195" t="s">
        <v>114</v>
      </c>
      <c r="E38" s="235">
        <f t="shared" si="38"/>
        <v>437.5</v>
      </c>
      <c r="F38" s="18">
        <f t="shared" si="41"/>
        <v>0</v>
      </c>
      <c r="G38" s="90">
        <f>ESTIMATE!I1635</f>
        <v>0</v>
      </c>
      <c r="H38" s="85" t="s">
        <v>114</v>
      </c>
      <c r="I38" s="109">
        <f>ESTIMATE!K1635</f>
        <v>437.5</v>
      </c>
      <c r="J38" s="18">
        <f t="shared" si="40"/>
        <v>0</v>
      </c>
      <c r="K38" s="87">
        <f t="shared" si="34"/>
        <v>0</v>
      </c>
      <c r="L38" s="87">
        <f t="shared" si="35"/>
        <v>0</v>
      </c>
      <c r="M38" s="83" t="s">
        <v>15</v>
      </c>
      <c r="N38" s="188">
        <f t="shared" si="36"/>
        <v>0</v>
      </c>
      <c r="S38" s="88">
        <v>7263</v>
      </c>
      <c r="U38" s="152">
        <f t="shared" si="29"/>
        <v>-7263</v>
      </c>
      <c r="W38" s="88">
        <v>26</v>
      </c>
      <c r="X38" s="152">
        <f t="shared" si="30"/>
        <v>-26</v>
      </c>
    </row>
    <row r="39" spans="1:24" s="88" customFormat="1" ht="20.25" customHeight="1">
      <c r="A39" s="83" t="s">
        <v>481</v>
      </c>
      <c r="B39" s="89" t="s">
        <v>609</v>
      </c>
      <c r="C39" s="295">
        <f t="shared" si="37"/>
        <v>3</v>
      </c>
      <c r="D39" s="195" t="s">
        <v>114</v>
      </c>
      <c r="E39" s="235">
        <f t="shared" si="38"/>
        <v>23.86</v>
      </c>
      <c r="F39" s="18">
        <f t="shared" si="41"/>
        <v>72</v>
      </c>
      <c r="G39" s="90">
        <f>ESTIMATE!I1646</f>
        <v>3</v>
      </c>
      <c r="H39" s="85" t="s">
        <v>114</v>
      </c>
      <c r="I39" s="109">
        <f>ESTIMATE!K1646</f>
        <v>23.86</v>
      </c>
      <c r="J39" s="18">
        <f t="shared" si="40"/>
        <v>71.58</v>
      </c>
      <c r="K39" s="87">
        <f t="shared" si="34"/>
        <v>0</v>
      </c>
      <c r="L39" s="87">
        <f t="shared" si="35"/>
        <v>0.42000000000000171</v>
      </c>
      <c r="M39" s="83" t="s">
        <v>15</v>
      </c>
      <c r="N39" s="188">
        <f t="shared" si="36"/>
        <v>0</v>
      </c>
      <c r="S39" s="88">
        <v>2090</v>
      </c>
      <c r="U39" s="152">
        <f t="shared" si="29"/>
        <v>-2018.42</v>
      </c>
      <c r="W39" s="88">
        <v>15</v>
      </c>
      <c r="X39" s="152">
        <f t="shared" si="30"/>
        <v>-12</v>
      </c>
    </row>
    <row r="40" spans="1:24" s="88" customFormat="1" ht="20.25" customHeight="1">
      <c r="A40" s="83" t="s">
        <v>482</v>
      </c>
      <c r="B40" s="89" t="s">
        <v>550</v>
      </c>
      <c r="C40" s="295">
        <f t="shared" si="37"/>
        <v>4</v>
      </c>
      <c r="D40" s="195" t="s">
        <v>114</v>
      </c>
      <c r="E40" s="235">
        <f t="shared" si="38"/>
        <v>154.80000000000001</v>
      </c>
      <c r="F40" s="18">
        <f t="shared" si="41"/>
        <v>619</v>
      </c>
      <c r="G40" s="90">
        <f>ESTIMATE!I1650</f>
        <v>4</v>
      </c>
      <c r="H40" s="85" t="s">
        <v>114</v>
      </c>
      <c r="I40" s="109">
        <f>ESTIMATE!K1650</f>
        <v>154.80000000000001</v>
      </c>
      <c r="J40" s="18">
        <f t="shared" si="40"/>
        <v>619.20000000000005</v>
      </c>
      <c r="K40" s="87">
        <f t="shared" si="34"/>
        <v>0.20000000000004547</v>
      </c>
      <c r="L40" s="87">
        <f t="shared" si="35"/>
        <v>0</v>
      </c>
      <c r="M40" s="83" t="s">
        <v>15</v>
      </c>
      <c r="N40" s="188">
        <f t="shared" si="36"/>
        <v>0</v>
      </c>
      <c r="S40" s="88">
        <v>1674</v>
      </c>
      <c r="U40" s="152">
        <f t="shared" si="29"/>
        <v>-1054.8</v>
      </c>
      <c r="W40" s="88">
        <v>24</v>
      </c>
      <c r="X40" s="152">
        <f t="shared" si="30"/>
        <v>-20</v>
      </c>
    </row>
    <row r="41" spans="1:24" s="88" customFormat="1" ht="20.25" customHeight="1">
      <c r="A41" s="83" t="s">
        <v>483</v>
      </c>
      <c r="B41" s="89" t="s">
        <v>551</v>
      </c>
      <c r="C41" s="295">
        <f t="shared" si="37"/>
        <v>3</v>
      </c>
      <c r="D41" s="195" t="s">
        <v>114</v>
      </c>
      <c r="E41" s="235">
        <f t="shared" si="38"/>
        <v>3780.03</v>
      </c>
      <c r="F41" s="18">
        <f t="shared" si="41"/>
        <v>11340</v>
      </c>
      <c r="G41" s="90">
        <f>ESTIMATE!I1654</f>
        <v>3</v>
      </c>
      <c r="H41" s="85" t="s">
        <v>114</v>
      </c>
      <c r="I41" s="109">
        <f>ESTIMATE!K1654</f>
        <v>3780.03</v>
      </c>
      <c r="J41" s="18">
        <f t="shared" si="40"/>
        <v>11340.09</v>
      </c>
      <c r="K41" s="87">
        <f t="shared" si="34"/>
        <v>9.0000000000145519E-2</v>
      </c>
      <c r="L41" s="87">
        <f t="shared" si="35"/>
        <v>0</v>
      </c>
      <c r="M41" s="83" t="s">
        <v>15</v>
      </c>
      <c r="N41" s="188">
        <f t="shared" si="36"/>
        <v>0</v>
      </c>
      <c r="S41" s="88">
        <v>37536</v>
      </c>
      <c r="U41" s="152">
        <f t="shared" si="29"/>
        <v>-26195.91</v>
      </c>
      <c r="W41" s="88">
        <v>16</v>
      </c>
      <c r="X41" s="152">
        <f t="shared" si="30"/>
        <v>-13</v>
      </c>
    </row>
    <row r="42" spans="1:24" s="88" customFormat="1" ht="20.25" customHeight="1">
      <c r="A42" s="83" t="s">
        <v>484</v>
      </c>
      <c r="B42" s="89" t="s">
        <v>1319</v>
      </c>
      <c r="C42" s="295">
        <f t="shared" si="37"/>
        <v>3</v>
      </c>
      <c r="D42" s="195" t="s">
        <v>114</v>
      </c>
      <c r="E42" s="235">
        <f t="shared" si="38"/>
        <v>293.83999999999997</v>
      </c>
      <c r="F42" s="18">
        <f t="shared" si="41"/>
        <v>882</v>
      </c>
      <c r="G42" s="90">
        <f>ESTIMATE!I1658</f>
        <v>3</v>
      </c>
      <c r="H42" s="85" t="s">
        <v>114</v>
      </c>
      <c r="I42" s="109">
        <f>ESTIMATE!K1658</f>
        <v>293.83999999999997</v>
      </c>
      <c r="J42" s="18">
        <f t="shared" si="40"/>
        <v>881.52</v>
      </c>
      <c r="K42" s="87">
        <f t="shared" si="34"/>
        <v>0</v>
      </c>
      <c r="L42" s="87">
        <f t="shared" si="35"/>
        <v>0.48000000000001819</v>
      </c>
      <c r="M42" s="83" t="s">
        <v>15</v>
      </c>
      <c r="N42" s="188">
        <f t="shared" si="36"/>
        <v>0</v>
      </c>
      <c r="S42" s="88">
        <v>2096</v>
      </c>
      <c r="U42" s="152">
        <f t="shared" si="29"/>
        <v>-1214.48</v>
      </c>
      <c r="W42" s="88">
        <v>16</v>
      </c>
      <c r="X42" s="152">
        <f t="shared" si="30"/>
        <v>-13</v>
      </c>
    </row>
    <row r="43" spans="1:24" s="88" customFormat="1" ht="20.25" customHeight="1">
      <c r="A43" s="83" t="s">
        <v>1275</v>
      </c>
      <c r="B43" s="89" t="s">
        <v>552</v>
      </c>
      <c r="C43" s="295">
        <f t="shared" si="37"/>
        <v>3</v>
      </c>
      <c r="D43" s="253" t="s">
        <v>114</v>
      </c>
      <c r="E43" s="235">
        <f t="shared" si="38"/>
        <v>458.87</v>
      </c>
      <c r="F43" s="18">
        <f t="shared" si="41"/>
        <v>1377</v>
      </c>
      <c r="G43" s="90">
        <f>ESTIMATE!I1689</f>
        <v>3</v>
      </c>
      <c r="H43" s="85" t="s">
        <v>114</v>
      </c>
      <c r="I43" s="109">
        <f>ESTIMATE!K1689</f>
        <v>458.87</v>
      </c>
      <c r="J43" s="18">
        <f t="shared" si="40"/>
        <v>1376.61</v>
      </c>
      <c r="K43" s="87">
        <f t="shared" si="34"/>
        <v>0</v>
      </c>
      <c r="L43" s="87">
        <f t="shared" si="35"/>
        <v>0.39000000000010004</v>
      </c>
      <c r="M43" s="83" t="s">
        <v>15</v>
      </c>
      <c r="N43" s="188">
        <f t="shared" si="36"/>
        <v>0</v>
      </c>
      <c r="S43" s="88">
        <v>12090</v>
      </c>
      <c r="U43" s="152">
        <f t="shared" si="29"/>
        <v>-10713.39</v>
      </c>
      <c r="W43" s="88">
        <v>30</v>
      </c>
      <c r="X43" s="152">
        <f t="shared" si="30"/>
        <v>-27</v>
      </c>
    </row>
    <row r="44" spans="1:24" s="88" customFormat="1" ht="20.25" customHeight="1">
      <c r="A44" s="83" t="s">
        <v>1276</v>
      </c>
      <c r="B44" s="89" t="s">
        <v>554</v>
      </c>
      <c r="C44" s="184"/>
      <c r="D44" s="189"/>
      <c r="E44" s="93"/>
      <c r="F44" s="254">
        <f>CS!J249</f>
        <v>6148</v>
      </c>
      <c r="G44" s="90"/>
      <c r="H44" s="189"/>
      <c r="I44" s="94"/>
      <c r="J44" s="188">
        <f>ESTIMATE!M1716</f>
        <v>6148</v>
      </c>
      <c r="K44" s="87">
        <f t="shared" si="34"/>
        <v>0</v>
      </c>
      <c r="L44" s="87">
        <f t="shared" si="35"/>
        <v>0</v>
      </c>
      <c r="M44" s="83" t="s">
        <v>15</v>
      </c>
      <c r="N44" s="188">
        <f t="shared" si="36"/>
        <v>0</v>
      </c>
      <c r="S44" s="88">
        <v>20301</v>
      </c>
      <c r="U44" s="152">
        <f t="shared" ref="U44:U48" si="42">J44-S44</f>
        <v>-14153</v>
      </c>
      <c r="X44" s="152">
        <f t="shared" ref="X44:X47" si="43">G44-W44</f>
        <v>0</v>
      </c>
    </row>
    <row r="45" spans="1:24" s="88" customFormat="1" ht="20.25" customHeight="1">
      <c r="A45" s="83" t="s">
        <v>1277</v>
      </c>
      <c r="B45" s="89" t="s">
        <v>1886</v>
      </c>
      <c r="C45" s="184"/>
      <c r="D45" s="189"/>
      <c r="E45" s="93"/>
      <c r="F45" s="254">
        <f>CS!J250</f>
        <v>221749</v>
      </c>
      <c r="G45" s="90"/>
      <c r="H45" s="189"/>
      <c r="I45" s="94"/>
      <c r="J45" s="188">
        <f>ESTIMATE!M1717</f>
        <v>221749</v>
      </c>
      <c r="K45" s="87">
        <f t="shared" si="34"/>
        <v>0</v>
      </c>
      <c r="L45" s="87">
        <f t="shared" si="35"/>
        <v>0</v>
      </c>
      <c r="M45" s="83" t="s">
        <v>15</v>
      </c>
      <c r="N45" s="188">
        <f t="shared" si="36"/>
        <v>0</v>
      </c>
      <c r="U45" s="152"/>
      <c r="X45" s="152"/>
    </row>
    <row r="46" spans="1:24" s="88" customFormat="1" ht="20.25" customHeight="1">
      <c r="A46" s="83" t="s">
        <v>1278</v>
      </c>
      <c r="B46" s="89" t="s">
        <v>1834</v>
      </c>
      <c r="C46" s="184"/>
      <c r="D46" s="189"/>
      <c r="E46" s="93"/>
      <c r="F46" s="254" t="e">
        <f>CS!J251</f>
        <v>#REF!</v>
      </c>
      <c r="G46" s="90"/>
      <c r="H46" s="189"/>
      <c r="I46" s="94"/>
      <c r="J46" s="188" t="e">
        <f>ESTIMATE!#REF!</f>
        <v>#REF!</v>
      </c>
      <c r="K46" s="87" t="e">
        <f t="shared" si="34"/>
        <v>#REF!</v>
      </c>
      <c r="L46" s="87" t="e">
        <f t="shared" si="35"/>
        <v>#REF!</v>
      </c>
      <c r="M46" s="83" t="s">
        <v>15</v>
      </c>
      <c r="N46" s="188">
        <f t="shared" si="36"/>
        <v>0</v>
      </c>
      <c r="U46" s="152"/>
      <c r="X46" s="152"/>
    </row>
    <row r="47" spans="1:24" s="88" customFormat="1" ht="20.25" customHeight="1">
      <c r="A47" s="83" t="s">
        <v>1279</v>
      </c>
      <c r="B47" s="89" t="s">
        <v>433</v>
      </c>
      <c r="C47" s="184"/>
      <c r="D47" s="189"/>
      <c r="E47" s="93"/>
      <c r="F47" s="254">
        <f>CS!J252</f>
        <v>2427</v>
      </c>
      <c r="G47" s="90"/>
      <c r="H47" s="189"/>
      <c r="I47" s="94"/>
      <c r="J47" s="188">
        <f>ESTIMATE!M1714</f>
        <v>2427</v>
      </c>
      <c r="K47" s="87">
        <f t="shared" si="34"/>
        <v>0</v>
      </c>
      <c r="L47" s="87">
        <f t="shared" si="35"/>
        <v>0</v>
      </c>
      <c r="M47" s="83" t="s">
        <v>15</v>
      </c>
      <c r="N47" s="188">
        <f t="shared" si="36"/>
        <v>0</v>
      </c>
      <c r="S47" s="88">
        <v>26478</v>
      </c>
      <c r="U47" s="152">
        <f t="shared" si="42"/>
        <v>-24051</v>
      </c>
      <c r="X47" s="152">
        <f t="shared" si="43"/>
        <v>0</v>
      </c>
    </row>
    <row r="48" spans="1:24" s="88" customFormat="1" ht="20.25" customHeight="1">
      <c r="A48" s="83" t="s">
        <v>486</v>
      </c>
      <c r="B48" s="89" t="s">
        <v>287</v>
      </c>
      <c r="C48" s="185"/>
      <c r="D48" s="189"/>
      <c r="E48" s="94"/>
      <c r="F48" s="294">
        <f>CS!J255</f>
        <v>40165</v>
      </c>
      <c r="G48" s="90"/>
      <c r="H48" s="189"/>
      <c r="I48" s="94"/>
      <c r="J48" s="188"/>
      <c r="K48" s="87">
        <f t="shared" si="34"/>
        <v>0</v>
      </c>
      <c r="L48" s="87">
        <f t="shared" si="35"/>
        <v>40165</v>
      </c>
      <c r="M48" s="83" t="s">
        <v>15</v>
      </c>
      <c r="N48" s="188">
        <f t="shared" si="36"/>
        <v>0</v>
      </c>
      <c r="S48" s="88">
        <v>-122011</v>
      </c>
      <c r="U48" s="152">
        <f t="shared" si="42"/>
        <v>122011</v>
      </c>
    </row>
    <row r="49" spans="1:14" s="88" customFormat="1" ht="20.25" customHeight="1">
      <c r="A49" s="83"/>
      <c r="B49" s="95"/>
      <c r="C49" s="1001" t="s">
        <v>557</v>
      </c>
      <c r="D49" s="1001"/>
      <c r="E49" s="1002"/>
      <c r="F49" s="96" t="e">
        <f>SUM(F7:F48)</f>
        <v>#REF!</v>
      </c>
      <c r="G49" s="90"/>
      <c r="H49" s="190"/>
      <c r="I49" s="83"/>
      <c r="J49" s="96" t="e">
        <f>SUM(J7:J48)</f>
        <v>#REF!</v>
      </c>
      <c r="K49" s="96" t="e">
        <f>SUM(K7:K48)</f>
        <v>#REF!</v>
      </c>
      <c r="L49" s="96" t="e">
        <f>SUM(L7:L48)</f>
        <v>#REF!</v>
      </c>
      <c r="M49" s="83"/>
    </row>
    <row r="50" spans="1:14" ht="20.25" customHeight="1">
      <c r="A50" s="83"/>
      <c r="B50" s="97"/>
      <c r="C50" s="1001" t="s">
        <v>1904</v>
      </c>
      <c r="D50" s="1001"/>
      <c r="E50" s="1002"/>
      <c r="F50" s="98" t="e">
        <f>J49</f>
        <v>#REF!</v>
      </c>
      <c r="G50" s="99"/>
      <c r="H50" s="191"/>
      <c r="I50" s="192"/>
      <c r="J50" s="193"/>
      <c r="K50" s="98"/>
      <c r="L50" s="193" t="e">
        <f>K49</f>
        <v>#REF!</v>
      </c>
      <c r="M50" s="192"/>
    </row>
    <row r="51" spans="1:14" ht="20.25" customHeight="1">
      <c r="A51" s="83"/>
      <c r="B51" s="292" t="s">
        <v>523</v>
      </c>
      <c r="C51" s="1001" t="s">
        <v>524</v>
      </c>
      <c r="D51" s="1001"/>
      <c r="E51" s="1002"/>
      <c r="F51" s="98" t="e">
        <f>F49-F50</f>
        <v>#REF!</v>
      </c>
      <c r="G51" s="99"/>
      <c r="H51" s="100"/>
      <c r="I51" s="101"/>
      <c r="J51" s="98"/>
      <c r="K51" s="193"/>
      <c r="L51" s="98" t="e">
        <f>L49-L50</f>
        <v>#REF!</v>
      </c>
      <c r="M51" s="101"/>
    </row>
    <row r="52" spans="1:14" ht="24.75" customHeight="1">
      <c r="A52" s="88"/>
      <c r="B52" s="102"/>
    </row>
    <row r="53" spans="1:14" ht="17.25" customHeight="1">
      <c r="A53" s="88"/>
      <c r="B53" s="102"/>
    </row>
    <row r="54" spans="1:14">
      <c r="A54" s="88"/>
      <c r="B54" s="102"/>
      <c r="H54" s="106" t="str">
        <f>'lead 24-25'!H32</f>
        <v>Deputy Executive Engineer</v>
      </c>
      <c r="K54" s="106" t="str">
        <f>'lead 24-25'!K32</f>
        <v>Assistant  Engineer</v>
      </c>
      <c r="L54" s="107"/>
    </row>
    <row r="55" spans="1:14">
      <c r="A55" s="88"/>
      <c r="B55" s="102"/>
      <c r="H55" s="106" t="str">
        <f>'lead 24-25'!H33</f>
        <v>PRI Sub Division</v>
      </c>
      <c r="K55" s="106" t="str">
        <f>'lead 24-25'!K33</f>
        <v>Mandal Praja parishad</v>
      </c>
    </row>
    <row r="56" spans="1:14">
      <c r="A56" s="88"/>
      <c r="B56" s="102"/>
      <c r="H56" s="106" t="str">
        <f>'lead 24-25'!H34</f>
        <v>Kanigiri</v>
      </c>
      <c r="K56" s="106" t="str">
        <f>'lead 24-25'!K34</f>
        <v>P.C.Palli</v>
      </c>
    </row>
    <row r="57" spans="1:14">
      <c r="A57" s="88"/>
      <c r="B57" s="102"/>
    </row>
    <row r="58" spans="1:14" s="103" customFormat="1">
      <c r="A58" s="88"/>
      <c r="B58" s="102"/>
      <c r="C58" s="186"/>
      <c r="D58" s="104"/>
      <c r="E58" s="108"/>
      <c r="F58" s="108"/>
      <c r="H58" s="104"/>
      <c r="I58" s="108"/>
      <c r="J58" s="108"/>
      <c r="K58" s="105"/>
      <c r="L58" s="105"/>
      <c r="M58" s="108"/>
      <c r="N58" s="108"/>
    </row>
    <row r="59" spans="1:14" s="103" customFormat="1">
      <c r="A59" s="88"/>
      <c r="B59" s="102"/>
      <c r="C59" s="186"/>
      <c r="D59" s="104"/>
      <c r="E59" s="108"/>
      <c r="F59" s="108"/>
      <c r="H59" s="104"/>
      <c r="I59" s="108"/>
      <c r="J59" s="108"/>
      <c r="K59" s="105"/>
      <c r="L59" s="105"/>
      <c r="M59" s="108"/>
      <c r="N59" s="108"/>
    </row>
    <row r="60" spans="1:14" s="103" customFormat="1">
      <c r="A60" s="88"/>
      <c r="B60" s="102"/>
      <c r="C60" s="186"/>
      <c r="D60" s="104"/>
      <c r="E60" s="108"/>
      <c r="F60" s="108"/>
      <c r="H60" s="104"/>
      <c r="I60" s="108"/>
      <c r="J60" s="108"/>
      <c r="K60" s="105"/>
      <c r="L60" s="105"/>
      <c r="M60" s="108"/>
      <c r="N60" s="108"/>
    </row>
    <row r="61" spans="1:14" s="103" customFormat="1">
      <c r="A61" s="88"/>
      <c r="B61" s="102"/>
      <c r="C61" s="186"/>
      <c r="D61" s="104"/>
      <c r="E61" s="108"/>
      <c r="F61" s="108"/>
      <c r="H61" s="104"/>
      <c r="I61" s="108"/>
      <c r="J61" s="108"/>
      <c r="K61" s="105"/>
      <c r="L61" s="105"/>
      <c r="M61" s="108"/>
      <c r="N61" s="108"/>
    </row>
    <row r="62" spans="1:14" s="103" customFormat="1">
      <c r="A62" s="88"/>
      <c r="B62" s="108"/>
      <c r="C62" s="186"/>
      <c r="D62" s="104"/>
      <c r="E62" s="108"/>
      <c r="F62" s="108"/>
      <c r="H62" s="104"/>
      <c r="I62" s="108"/>
      <c r="J62" s="108"/>
      <c r="K62" s="105"/>
      <c r="L62" s="105"/>
      <c r="M62" s="108"/>
      <c r="N62" s="108"/>
    </row>
    <row r="63" spans="1:14" s="103" customFormat="1">
      <c r="A63" s="88"/>
      <c r="B63" s="108"/>
      <c r="C63" s="186"/>
      <c r="D63" s="104"/>
      <c r="E63" s="108"/>
      <c r="F63" s="108"/>
      <c r="H63" s="104"/>
      <c r="I63" s="108"/>
      <c r="J63" s="108"/>
      <c r="K63" s="105"/>
      <c r="L63" s="105"/>
      <c r="M63" s="108"/>
      <c r="N63" s="108"/>
    </row>
    <row r="64" spans="1:14" s="103" customFormat="1">
      <c r="A64" s="88"/>
      <c r="B64" s="108"/>
      <c r="C64" s="186"/>
      <c r="D64" s="104"/>
      <c r="E64" s="108"/>
      <c r="F64" s="108"/>
      <c r="H64" s="104"/>
      <c r="I64" s="108"/>
      <c r="J64" s="108"/>
      <c r="K64" s="105"/>
      <c r="L64" s="105"/>
      <c r="M64" s="108"/>
      <c r="N64" s="108"/>
    </row>
    <row r="65" spans="1:14" s="103" customFormat="1">
      <c r="A65" s="88"/>
      <c r="B65" s="108"/>
      <c r="C65" s="186"/>
      <c r="D65" s="104"/>
      <c r="E65" s="108"/>
      <c r="F65" s="108"/>
      <c r="H65" s="104"/>
      <c r="I65" s="108"/>
      <c r="J65" s="108"/>
      <c r="K65" s="105"/>
      <c r="L65" s="105"/>
      <c r="M65" s="108"/>
      <c r="N65" s="108"/>
    </row>
    <row r="66" spans="1:14" s="103" customFormat="1">
      <c r="A66" s="88"/>
      <c r="B66" s="108"/>
      <c r="C66" s="186"/>
      <c r="D66" s="104"/>
      <c r="E66" s="108"/>
      <c r="F66" s="108"/>
      <c r="H66" s="104"/>
      <c r="I66" s="108"/>
      <c r="J66" s="108"/>
      <c r="K66" s="105"/>
      <c r="L66" s="105"/>
      <c r="M66" s="108"/>
      <c r="N66" s="108"/>
    </row>
    <row r="67" spans="1:14" s="103" customFormat="1">
      <c r="A67" s="88"/>
      <c r="B67" s="108"/>
      <c r="C67" s="186"/>
      <c r="D67" s="104"/>
      <c r="E67" s="108"/>
      <c r="F67" s="108"/>
      <c r="H67" s="104"/>
      <c r="I67" s="108"/>
      <c r="J67" s="108"/>
      <c r="K67" s="105"/>
      <c r="L67" s="105"/>
      <c r="M67" s="108"/>
      <c r="N67" s="108"/>
    </row>
    <row r="68" spans="1:14" s="103" customFormat="1">
      <c r="A68" s="88"/>
      <c r="B68" s="108"/>
      <c r="C68" s="186"/>
      <c r="D68" s="104"/>
      <c r="E68" s="108"/>
      <c r="F68" s="108"/>
      <c r="H68" s="104"/>
      <c r="I68" s="108"/>
      <c r="J68" s="108"/>
      <c r="K68" s="105"/>
      <c r="L68" s="105"/>
      <c r="M68" s="108"/>
      <c r="N68" s="108"/>
    </row>
    <row r="69" spans="1:14" s="103" customFormat="1">
      <c r="A69" s="88"/>
      <c r="B69" s="108"/>
      <c r="C69" s="186"/>
      <c r="D69" s="104"/>
      <c r="E69" s="108"/>
      <c r="F69" s="108"/>
      <c r="H69" s="104"/>
      <c r="I69" s="108"/>
      <c r="J69" s="108"/>
      <c r="K69" s="105"/>
      <c r="L69" s="105"/>
      <c r="M69" s="108"/>
      <c r="N69" s="108"/>
    </row>
    <row r="70" spans="1:14" s="103" customFormat="1">
      <c r="A70" s="88"/>
      <c r="B70" s="108"/>
      <c r="C70" s="186"/>
      <c r="D70" s="104"/>
      <c r="E70" s="108"/>
      <c r="F70" s="108"/>
      <c r="H70" s="104"/>
      <c r="I70" s="108"/>
      <c r="J70" s="108"/>
      <c r="K70" s="105"/>
      <c r="L70" s="105"/>
      <c r="M70" s="108"/>
      <c r="N70" s="108"/>
    </row>
    <row r="71" spans="1:14" s="103" customFormat="1">
      <c r="A71" s="88"/>
      <c r="B71" s="108"/>
      <c r="C71" s="186"/>
      <c r="D71" s="104"/>
      <c r="E71" s="108"/>
      <c r="F71" s="108"/>
      <c r="H71" s="104"/>
      <c r="I71" s="108"/>
      <c r="J71" s="108"/>
      <c r="K71" s="105"/>
      <c r="L71" s="105"/>
      <c r="M71" s="108"/>
      <c r="N71" s="108"/>
    </row>
    <row r="72" spans="1:14" s="103" customFormat="1">
      <c r="A72" s="88"/>
      <c r="B72" s="108"/>
      <c r="C72" s="186"/>
      <c r="D72" s="104"/>
      <c r="E72" s="108"/>
      <c r="F72" s="108"/>
      <c r="H72" s="104"/>
      <c r="I72" s="108"/>
      <c r="J72" s="108"/>
      <c r="K72" s="105"/>
      <c r="L72" s="105"/>
      <c r="M72" s="108"/>
      <c r="N72" s="108"/>
    </row>
    <row r="73" spans="1:14" s="103" customFormat="1">
      <c r="A73" s="88"/>
      <c r="B73" s="108"/>
      <c r="C73" s="186"/>
      <c r="D73" s="104"/>
      <c r="E73" s="108"/>
      <c r="F73" s="108"/>
      <c r="H73" s="104"/>
      <c r="I73" s="108"/>
      <c r="J73" s="108"/>
      <c r="K73" s="105"/>
      <c r="L73" s="105"/>
      <c r="M73" s="108"/>
      <c r="N73" s="108"/>
    </row>
    <row r="74" spans="1:14">
      <c r="A74" s="88"/>
    </row>
    <row r="75" spans="1:14">
      <c r="A75" s="88"/>
    </row>
    <row r="76" spans="1:14">
      <c r="A76" s="88"/>
    </row>
    <row r="77" spans="1:14">
      <c r="A77" s="88"/>
    </row>
    <row r="78" spans="1:14">
      <c r="A78" s="88"/>
    </row>
    <row r="79" spans="1:14">
      <c r="A79" s="88"/>
    </row>
    <row r="80" spans="1:14">
      <c r="A80" s="88"/>
    </row>
    <row r="81" spans="1:12">
      <c r="A81" s="88"/>
    </row>
    <row r="82" spans="1:12">
      <c r="A82" s="88"/>
      <c r="C82" s="187"/>
      <c r="G82" s="108"/>
      <c r="H82" s="108"/>
      <c r="K82" s="108"/>
      <c r="L82" s="108"/>
    </row>
    <row r="83" spans="1:12">
      <c r="A83" s="88"/>
      <c r="C83" s="187"/>
      <c r="G83" s="108"/>
      <c r="H83" s="108"/>
      <c r="K83" s="108"/>
      <c r="L83" s="108"/>
    </row>
    <row r="84" spans="1:12">
      <c r="A84" s="88"/>
      <c r="C84" s="187"/>
      <c r="G84" s="108"/>
      <c r="H84" s="108"/>
      <c r="K84" s="108"/>
      <c r="L84" s="108"/>
    </row>
    <row r="85" spans="1:12">
      <c r="A85" s="88"/>
      <c r="C85" s="187"/>
      <c r="G85" s="108"/>
      <c r="H85" s="108"/>
      <c r="K85" s="108"/>
      <c r="L85" s="108"/>
    </row>
    <row r="86" spans="1:12">
      <c r="A86" s="88"/>
      <c r="C86" s="187"/>
      <c r="G86" s="108"/>
      <c r="H86" s="108"/>
      <c r="K86" s="108"/>
      <c r="L86" s="108"/>
    </row>
    <row r="87" spans="1:12">
      <c r="A87" s="88"/>
      <c r="C87" s="187"/>
      <c r="G87" s="108"/>
      <c r="H87" s="108"/>
      <c r="K87" s="108"/>
      <c r="L87" s="108"/>
    </row>
    <row r="88" spans="1:12">
      <c r="A88" s="88"/>
      <c r="C88" s="187"/>
      <c r="G88" s="108"/>
      <c r="H88" s="108"/>
      <c r="K88" s="108"/>
      <c r="L88" s="108"/>
    </row>
    <row r="89" spans="1:12">
      <c r="A89" s="88"/>
      <c r="C89" s="187"/>
      <c r="G89" s="108"/>
      <c r="H89" s="108"/>
      <c r="K89" s="108"/>
      <c r="L89" s="108"/>
    </row>
    <row r="90" spans="1:12">
      <c r="A90" s="88"/>
      <c r="C90" s="187"/>
      <c r="G90" s="108"/>
      <c r="H90" s="108"/>
      <c r="K90" s="108"/>
      <c r="L90" s="108"/>
    </row>
    <row r="91" spans="1:12">
      <c r="A91" s="88"/>
      <c r="C91" s="187"/>
      <c r="G91" s="108"/>
      <c r="H91" s="108"/>
      <c r="K91" s="108"/>
      <c r="L91" s="108"/>
    </row>
    <row r="92" spans="1:12">
      <c r="A92" s="88"/>
      <c r="C92" s="187"/>
      <c r="G92" s="108"/>
      <c r="H92" s="108"/>
      <c r="K92" s="108"/>
      <c r="L92" s="108"/>
    </row>
    <row r="93" spans="1:12">
      <c r="A93" s="88"/>
      <c r="C93" s="187"/>
      <c r="G93" s="108"/>
      <c r="H93" s="108"/>
      <c r="K93" s="108"/>
      <c r="L93" s="108"/>
    </row>
    <row r="94" spans="1:12">
      <c r="A94" s="88"/>
      <c r="C94" s="187"/>
      <c r="G94" s="108"/>
      <c r="H94" s="108"/>
      <c r="K94" s="108"/>
      <c r="L94" s="108"/>
    </row>
    <row r="95" spans="1:12">
      <c r="A95" s="88"/>
      <c r="C95" s="187"/>
      <c r="G95" s="108"/>
      <c r="H95" s="108"/>
      <c r="K95" s="108"/>
      <c r="L95" s="108"/>
    </row>
    <row r="96" spans="1:12">
      <c r="A96" s="88"/>
      <c r="C96" s="187"/>
      <c r="G96" s="108"/>
      <c r="H96" s="108"/>
      <c r="K96" s="108"/>
      <c r="L96" s="108"/>
    </row>
    <row r="97" spans="1:12">
      <c r="A97" s="88"/>
      <c r="C97" s="187"/>
      <c r="G97" s="108"/>
      <c r="H97" s="108"/>
      <c r="K97" s="108"/>
      <c r="L97" s="108"/>
    </row>
    <row r="98" spans="1:12">
      <c r="A98" s="88"/>
      <c r="C98" s="187"/>
      <c r="G98" s="108"/>
      <c r="H98" s="108"/>
      <c r="K98" s="108"/>
      <c r="L98" s="108"/>
    </row>
    <row r="99" spans="1:12">
      <c r="A99" s="88"/>
      <c r="C99" s="187"/>
      <c r="G99" s="108"/>
      <c r="H99" s="108"/>
      <c r="K99" s="108"/>
      <c r="L99" s="108"/>
    </row>
    <row r="100" spans="1:12">
      <c r="A100" s="88"/>
      <c r="C100" s="187"/>
      <c r="G100" s="108"/>
      <c r="H100" s="108"/>
      <c r="K100" s="108"/>
      <c r="L100" s="108"/>
    </row>
    <row r="101" spans="1:12">
      <c r="A101" s="88"/>
      <c r="C101" s="187"/>
      <c r="G101" s="108"/>
      <c r="H101" s="108"/>
      <c r="K101" s="108"/>
      <c r="L101" s="108"/>
    </row>
    <row r="102" spans="1:12">
      <c r="A102" s="88"/>
      <c r="C102" s="187"/>
      <c r="G102" s="108"/>
      <c r="H102" s="108"/>
      <c r="K102" s="108"/>
      <c r="L102" s="108"/>
    </row>
    <row r="103" spans="1:12">
      <c r="A103" s="88"/>
      <c r="C103" s="187"/>
      <c r="G103" s="108"/>
      <c r="H103" s="108"/>
      <c r="K103" s="108"/>
      <c r="L103" s="108"/>
    </row>
    <row r="104" spans="1:12">
      <c r="A104" s="88"/>
      <c r="C104" s="187"/>
      <c r="G104" s="108"/>
      <c r="H104" s="108"/>
      <c r="K104" s="108"/>
      <c r="L104" s="108"/>
    </row>
    <row r="105" spans="1:12">
      <c r="A105" s="88"/>
      <c r="C105" s="187"/>
      <c r="G105" s="108"/>
      <c r="H105" s="108"/>
      <c r="K105" s="108"/>
      <c r="L105" s="108"/>
    </row>
    <row r="106" spans="1:12">
      <c r="A106" s="88"/>
      <c r="C106" s="187"/>
      <c r="G106" s="108"/>
      <c r="H106" s="108"/>
      <c r="K106" s="108"/>
      <c r="L106" s="108"/>
    </row>
    <row r="107" spans="1:12">
      <c r="A107" s="88"/>
      <c r="C107" s="187"/>
      <c r="G107" s="108"/>
      <c r="H107" s="108"/>
      <c r="K107" s="108"/>
      <c r="L107" s="108"/>
    </row>
    <row r="108" spans="1:12">
      <c r="A108" s="88"/>
      <c r="C108" s="187"/>
      <c r="G108" s="108"/>
      <c r="H108" s="108"/>
      <c r="K108" s="108"/>
      <c r="L108" s="108"/>
    </row>
    <row r="109" spans="1:12">
      <c r="A109" s="88"/>
      <c r="C109" s="187"/>
      <c r="G109" s="108"/>
      <c r="H109" s="108"/>
      <c r="K109" s="108"/>
      <c r="L109" s="108"/>
    </row>
    <row r="110" spans="1:12">
      <c r="A110" s="88"/>
      <c r="C110" s="187"/>
      <c r="G110" s="108"/>
      <c r="H110" s="108"/>
      <c r="K110" s="108"/>
      <c r="L110" s="108"/>
    </row>
    <row r="111" spans="1:12">
      <c r="A111" s="88"/>
      <c r="C111" s="187"/>
      <c r="G111" s="108"/>
      <c r="H111" s="108"/>
      <c r="K111" s="108"/>
      <c r="L111" s="108"/>
    </row>
    <row r="112" spans="1:12">
      <c r="A112" s="88"/>
      <c r="C112" s="187"/>
      <c r="G112" s="108"/>
      <c r="H112" s="108"/>
      <c r="K112" s="108"/>
      <c r="L112" s="108"/>
    </row>
    <row r="113" spans="1:12">
      <c r="A113" s="88"/>
      <c r="C113" s="187"/>
      <c r="G113" s="108"/>
      <c r="H113" s="108"/>
      <c r="K113" s="108"/>
      <c r="L113" s="108"/>
    </row>
    <row r="114" spans="1:12">
      <c r="A114" s="88"/>
      <c r="C114" s="187"/>
      <c r="G114" s="108"/>
      <c r="H114" s="108"/>
      <c r="K114" s="108"/>
      <c r="L114" s="108"/>
    </row>
    <row r="115" spans="1:12">
      <c r="A115" s="88"/>
      <c r="C115" s="187"/>
      <c r="G115" s="108"/>
      <c r="H115" s="108"/>
      <c r="K115" s="108"/>
      <c r="L115" s="108"/>
    </row>
    <row r="116" spans="1:12">
      <c r="A116" s="88"/>
      <c r="C116" s="187"/>
      <c r="G116" s="108"/>
      <c r="H116" s="108"/>
      <c r="K116" s="108"/>
      <c r="L116" s="108"/>
    </row>
    <row r="117" spans="1:12">
      <c r="A117" s="88"/>
      <c r="C117" s="187"/>
      <c r="G117" s="108"/>
      <c r="H117" s="108"/>
      <c r="K117" s="108"/>
      <c r="L117" s="108"/>
    </row>
    <row r="118" spans="1:12">
      <c r="A118" s="88"/>
      <c r="C118" s="187"/>
      <c r="G118" s="108"/>
      <c r="H118" s="108"/>
      <c r="K118" s="108"/>
      <c r="L118" s="108"/>
    </row>
    <row r="119" spans="1:12">
      <c r="A119" s="88"/>
      <c r="C119" s="187"/>
      <c r="G119" s="108"/>
      <c r="H119" s="108"/>
      <c r="K119" s="108"/>
      <c r="L119" s="108"/>
    </row>
    <row r="120" spans="1:12">
      <c r="A120" s="88"/>
      <c r="C120" s="187"/>
      <c r="G120" s="108"/>
      <c r="H120" s="108"/>
      <c r="K120" s="108"/>
      <c r="L120" s="108"/>
    </row>
    <row r="121" spans="1:12">
      <c r="A121" s="88"/>
      <c r="C121" s="187"/>
      <c r="G121" s="108"/>
      <c r="H121" s="108"/>
      <c r="K121" s="108"/>
      <c r="L121" s="108"/>
    </row>
    <row r="122" spans="1:12">
      <c r="A122" s="88"/>
      <c r="C122" s="187"/>
      <c r="G122" s="108"/>
      <c r="H122" s="108"/>
      <c r="K122" s="108"/>
      <c r="L122" s="108"/>
    </row>
    <row r="123" spans="1:12">
      <c r="A123" s="88"/>
      <c r="C123" s="187"/>
      <c r="G123" s="108"/>
      <c r="H123" s="108"/>
      <c r="K123" s="108"/>
      <c r="L123" s="108"/>
    </row>
    <row r="124" spans="1:12">
      <c r="A124" s="88"/>
      <c r="C124" s="187"/>
      <c r="G124" s="108"/>
      <c r="H124" s="108"/>
      <c r="K124" s="108"/>
      <c r="L124" s="108"/>
    </row>
    <row r="125" spans="1:12">
      <c r="A125" s="88"/>
      <c r="C125" s="187"/>
      <c r="G125" s="108"/>
      <c r="H125" s="108"/>
      <c r="K125" s="108"/>
      <c r="L125" s="108"/>
    </row>
    <row r="126" spans="1:12">
      <c r="A126" s="88"/>
      <c r="C126" s="187"/>
      <c r="G126" s="108"/>
      <c r="H126" s="108"/>
      <c r="K126" s="108"/>
      <c r="L126" s="108"/>
    </row>
    <row r="127" spans="1:12">
      <c r="A127" s="88"/>
      <c r="C127" s="187"/>
      <c r="G127" s="108"/>
      <c r="H127" s="108"/>
      <c r="K127" s="108"/>
      <c r="L127" s="108"/>
    </row>
    <row r="128" spans="1:12">
      <c r="A128" s="88"/>
      <c r="C128" s="187"/>
      <c r="G128" s="108"/>
      <c r="H128" s="108"/>
      <c r="K128" s="108"/>
      <c r="L128" s="108"/>
    </row>
    <row r="129" spans="1:12">
      <c r="A129" s="88"/>
      <c r="C129" s="187"/>
      <c r="G129" s="108"/>
      <c r="H129" s="108"/>
      <c r="K129" s="108"/>
      <c r="L129" s="108"/>
    </row>
    <row r="130" spans="1:12">
      <c r="A130" s="88"/>
      <c r="C130" s="187"/>
      <c r="G130" s="108"/>
      <c r="H130" s="108"/>
      <c r="K130" s="108"/>
      <c r="L130" s="108"/>
    </row>
    <row r="131" spans="1:12">
      <c r="A131" s="88"/>
      <c r="C131" s="187"/>
      <c r="G131" s="108"/>
      <c r="H131" s="108"/>
      <c r="K131" s="108"/>
      <c r="L131" s="108"/>
    </row>
    <row r="132" spans="1:12">
      <c r="A132" s="88"/>
      <c r="C132" s="187"/>
      <c r="G132" s="108"/>
      <c r="H132" s="108"/>
      <c r="K132" s="108"/>
      <c r="L132" s="108"/>
    </row>
    <row r="133" spans="1:12">
      <c r="A133" s="88"/>
      <c r="C133" s="187"/>
      <c r="G133" s="108"/>
      <c r="H133" s="108"/>
      <c r="K133" s="108"/>
      <c r="L133" s="108"/>
    </row>
    <row r="134" spans="1:12">
      <c r="A134" s="88"/>
      <c r="C134" s="187"/>
      <c r="G134" s="108"/>
      <c r="H134" s="108"/>
      <c r="K134" s="108"/>
      <c r="L134" s="108"/>
    </row>
    <row r="135" spans="1:12">
      <c r="A135" s="88"/>
      <c r="C135" s="187"/>
      <c r="G135" s="108"/>
      <c r="H135" s="108"/>
      <c r="K135" s="108"/>
      <c r="L135" s="108"/>
    </row>
    <row r="136" spans="1:12">
      <c r="A136" s="88"/>
      <c r="C136" s="187"/>
      <c r="G136" s="108"/>
      <c r="H136" s="108"/>
      <c r="K136" s="108"/>
      <c r="L136" s="108"/>
    </row>
    <row r="137" spans="1:12">
      <c r="A137" s="88"/>
      <c r="C137" s="187"/>
      <c r="G137" s="108"/>
      <c r="H137" s="108"/>
      <c r="K137" s="108"/>
      <c r="L137" s="108"/>
    </row>
    <row r="138" spans="1:12">
      <c r="A138" s="88"/>
      <c r="C138" s="187"/>
      <c r="G138" s="108"/>
      <c r="H138" s="108"/>
      <c r="K138" s="108"/>
      <c r="L138" s="108"/>
    </row>
    <row r="139" spans="1:12">
      <c r="A139" s="88"/>
      <c r="C139" s="187"/>
      <c r="G139" s="108"/>
      <c r="H139" s="108"/>
      <c r="K139" s="108"/>
      <c r="L139" s="108"/>
    </row>
    <row r="140" spans="1:12">
      <c r="A140" s="88"/>
      <c r="C140" s="187"/>
      <c r="G140" s="108"/>
      <c r="H140" s="108"/>
      <c r="K140" s="108"/>
      <c r="L140" s="108"/>
    </row>
    <row r="141" spans="1:12">
      <c r="A141" s="88"/>
      <c r="C141" s="187"/>
      <c r="G141" s="108"/>
      <c r="H141" s="108"/>
      <c r="K141" s="108"/>
      <c r="L141" s="108"/>
    </row>
    <row r="142" spans="1:12">
      <c r="A142" s="88"/>
      <c r="C142" s="187"/>
      <c r="G142" s="108"/>
      <c r="H142" s="108"/>
      <c r="K142" s="108"/>
      <c r="L142" s="108"/>
    </row>
    <row r="143" spans="1:12">
      <c r="A143" s="88"/>
      <c r="C143" s="187"/>
      <c r="G143" s="108"/>
      <c r="H143" s="108"/>
      <c r="K143" s="108"/>
      <c r="L143" s="108"/>
    </row>
    <row r="144" spans="1:12">
      <c r="A144" s="88"/>
      <c r="C144" s="187"/>
      <c r="G144" s="108"/>
      <c r="H144" s="108"/>
      <c r="K144" s="108"/>
      <c r="L144" s="108"/>
    </row>
    <row r="145" spans="1:12">
      <c r="A145" s="88"/>
      <c r="C145" s="187"/>
      <c r="G145" s="108"/>
      <c r="H145" s="108"/>
      <c r="K145" s="108"/>
      <c r="L145" s="108"/>
    </row>
    <row r="146" spans="1:12">
      <c r="A146" s="88"/>
      <c r="C146" s="187"/>
      <c r="G146" s="108"/>
      <c r="H146" s="108"/>
      <c r="K146" s="108"/>
      <c r="L146" s="108"/>
    </row>
    <row r="147" spans="1:12">
      <c r="A147" s="88"/>
      <c r="C147" s="187"/>
      <c r="G147" s="108"/>
      <c r="H147" s="108"/>
      <c r="K147" s="108"/>
      <c r="L147" s="108"/>
    </row>
    <row r="148" spans="1:12">
      <c r="A148" s="88"/>
      <c r="C148" s="187"/>
      <c r="G148" s="108"/>
      <c r="H148" s="108"/>
      <c r="K148" s="108"/>
      <c r="L148" s="108"/>
    </row>
    <row r="149" spans="1:12">
      <c r="A149" s="88"/>
      <c r="C149" s="187"/>
      <c r="G149" s="108"/>
      <c r="H149" s="108"/>
      <c r="K149" s="108"/>
      <c r="L149" s="108"/>
    </row>
    <row r="150" spans="1:12">
      <c r="A150" s="88"/>
      <c r="C150" s="187"/>
      <c r="G150" s="108"/>
      <c r="H150" s="108"/>
      <c r="K150" s="108"/>
      <c r="L150" s="108"/>
    </row>
    <row r="151" spans="1:12">
      <c r="A151" s="88"/>
      <c r="C151" s="187"/>
      <c r="G151" s="108"/>
      <c r="H151" s="108"/>
      <c r="K151" s="108"/>
      <c r="L151" s="108"/>
    </row>
    <row r="152" spans="1:12">
      <c r="A152" s="88"/>
      <c r="C152" s="187"/>
      <c r="G152" s="108"/>
      <c r="H152" s="108"/>
      <c r="K152" s="108"/>
      <c r="L152" s="108"/>
    </row>
    <row r="153" spans="1:12">
      <c r="A153" s="88"/>
      <c r="C153" s="187"/>
      <c r="G153" s="108"/>
      <c r="H153" s="108"/>
      <c r="K153" s="108"/>
      <c r="L153" s="108"/>
    </row>
    <row r="154" spans="1:12">
      <c r="A154" s="88"/>
      <c r="C154" s="187"/>
      <c r="G154" s="108"/>
      <c r="H154" s="108"/>
      <c r="K154" s="108"/>
      <c r="L154" s="108"/>
    </row>
    <row r="155" spans="1:12">
      <c r="A155" s="88"/>
      <c r="C155" s="187"/>
      <c r="G155" s="108"/>
      <c r="H155" s="108"/>
      <c r="K155" s="108"/>
      <c r="L155" s="108"/>
    </row>
    <row r="156" spans="1:12">
      <c r="A156" s="88"/>
      <c r="C156" s="187"/>
      <c r="G156" s="108"/>
      <c r="H156" s="108"/>
      <c r="K156" s="108"/>
      <c r="L156" s="108"/>
    </row>
    <row r="157" spans="1:12">
      <c r="A157" s="88"/>
      <c r="C157" s="187"/>
      <c r="G157" s="108"/>
      <c r="H157" s="108"/>
      <c r="K157" s="108"/>
      <c r="L157" s="108"/>
    </row>
    <row r="158" spans="1:12">
      <c r="A158" s="88"/>
      <c r="C158" s="187"/>
      <c r="G158" s="108"/>
      <c r="H158" s="108"/>
      <c r="K158" s="108"/>
      <c r="L158" s="108"/>
    </row>
    <row r="159" spans="1:12">
      <c r="A159" s="88"/>
      <c r="C159" s="187"/>
      <c r="G159" s="108"/>
      <c r="H159" s="108"/>
      <c r="K159" s="108"/>
      <c r="L159" s="108"/>
    </row>
    <row r="160" spans="1:12">
      <c r="A160" s="88"/>
      <c r="C160" s="187"/>
      <c r="G160" s="108"/>
      <c r="H160" s="108"/>
      <c r="K160" s="108"/>
      <c r="L160" s="108"/>
    </row>
    <row r="161" spans="1:12">
      <c r="A161" s="88"/>
      <c r="C161" s="187"/>
      <c r="G161" s="108"/>
      <c r="H161" s="108"/>
      <c r="K161" s="108"/>
      <c r="L161" s="108"/>
    </row>
    <row r="162" spans="1:12">
      <c r="A162" s="88"/>
      <c r="C162" s="187"/>
      <c r="G162" s="108"/>
      <c r="H162" s="108"/>
      <c r="K162" s="108"/>
      <c r="L162" s="108"/>
    </row>
    <row r="163" spans="1:12">
      <c r="A163" s="88"/>
      <c r="C163" s="187"/>
      <c r="G163" s="108"/>
      <c r="H163" s="108"/>
      <c r="K163" s="108"/>
      <c r="L163" s="108"/>
    </row>
    <row r="164" spans="1:12">
      <c r="A164" s="88"/>
      <c r="C164" s="187"/>
      <c r="G164" s="108"/>
      <c r="H164" s="108"/>
      <c r="K164" s="108"/>
      <c r="L164" s="108"/>
    </row>
  </sheetData>
  <mergeCells count="16">
    <mergeCell ref="C51:E51"/>
    <mergeCell ref="A1:M1"/>
    <mergeCell ref="A2:M2"/>
    <mergeCell ref="K3:M3"/>
    <mergeCell ref="A4:A5"/>
    <mergeCell ref="B4:B5"/>
    <mergeCell ref="C4:F4"/>
    <mergeCell ref="G4:J4"/>
    <mergeCell ref="K4:L4"/>
    <mergeCell ref="M4:M5"/>
    <mergeCell ref="C5:D5"/>
    <mergeCell ref="G5:H5"/>
    <mergeCell ref="C6:D6"/>
    <mergeCell ref="G6:H6"/>
    <mergeCell ref="C49:E49"/>
    <mergeCell ref="C50:E50"/>
  </mergeCells>
  <printOptions horizontalCentered="1"/>
  <pageMargins left="0.23622047244094499" right="0.15748031496063" top="0.25" bottom="0.34" header="0.22" footer="0.23622047244094499"/>
  <pageSetup paperSize="9" orientation="landscape" errors="blank" r:id="rId1"/>
  <headerFooter alignWithMargins="0"/>
  <rowBreaks count="1" manualBreakCount="1">
    <brk id="46" max="12"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G27"/>
  <sheetViews>
    <sheetView view="pageBreakPreview" zoomScale="115" zoomScaleNormal="115" zoomScaleSheetLayoutView="115" workbookViewId="0">
      <selection activeCell="B6" sqref="B6:C6"/>
    </sheetView>
  </sheetViews>
  <sheetFormatPr defaultRowHeight="12.75"/>
  <cols>
    <col min="1" max="1" width="3.28515625" style="300" customWidth="1"/>
    <col min="2" max="2" width="17.7109375" style="301" customWidth="1"/>
    <col min="3" max="3" width="17.85546875" style="301" customWidth="1"/>
    <col min="4" max="4" width="6" style="301" customWidth="1"/>
    <col min="5" max="5" width="21.5703125" style="301" customWidth="1"/>
    <col min="6" max="6" width="14.140625" style="301" customWidth="1"/>
    <col min="7" max="7" width="10.140625" style="301" customWidth="1"/>
    <col min="8" max="8" width="9.7109375" style="301" bestFit="1" customWidth="1"/>
    <col min="9" max="16384" width="9.140625" style="301"/>
  </cols>
  <sheetData>
    <row r="1" spans="1:7" ht="14.25" customHeight="1">
      <c r="A1" s="1022" t="s">
        <v>2067</v>
      </c>
      <c r="B1" s="1022"/>
      <c r="C1" s="1022"/>
      <c r="D1" s="1022"/>
      <c r="E1" s="1022"/>
      <c r="F1" s="1022"/>
      <c r="G1" s="1022"/>
    </row>
    <row r="2" spans="1:7" ht="14.25" customHeight="1">
      <c r="A2" s="302"/>
      <c r="B2" s="302"/>
      <c r="C2" s="302"/>
      <c r="D2" s="302"/>
      <c r="E2" s="302"/>
      <c r="F2" s="302"/>
      <c r="G2" s="302"/>
    </row>
    <row r="3" spans="1:7" s="307" customFormat="1" ht="28.5" customHeight="1">
      <c r="A3" s="437"/>
      <c r="B3" s="1023" t="s">
        <v>2083</v>
      </c>
      <c r="C3" s="1023"/>
      <c r="D3" s="438"/>
      <c r="E3" s="439" t="s">
        <v>2082</v>
      </c>
      <c r="F3" s="438"/>
      <c r="G3" s="440"/>
    </row>
    <row r="4" spans="1:7" s="307" customFormat="1" ht="28.5" customHeight="1">
      <c r="A4" s="309">
        <v>1</v>
      </c>
      <c r="B4" s="1017" t="s">
        <v>2068</v>
      </c>
      <c r="C4" s="1024"/>
      <c r="D4" s="310" t="s">
        <v>253</v>
      </c>
      <c r="E4" s="1019" t="s">
        <v>2084</v>
      </c>
      <c r="F4" s="1020"/>
      <c r="G4" s="1021"/>
    </row>
    <row r="5" spans="1:7" s="307" customFormat="1" ht="27" customHeight="1">
      <c r="A5" s="309">
        <v>2</v>
      </c>
      <c r="B5" s="1017" t="s">
        <v>2069</v>
      </c>
      <c r="C5" s="1018"/>
      <c r="D5" s="310" t="s">
        <v>253</v>
      </c>
      <c r="E5" s="1019" t="s">
        <v>2056</v>
      </c>
      <c r="F5" s="1020"/>
      <c r="G5" s="1021"/>
    </row>
    <row r="6" spans="1:7" s="307" customFormat="1" ht="49.5" customHeight="1">
      <c r="A6" s="309">
        <v>3</v>
      </c>
      <c r="B6" s="1017" t="s">
        <v>1912</v>
      </c>
      <c r="C6" s="1018"/>
      <c r="D6" s="310" t="s">
        <v>253</v>
      </c>
      <c r="E6" s="1019" t="str">
        <f>'C-1 '!E7:G7</f>
        <v>Completion of incomplete Anganwadi building  in Paletipalli village of P.C.Palli Mandal.</v>
      </c>
      <c r="F6" s="1020"/>
      <c r="G6" s="1021"/>
    </row>
    <row r="7" spans="1:7" s="307" customFormat="1" ht="31.5" customHeight="1">
      <c r="A7" s="309">
        <v>4</v>
      </c>
      <c r="B7" s="1017" t="s">
        <v>2070</v>
      </c>
      <c r="C7" s="1018"/>
      <c r="D7" s="310" t="s">
        <v>253</v>
      </c>
      <c r="E7" s="1019" t="s">
        <v>1885</v>
      </c>
      <c r="F7" s="1020"/>
      <c r="G7" s="1021"/>
    </row>
    <row r="8" spans="1:7" s="307" customFormat="1" ht="42.75" customHeight="1">
      <c r="A8" s="309">
        <v>5</v>
      </c>
      <c r="B8" s="1011" t="s">
        <v>1915</v>
      </c>
      <c r="C8" s="1011"/>
      <c r="D8" s="310" t="s">
        <v>253</v>
      </c>
      <c r="E8" s="1011" t="str">
        <f>'C-1 '!E10:G10</f>
        <v xml:space="preserve">Rc.No.P4/127-VOL-2/2022 Dt. 14.12.2022 of the Chief Executive Officer, Zilla Parishad, Prakasam District, Ongole </v>
      </c>
      <c r="F8" s="1011"/>
      <c r="G8" s="1011"/>
    </row>
    <row r="9" spans="1:7" s="307" customFormat="1" ht="43.5" customHeight="1">
      <c r="A9" s="309">
        <v>6</v>
      </c>
      <c r="B9" s="1011" t="s">
        <v>1916</v>
      </c>
      <c r="C9" s="1011"/>
      <c r="D9" s="310" t="s">
        <v>253</v>
      </c>
      <c r="E9" s="1011" t="str">
        <f>'C-1 '!E11:G11</f>
        <v>DR No.       /2022-23 Dt 20.01.2023  of the  Executive Engineer, PRI  Division, Kandukur</v>
      </c>
      <c r="F9" s="1011"/>
      <c r="G9" s="1011"/>
    </row>
    <row r="10" spans="1:7" s="307" customFormat="1" ht="32.25" customHeight="1">
      <c r="A10" s="309">
        <v>7</v>
      </c>
      <c r="B10" s="1011" t="s">
        <v>2071</v>
      </c>
      <c r="C10" s="1011"/>
      <c r="D10" s="310" t="s">
        <v>253</v>
      </c>
      <c r="E10" s="1011" t="str">
        <f>'C-1 '!E12:G12</f>
        <v>No.       /2022-23 Dt 06.02.2023  of the Executive Engineer, PRI Division, Kandukur</v>
      </c>
      <c r="F10" s="1011"/>
      <c r="G10" s="1011"/>
    </row>
    <row r="11" spans="1:7" s="307" customFormat="1" ht="22.5" customHeight="1">
      <c r="A11" s="309">
        <v>8</v>
      </c>
      <c r="B11" s="1011" t="s">
        <v>1914</v>
      </c>
      <c r="C11" s="1011"/>
      <c r="D11" s="310" t="s">
        <v>253</v>
      </c>
      <c r="E11" s="1012" t="str">
        <f>'C-1 '!E9:G9</f>
        <v>15.00 Lakhs</v>
      </c>
      <c r="F11" s="1012"/>
      <c r="G11" s="1012"/>
    </row>
    <row r="12" spans="1:7" s="307" customFormat="1" ht="22.5" customHeight="1">
      <c r="A12" s="309">
        <v>9</v>
      </c>
      <c r="B12" s="1011" t="s">
        <v>2072</v>
      </c>
      <c r="C12" s="1011"/>
      <c r="D12" s="310" t="s">
        <v>253</v>
      </c>
      <c r="E12" s="1013"/>
      <c r="F12" s="1012"/>
      <c r="G12" s="1012"/>
    </row>
    <row r="13" spans="1:7" s="307" customFormat="1" ht="38.25" customHeight="1">
      <c r="A13" s="309">
        <v>10</v>
      </c>
      <c r="B13" s="1011" t="s">
        <v>2073</v>
      </c>
      <c r="C13" s="1011"/>
      <c r="D13" s="310" t="s">
        <v>253</v>
      </c>
      <c r="E13" s="1012"/>
      <c r="F13" s="1012"/>
      <c r="G13" s="1012"/>
    </row>
    <row r="14" spans="1:7" s="307" customFormat="1" ht="33.75" customHeight="1">
      <c r="A14" s="309">
        <v>11</v>
      </c>
      <c r="B14" s="1011" t="s">
        <v>2074</v>
      </c>
      <c r="C14" s="1011"/>
      <c r="D14" s="310" t="s">
        <v>253</v>
      </c>
      <c r="E14" s="1012"/>
      <c r="F14" s="1012"/>
      <c r="G14" s="1012"/>
    </row>
    <row r="15" spans="1:7" s="307" customFormat="1" ht="24.75" customHeight="1">
      <c r="A15" s="309">
        <v>12</v>
      </c>
      <c r="B15" s="1011" t="s">
        <v>2075</v>
      </c>
      <c r="C15" s="1011"/>
      <c r="D15" s="310" t="s">
        <v>253</v>
      </c>
      <c r="E15" s="1012" t="s">
        <v>2085</v>
      </c>
      <c r="F15" s="1012"/>
      <c r="G15" s="1012"/>
    </row>
    <row r="16" spans="1:7" s="307" customFormat="1" ht="28.5" customHeight="1">
      <c r="A16" s="309">
        <v>13</v>
      </c>
      <c r="B16" s="1011" t="s">
        <v>2076</v>
      </c>
      <c r="C16" s="1011"/>
      <c r="D16" s="310" t="s">
        <v>253</v>
      </c>
      <c r="E16" s="1014" t="str">
        <f>'C-1 '!E13:G13</f>
        <v>G.Anok, Nominee, Habitation works committee, Challagiragala</v>
      </c>
      <c r="F16" s="1015"/>
      <c r="G16" s="1016"/>
    </row>
    <row r="17" spans="1:7" s="307" customFormat="1" ht="33" customHeight="1">
      <c r="A17" s="309">
        <v>14</v>
      </c>
      <c r="B17" s="1011" t="s">
        <v>2077</v>
      </c>
      <c r="C17" s="1011"/>
      <c r="D17" s="310" t="s">
        <v>253</v>
      </c>
      <c r="E17" s="1012"/>
      <c r="F17" s="1012"/>
      <c r="G17" s="1012"/>
    </row>
    <row r="18" spans="1:7" s="307" customFormat="1" ht="33" customHeight="1">
      <c r="A18" s="309">
        <v>15</v>
      </c>
      <c r="B18" s="1011" t="s">
        <v>2078</v>
      </c>
      <c r="C18" s="1011"/>
      <c r="D18" s="310" t="s">
        <v>253</v>
      </c>
      <c r="E18" s="1013"/>
      <c r="F18" s="1012"/>
      <c r="G18" s="1012"/>
    </row>
    <row r="19" spans="1:7" s="307" customFormat="1" ht="33" customHeight="1">
      <c r="A19" s="309">
        <v>16</v>
      </c>
      <c r="B19" s="1011" t="s">
        <v>2079</v>
      </c>
      <c r="C19" s="1011"/>
      <c r="D19" s="310" t="s">
        <v>253</v>
      </c>
      <c r="E19" s="1012" t="s">
        <v>1930</v>
      </c>
      <c r="F19" s="1012"/>
      <c r="G19" s="1012"/>
    </row>
    <row r="20" spans="1:7" s="307" customFormat="1" ht="33" customHeight="1">
      <c r="A20" s="309">
        <v>17</v>
      </c>
      <c r="B20" s="1011" t="s">
        <v>2080</v>
      </c>
      <c r="C20" s="1011"/>
      <c r="D20" s="310" t="s">
        <v>253</v>
      </c>
      <c r="E20" s="1012" t="s">
        <v>1930</v>
      </c>
      <c r="F20" s="1012"/>
      <c r="G20" s="1012"/>
    </row>
    <row r="21" spans="1:7" s="307" customFormat="1" ht="33" customHeight="1">
      <c r="A21" s="309">
        <v>18</v>
      </c>
      <c r="B21" s="1011" t="s">
        <v>2081</v>
      </c>
      <c r="C21" s="1011"/>
      <c r="D21" s="310" t="s">
        <v>253</v>
      </c>
      <c r="E21" s="1012"/>
      <c r="F21" s="1012"/>
      <c r="G21" s="1012"/>
    </row>
    <row r="25" spans="1:7">
      <c r="F25" s="441"/>
    </row>
    <row r="26" spans="1:7">
      <c r="F26" s="441"/>
    </row>
    <row r="27" spans="1:7">
      <c r="F27" s="441"/>
    </row>
  </sheetData>
  <mergeCells count="38">
    <mergeCell ref="A1:G1"/>
    <mergeCell ref="B3:C3"/>
    <mergeCell ref="B4:C4"/>
    <mergeCell ref="E4:G4"/>
    <mergeCell ref="B5:C5"/>
    <mergeCell ref="E5:G5"/>
    <mergeCell ref="B6:C6"/>
    <mergeCell ref="E6:G6"/>
    <mergeCell ref="B7:C7"/>
    <mergeCell ref="E7:G7"/>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21:C21"/>
    <mergeCell ref="E21:G21"/>
    <mergeCell ref="B18:C18"/>
    <mergeCell ref="E18:G18"/>
    <mergeCell ref="B19:C19"/>
    <mergeCell ref="E19:G19"/>
    <mergeCell ref="B20:C20"/>
    <mergeCell ref="E20:G20"/>
  </mergeCells>
  <printOptions horizontalCentered="1"/>
  <pageMargins left="0.5" right="0.62992125984252001" top="0.17" bottom="0.16" header="0.17" footer="0.36"/>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G57"/>
  <sheetViews>
    <sheetView view="pageBreakPreview" zoomScaleNormal="115" zoomScaleSheetLayoutView="100" workbookViewId="0">
      <selection activeCell="B4" sqref="B4"/>
    </sheetView>
  </sheetViews>
  <sheetFormatPr defaultRowHeight="12.75"/>
  <cols>
    <col min="1" max="1" width="3.28515625" style="300" customWidth="1"/>
    <col min="2" max="2" width="17.7109375" style="301" customWidth="1"/>
    <col min="3" max="3" width="17.85546875" style="301" customWidth="1"/>
    <col min="4" max="4" width="6" style="301" customWidth="1"/>
    <col min="5" max="5" width="21.5703125" style="301" customWidth="1"/>
    <col min="6" max="6" width="14.140625" style="301" customWidth="1"/>
    <col min="7" max="7" width="10.140625" style="301" customWidth="1"/>
    <col min="8" max="8" width="9.7109375" style="301" bestFit="1" customWidth="1"/>
    <col min="9" max="256" width="9.140625" style="301"/>
    <col min="257" max="257" width="3.28515625" style="301" customWidth="1"/>
    <col min="258" max="258" width="17.7109375" style="301" customWidth="1"/>
    <col min="259" max="259" width="17.85546875" style="301" customWidth="1"/>
    <col min="260" max="260" width="6" style="301" customWidth="1"/>
    <col min="261" max="261" width="21.5703125" style="301" customWidth="1"/>
    <col min="262" max="262" width="14.140625" style="301" customWidth="1"/>
    <col min="263" max="263" width="10.140625" style="301" customWidth="1"/>
    <col min="264" max="264" width="9.7109375" style="301" bestFit="1" customWidth="1"/>
    <col min="265" max="512" width="9.140625" style="301"/>
    <col min="513" max="513" width="3.28515625" style="301" customWidth="1"/>
    <col min="514" max="514" width="17.7109375" style="301" customWidth="1"/>
    <col min="515" max="515" width="17.85546875" style="301" customWidth="1"/>
    <col min="516" max="516" width="6" style="301" customWidth="1"/>
    <col min="517" max="517" width="21.5703125" style="301" customWidth="1"/>
    <col min="518" max="518" width="14.140625" style="301" customWidth="1"/>
    <col min="519" max="519" width="10.140625" style="301" customWidth="1"/>
    <col min="520" max="520" width="9.7109375" style="301" bestFit="1" customWidth="1"/>
    <col min="521" max="768" width="9.140625" style="301"/>
    <col min="769" max="769" width="3.28515625" style="301" customWidth="1"/>
    <col min="770" max="770" width="17.7109375" style="301" customWidth="1"/>
    <col min="771" max="771" width="17.85546875" style="301" customWidth="1"/>
    <col min="772" max="772" width="6" style="301" customWidth="1"/>
    <col min="773" max="773" width="21.5703125" style="301" customWidth="1"/>
    <col min="774" max="774" width="14.140625" style="301" customWidth="1"/>
    <col min="775" max="775" width="10.140625" style="301" customWidth="1"/>
    <col min="776" max="776" width="9.7109375" style="301" bestFit="1" customWidth="1"/>
    <col min="777" max="1024" width="9.140625" style="301"/>
    <col min="1025" max="1025" width="3.28515625" style="301" customWidth="1"/>
    <col min="1026" max="1026" width="17.7109375" style="301" customWidth="1"/>
    <col min="1027" max="1027" width="17.85546875" style="301" customWidth="1"/>
    <col min="1028" max="1028" width="6" style="301" customWidth="1"/>
    <col min="1029" max="1029" width="21.5703125" style="301" customWidth="1"/>
    <col min="1030" max="1030" width="14.140625" style="301" customWidth="1"/>
    <col min="1031" max="1031" width="10.140625" style="301" customWidth="1"/>
    <col min="1032" max="1032" width="9.7109375" style="301" bestFit="1" customWidth="1"/>
    <col min="1033" max="1280" width="9.140625" style="301"/>
    <col min="1281" max="1281" width="3.28515625" style="301" customWidth="1"/>
    <col min="1282" max="1282" width="17.7109375" style="301" customWidth="1"/>
    <col min="1283" max="1283" width="17.85546875" style="301" customWidth="1"/>
    <col min="1284" max="1284" width="6" style="301" customWidth="1"/>
    <col min="1285" max="1285" width="21.5703125" style="301" customWidth="1"/>
    <col min="1286" max="1286" width="14.140625" style="301" customWidth="1"/>
    <col min="1287" max="1287" width="10.140625" style="301" customWidth="1"/>
    <col min="1288" max="1288" width="9.7109375" style="301" bestFit="1" customWidth="1"/>
    <col min="1289" max="1536" width="9.140625" style="301"/>
    <col min="1537" max="1537" width="3.28515625" style="301" customWidth="1"/>
    <col min="1538" max="1538" width="17.7109375" style="301" customWidth="1"/>
    <col min="1539" max="1539" width="17.85546875" style="301" customWidth="1"/>
    <col min="1540" max="1540" width="6" style="301" customWidth="1"/>
    <col min="1541" max="1541" width="21.5703125" style="301" customWidth="1"/>
    <col min="1542" max="1542" width="14.140625" style="301" customWidth="1"/>
    <col min="1543" max="1543" width="10.140625" style="301" customWidth="1"/>
    <col min="1544" max="1544" width="9.7109375" style="301" bestFit="1" customWidth="1"/>
    <col min="1545" max="1792" width="9.140625" style="301"/>
    <col min="1793" max="1793" width="3.28515625" style="301" customWidth="1"/>
    <col min="1794" max="1794" width="17.7109375" style="301" customWidth="1"/>
    <col min="1795" max="1795" width="17.85546875" style="301" customWidth="1"/>
    <col min="1796" max="1796" width="6" style="301" customWidth="1"/>
    <col min="1797" max="1797" width="21.5703125" style="301" customWidth="1"/>
    <col min="1798" max="1798" width="14.140625" style="301" customWidth="1"/>
    <col min="1799" max="1799" width="10.140625" style="301" customWidth="1"/>
    <col min="1800" max="1800" width="9.7109375" style="301" bestFit="1" customWidth="1"/>
    <col min="1801" max="2048" width="9.140625" style="301"/>
    <col min="2049" max="2049" width="3.28515625" style="301" customWidth="1"/>
    <col min="2050" max="2050" width="17.7109375" style="301" customWidth="1"/>
    <col min="2051" max="2051" width="17.85546875" style="301" customWidth="1"/>
    <col min="2052" max="2052" width="6" style="301" customWidth="1"/>
    <col min="2053" max="2053" width="21.5703125" style="301" customWidth="1"/>
    <col min="2054" max="2054" width="14.140625" style="301" customWidth="1"/>
    <col min="2055" max="2055" width="10.140625" style="301" customWidth="1"/>
    <col min="2056" max="2056" width="9.7109375" style="301" bestFit="1" customWidth="1"/>
    <col min="2057" max="2304" width="9.140625" style="301"/>
    <col min="2305" max="2305" width="3.28515625" style="301" customWidth="1"/>
    <col min="2306" max="2306" width="17.7109375" style="301" customWidth="1"/>
    <col min="2307" max="2307" width="17.85546875" style="301" customWidth="1"/>
    <col min="2308" max="2308" width="6" style="301" customWidth="1"/>
    <col min="2309" max="2309" width="21.5703125" style="301" customWidth="1"/>
    <col min="2310" max="2310" width="14.140625" style="301" customWidth="1"/>
    <col min="2311" max="2311" width="10.140625" style="301" customWidth="1"/>
    <col min="2312" max="2312" width="9.7109375" style="301" bestFit="1" customWidth="1"/>
    <col min="2313" max="2560" width="9.140625" style="301"/>
    <col min="2561" max="2561" width="3.28515625" style="301" customWidth="1"/>
    <col min="2562" max="2562" width="17.7109375" style="301" customWidth="1"/>
    <col min="2563" max="2563" width="17.85546875" style="301" customWidth="1"/>
    <col min="2564" max="2564" width="6" style="301" customWidth="1"/>
    <col min="2565" max="2565" width="21.5703125" style="301" customWidth="1"/>
    <col min="2566" max="2566" width="14.140625" style="301" customWidth="1"/>
    <col min="2567" max="2567" width="10.140625" style="301" customWidth="1"/>
    <col min="2568" max="2568" width="9.7109375" style="301" bestFit="1" customWidth="1"/>
    <col min="2569" max="2816" width="9.140625" style="301"/>
    <col min="2817" max="2817" width="3.28515625" style="301" customWidth="1"/>
    <col min="2818" max="2818" width="17.7109375" style="301" customWidth="1"/>
    <col min="2819" max="2819" width="17.85546875" style="301" customWidth="1"/>
    <col min="2820" max="2820" width="6" style="301" customWidth="1"/>
    <col min="2821" max="2821" width="21.5703125" style="301" customWidth="1"/>
    <col min="2822" max="2822" width="14.140625" style="301" customWidth="1"/>
    <col min="2823" max="2823" width="10.140625" style="301" customWidth="1"/>
    <col min="2824" max="2824" width="9.7109375" style="301" bestFit="1" customWidth="1"/>
    <col min="2825" max="3072" width="9.140625" style="301"/>
    <col min="3073" max="3073" width="3.28515625" style="301" customWidth="1"/>
    <col min="3074" max="3074" width="17.7109375" style="301" customWidth="1"/>
    <col min="3075" max="3075" width="17.85546875" style="301" customWidth="1"/>
    <col min="3076" max="3076" width="6" style="301" customWidth="1"/>
    <col min="3077" max="3077" width="21.5703125" style="301" customWidth="1"/>
    <col min="3078" max="3078" width="14.140625" style="301" customWidth="1"/>
    <col min="3079" max="3079" width="10.140625" style="301" customWidth="1"/>
    <col min="3080" max="3080" width="9.7109375" style="301" bestFit="1" customWidth="1"/>
    <col min="3081" max="3328" width="9.140625" style="301"/>
    <col min="3329" max="3329" width="3.28515625" style="301" customWidth="1"/>
    <col min="3330" max="3330" width="17.7109375" style="301" customWidth="1"/>
    <col min="3331" max="3331" width="17.85546875" style="301" customWidth="1"/>
    <col min="3332" max="3332" width="6" style="301" customWidth="1"/>
    <col min="3333" max="3333" width="21.5703125" style="301" customWidth="1"/>
    <col min="3334" max="3334" width="14.140625" style="301" customWidth="1"/>
    <col min="3335" max="3335" width="10.140625" style="301" customWidth="1"/>
    <col min="3336" max="3336" width="9.7109375" style="301" bestFit="1" customWidth="1"/>
    <col min="3337" max="3584" width="9.140625" style="301"/>
    <col min="3585" max="3585" width="3.28515625" style="301" customWidth="1"/>
    <col min="3586" max="3586" width="17.7109375" style="301" customWidth="1"/>
    <col min="3587" max="3587" width="17.85546875" style="301" customWidth="1"/>
    <col min="3588" max="3588" width="6" style="301" customWidth="1"/>
    <col min="3589" max="3589" width="21.5703125" style="301" customWidth="1"/>
    <col min="3590" max="3590" width="14.140625" style="301" customWidth="1"/>
    <col min="3591" max="3591" width="10.140625" style="301" customWidth="1"/>
    <col min="3592" max="3592" width="9.7109375" style="301" bestFit="1" customWidth="1"/>
    <col min="3593" max="3840" width="9.140625" style="301"/>
    <col min="3841" max="3841" width="3.28515625" style="301" customWidth="1"/>
    <col min="3842" max="3842" width="17.7109375" style="301" customWidth="1"/>
    <col min="3843" max="3843" width="17.85546875" style="301" customWidth="1"/>
    <col min="3844" max="3844" width="6" style="301" customWidth="1"/>
    <col min="3845" max="3845" width="21.5703125" style="301" customWidth="1"/>
    <col min="3846" max="3846" width="14.140625" style="301" customWidth="1"/>
    <col min="3847" max="3847" width="10.140625" style="301" customWidth="1"/>
    <col min="3848" max="3848" width="9.7109375" style="301" bestFit="1" customWidth="1"/>
    <col min="3849" max="4096" width="9.140625" style="301"/>
    <col min="4097" max="4097" width="3.28515625" style="301" customWidth="1"/>
    <col min="4098" max="4098" width="17.7109375" style="301" customWidth="1"/>
    <col min="4099" max="4099" width="17.85546875" style="301" customWidth="1"/>
    <col min="4100" max="4100" width="6" style="301" customWidth="1"/>
    <col min="4101" max="4101" width="21.5703125" style="301" customWidth="1"/>
    <col min="4102" max="4102" width="14.140625" style="301" customWidth="1"/>
    <col min="4103" max="4103" width="10.140625" style="301" customWidth="1"/>
    <col min="4104" max="4104" width="9.7109375" style="301" bestFit="1" customWidth="1"/>
    <col min="4105" max="4352" width="9.140625" style="301"/>
    <col min="4353" max="4353" width="3.28515625" style="301" customWidth="1"/>
    <col min="4354" max="4354" width="17.7109375" style="301" customWidth="1"/>
    <col min="4355" max="4355" width="17.85546875" style="301" customWidth="1"/>
    <col min="4356" max="4356" width="6" style="301" customWidth="1"/>
    <col min="4357" max="4357" width="21.5703125" style="301" customWidth="1"/>
    <col min="4358" max="4358" width="14.140625" style="301" customWidth="1"/>
    <col min="4359" max="4359" width="10.140625" style="301" customWidth="1"/>
    <col min="4360" max="4360" width="9.7109375" style="301" bestFit="1" customWidth="1"/>
    <col min="4361" max="4608" width="9.140625" style="301"/>
    <col min="4609" max="4609" width="3.28515625" style="301" customWidth="1"/>
    <col min="4610" max="4610" width="17.7109375" style="301" customWidth="1"/>
    <col min="4611" max="4611" width="17.85546875" style="301" customWidth="1"/>
    <col min="4612" max="4612" width="6" style="301" customWidth="1"/>
    <col min="4613" max="4613" width="21.5703125" style="301" customWidth="1"/>
    <col min="4614" max="4614" width="14.140625" style="301" customWidth="1"/>
    <col min="4615" max="4615" width="10.140625" style="301" customWidth="1"/>
    <col min="4616" max="4616" width="9.7109375" style="301" bestFit="1" customWidth="1"/>
    <col min="4617" max="4864" width="9.140625" style="301"/>
    <col min="4865" max="4865" width="3.28515625" style="301" customWidth="1"/>
    <col min="4866" max="4866" width="17.7109375" style="301" customWidth="1"/>
    <col min="4867" max="4867" width="17.85546875" style="301" customWidth="1"/>
    <col min="4868" max="4868" width="6" style="301" customWidth="1"/>
    <col min="4869" max="4869" width="21.5703125" style="301" customWidth="1"/>
    <col min="4870" max="4870" width="14.140625" style="301" customWidth="1"/>
    <col min="4871" max="4871" width="10.140625" style="301" customWidth="1"/>
    <col min="4872" max="4872" width="9.7109375" style="301" bestFit="1" customWidth="1"/>
    <col min="4873" max="5120" width="9.140625" style="301"/>
    <col min="5121" max="5121" width="3.28515625" style="301" customWidth="1"/>
    <col min="5122" max="5122" width="17.7109375" style="301" customWidth="1"/>
    <col min="5123" max="5123" width="17.85546875" style="301" customWidth="1"/>
    <col min="5124" max="5124" width="6" style="301" customWidth="1"/>
    <col min="5125" max="5125" width="21.5703125" style="301" customWidth="1"/>
    <col min="5126" max="5126" width="14.140625" style="301" customWidth="1"/>
    <col min="5127" max="5127" width="10.140625" style="301" customWidth="1"/>
    <col min="5128" max="5128" width="9.7109375" style="301" bestFit="1" customWidth="1"/>
    <col min="5129" max="5376" width="9.140625" style="301"/>
    <col min="5377" max="5377" width="3.28515625" style="301" customWidth="1"/>
    <col min="5378" max="5378" width="17.7109375" style="301" customWidth="1"/>
    <col min="5379" max="5379" width="17.85546875" style="301" customWidth="1"/>
    <col min="5380" max="5380" width="6" style="301" customWidth="1"/>
    <col min="5381" max="5381" width="21.5703125" style="301" customWidth="1"/>
    <col min="5382" max="5382" width="14.140625" style="301" customWidth="1"/>
    <col min="5383" max="5383" width="10.140625" style="301" customWidth="1"/>
    <col min="5384" max="5384" width="9.7109375" style="301" bestFit="1" customWidth="1"/>
    <col min="5385" max="5632" width="9.140625" style="301"/>
    <col min="5633" max="5633" width="3.28515625" style="301" customWidth="1"/>
    <col min="5634" max="5634" width="17.7109375" style="301" customWidth="1"/>
    <col min="5635" max="5635" width="17.85546875" style="301" customWidth="1"/>
    <col min="5636" max="5636" width="6" style="301" customWidth="1"/>
    <col min="5637" max="5637" width="21.5703125" style="301" customWidth="1"/>
    <col min="5638" max="5638" width="14.140625" style="301" customWidth="1"/>
    <col min="5639" max="5639" width="10.140625" style="301" customWidth="1"/>
    <col min="5640" max="5640" width="9.7109375" style="301" bestFit="1" customWidth="1"/>
    <col min="5641" max="5888" width="9.140625" style="301"/>
    <col min="5889" max="5889" width="3.28515625" style="301" customWidth="1"/>
    <col min="5890" max="5890" width="17.7109375" style="301" customWidth="1"/>
    <col min="5891" max="5891" width="17.85546875" style="301" customWidth="1"/>
    <col min="5892" max="5892" width="6" style="301" customWidth="1"/>
    <col min="5893" max="5893" width="21.5703125" style="301" customWidth="1"/>
    <col min="5894" max="5894" width="14.140625" style="301" customWidth="1"/>
    <col min="5895" max="5895" width="10.140625" style="301" customWidth="1"/>
    <col min="5896" max="5896" width="9.7109375" style="301" bestFit="1" customWidth="1"/>
    <col min="5897" max="6144" width="9.140625" style="301"/>
    <col min="6145" max="6145" width="3.28515625" style="301" customWidth="1"/>
    <col min="6146" max="6146" width="17.7109375" style="301" customWidth="1"/>
    <col min="6147" max="6147" width="17.85546875" style="301" customWidth="1"/>
    <col min="6148" max="6148" width="6" style="301" customWidth="1"/>
    <col min="6149" max="6149" width="21.5703125" style="301" customWidth="1"/>
    <col min="6150" max="6150" width="14.140625" style="301" customWidth="1"/>
    <col min="6151" max="6151" width="10.140625" style="301" customWidth="1"/>
    <col min="6152" max="6152" width="9.7109375" style="301" bestFit="1" customWidth="1"/>
    <col min="6153" max="6400" width="9.140625" style="301"/>
    <col min="6401" max="6401" width="3.28515625" style="301" customWidth="1"/>
    <col min="6402" max="6402" width="17.7109375" style="301" customWidth="1"/>
    <col min="6403" max="6403" width="17.85546875" style="301" customWidth="1"/>
    <col min="6404" max="6404" width="6" style="301" customWidth="1"/>
    <col min="6405" max="6405" width="21.5703125" style="301" customWidth="1"/>
    <col min="6406" max="6406" width="14.140625" style="301" customWidth="1"/>
    <col min="6407" max="6407" width="10.140625" style="301" customWidth="1"/>
    <col min="6408" max="6408" width="9.7109375" style="301" bestFit="1" customWidth="1"/>
    <col min="6409" max="6656" width="9.140625" style="301"/>
    <col min="6657" max="6657" width="3.28515625" style="301" customWidth="1"/>
    <col min="6658" max="6658" width="17.7109375" style="301" customWidth="1"/>
    <col min="6659" max="6659" width="17.85546875" style="301" customWidth="1"/>
    <col min="6660" max="6660" width="6" style="301" customWidth="1"/>
    <col min="6661" max="6661" width="21.5703125" style="301" customWidth="1"/>
    <col min="6662" max="6662" width="14.140625" style="301" customWidth="1"/>
    <col min="6663" max="6663" width="10.140625" style="301" customWidth="1"/>
    <col min="6664" max="6664" width="9.7109375" style="301" bestFit="1" customWidth="1"/>
    <col min="6665" max="6912" width="9.140625" style="301"/>
    <col min="6913" max="6913" width="3.28515625" style="301" customWidth="1"/>
    <col min="6914" max="6914" width="17.7109375" style="301" customWidth="1"/>
    <col min="6915" max="6915" width="17.85546875" style="301" customWidth="1"/>
    <col min="6916" max="6916" width="6" style="301" customWidth="1"/>
    <col min="6917" max="6917" width="21.5703125" style="301" customWidth="1"/>
    <col min="6918" max="6918" width="14.140625" style="301" customWidth="1"/>
    <col min="6919" max="6919" width="10.140625" style="301" customWidth="1"/>
    <col min="6920" max="6920" width="9.7109375" style="301" bestFit="1" customWidth="1"/>
    <col min="6921" max="7168" width="9.140625" style="301"/>
    <col min="7169" max="7169" width="3.28515625" style="301" customWidth="1"/>
    <col min="7170" max="7170" width="17.7109375" style="301" customWidth="1"/>
    <col min="7171" max="7171" width="17.85546875" style="301" customWidth="1"/>
    <col min="7172" max="7172" width="6" style="301" customWidth="1"/>
    <col min="7173" max="7173" width="21.5703125" style="301" customWidth="1"/>
    <col min="7174" max="7174" width="14.140625" style="301" customWidth="1"/>
    <col min="7175" max="7175" width="10.140625" style="301" customWidth="1"/>
    <col min="7176" max="7176" width="9.7109375" style="301" bestFit="1" customWidth="1"/>
    <col min="7177" max="7424" width="9.140625" style="301"/>
    <col min="7425" max="7425" width="3.28515625" style="301" customWidth="1"/>
    <col min="7426" max="7426" width="17.7109375" style="301" customWidth="1"/>
    <col min="7427" max="7427" width="17.85546875" style="301" customWidth="1"/>
    <col min="7428" max="7428" width="6" style="301" customWidth="1"/>
    <col min="7429" max="7429" width="21.5703125" style="301" customWidth="1"/>
    <col min="7430" max="7430" width="14.140625" style="301" customWidth="1"/>
    <col min="7431" max="7431" width="10.140625" style="301" customWidth="1"/>
    <col min="7432" max="7432" width="9.7109375" style="301" bestFit="1" customWidth="1"/>
    <col min="7433" max="7680" width="9.140625" style="301"/>
    <col min="7681" max="7681" width="3.28515625" style="301" customWidth="1"/>
    <col min="7682" max="7682" width="17.7109375" style="301" customWidth="1"/>
    <col min="7683" max="7683" width="17.85546875" style="301" customWidth="1"/>
    <col min="7684" max="7684" width="6" style="301" customWidth="1"/>
    <col min="7685" max="7685" width="21.5703125" style="301" customWidth="1"/>
    <col min="7686" max="7686" width="14.140625" style="301" customWidth="1"/>
    <col min="7687" max="7687" width="10.140625" style="301" customWidth="1"/>
    <col min="7688" max="7688" width="9.7109375" style="301" bestFit="1" customWidth="1"/>
    <col min="7689" max="7936" width="9.140625" style="301"/>
    <col min="7937" max="7937" width="3.28515625" style="301" customWidth="1"/>
    <col min="7938" max="7938" width="17.7109375" style="301" customWidth="1"/>
    <col min="7939" max="7939" width="17.85546875" style="301" customWidth="1"/>
    <col min="7940" max="7940" width="6" style="301" customWidth="1"/>
    <col min="7941" max="7941" width="21.5703125" style="301" customWidth="1"/>
    <col min="7942" max="7942" width="14.140625" style="301" customWidth="1"/>
    <col min="7943" max="7943" width="10.140625" style="301" customWidth="1"/>
    <col min="7944" max="7944" width="9.7109375" style="301" bestFit="1" customWidth="1"/>
    <col min="7945" max="8192" width="9.140625" style="301"/>
    <col min="8193" max="8193" width="3.28515625" style="301" customWidth="1"/>
    <col min="8194" max="8194" width="17.7109375" style="301" customWidth="1"/>
    <col min="8195" max="8195" width="17.85546875" style="301" customWidth="1"/>
    <col min="8196" max="8196" width="6" style="301" customWidth="1"/>
    <col min="8197" max="8197" width="21.5703125" style="301" customWidth="1"/>
    <col min="8198" max="8198" width="14.140625" style="301" customWidth="1"/>
    <col min="8199" max="8199" width="10.140625" style="301" customWidth="1"/>
    <col min="8200" max="8200" width="9.7109375" style="301" bestFit="1" customWidth="1"/>
    <col min="8201" max="8448" width="9.140625" style="301"/>
    <col min="8449" max="8449" width="3.28515625" style="301" customWidth="1"/>
    <col min="8450" max="8450" width="17.7109375" style="301" customWidth="1"/>
    <col min="8451" max="8451" width="17.85546875" style="301" customWidth="1"/>
    <col min="8452" max="8452" width="6" style="301" customWidth="1"/>
    <col min="8453" max="8453" width="21.5703125" style="301" customWidth="1"/>
    <col min="8454" max="8454" width="14.140625" style="301" customWidth="1"/>
    <col min="8455" max="8455" width="10.140625" style="301" customWidth="1"/>
    <col min="8456" max="8456" width="9.7109375" style="301" bestFit="1" customWidth="1"/>
    <col min="8457" max="8704" width="9.140625" style="301"/>
    <col min="8705" max="8705" width="3.28515625" style="301" customWidth="1"/>
    <col min="8706" max="8706" width="17.7109375" style="301" customWidth="1"/>
    <col min="8707" max="8707" width="17.85546875" style="301" customWidth="1"/>
    <col min="8708" max="8708" width="6" style="301" customWidth="1"/>
    <col min="8709" max="8709" width="21.5703125" style="301" customWidth="1"/>
    <col min="8710" max="8710" width="14.140625" style="301" customWidth="1"/>
    <col min="8711" max="8711" width="10.140625" style="301" customWidth="1"/>
    <col min="8712" max="8712" width="9.7109375" style="301" bestFit="1" customWidth="1"/>
    <col min="8713" max="8960" width="9.140625" style="301"/>
    <col min="8961" max="8961" width="3.28515625" style="301" customWidth="1"/>
    <col min="8962" max="8962" width="17.7109375" style="301" customWidth="1"/>
    <col min="8963" max="8963" width="17.85546875" style="301" customWidth="1"/>
    <col min="8964" max="8964" width="6" style="301" customWidth="1"/>
    <col min="8965" max="8965" width="21.5703125" style="301" customWidth="1"/>
    <col min="8966" max="8966" width="14.140625" style="301" customWidth="1"/>
    <col min="8967" max="8967" width="10.140625" style="301" customWidth="1"/>
    <col min="8968" max="8968" width="9.7109375" style="301" bestFit="1" customWidth="1"/>
    <col min="8969" max="9216" width="9.140625" style="301"/>
    <col min="9217" max="9217" width="3.28515625" style="301" customWidth="1"/>
    <col min="9218" max="9218" width="17.7109375" style="301" customWidth="1"/>
    <col min="9219" max="9219" width="17.85546875" style="301" customWidth="1"/>
    <col min="9220" max="9220" width="6" style="301" customWidth="1"/>
    <col min="9221" max="9221" width="21.5703125" style="301" customWidth="1"/>
    <col min="9222" max="9222" width="14.140625" style="301" customWidth="1"/>
    <col min="9223" max="9223" width="10.140625" style="301" customWidth="1"/>
    <col min="9224" max="9224" width="9.7109375" style="301" bestFit="1" customWidth="1"/>
    <col min="9225" max="9472" width="9.140625" style="301"/>
    <col min="9473" max="9473" width="3.28515625" style="301" customWidth="1"/>
    <col min="9474" max="9474" width="17.7109375" style="301" customWidth="1"/>
    <col min="9475" max="9475" width="17.85546875" style="301" customWidth="1"/>
    <col min="9476" max="9476" width="6" style="301" customWidth="1"/>
    <col min="9477" max="9477" width="21.5703125" style="301" customWidth="1"/>
    <col min="9478" max="9478" width="14.140625" style="301" customWidth="1"/>
    <col min="9479" max="9479" width="10.140625" style="301" customWidth="1"/>
    <col min="9480" max="9480" width="9.7109375" style="301" bestFit="1" customWidth="1"/>
    <col min="9481" max="9728" width="9.140625" style="301"/>
    <col min="9729" max="9729" width="3.28515625" style="301" customWidth="1"/>
    <col min="9730" max="9730" width="17.7109375" style="301" customWidth="1"/>
    <col min="9731" max="9731" width="17.85546875" style="301" customWidth="1"/>
    <col min="9732" max="9732" width="6" style="301" customWidth="1"/>
    <col min="9733" max="9733" width="21.5703125" style="301" customWidth="1"/>
    <col min="9734" max="9734" width="14.140625" style="301" customWidth="1"/>
    <col min="9735" max="9735" width="10.140625" style="301" customWidth="1"/>
    <col min="9736" max="9736" width="9.7109375" style="301" bestFit="1" customWidth="1"/>
    <col min="9737" max="9984" width="9.140625" style="301"/>
    <col min="9985" max="9985" width="3.28515625" style="301" customWidth="1"/>
    <col min="9986" max="9986" width="17.7109375" style="301" customWidth="1"/>
    <col min="9987" max="9987" width="17.85546875" style="301" customWidth="1"/>
    <col min="9988" max="9988" width="6" style="301" customWidth="1"/>
    <col min="9989" max="9989" width="21.5703125" style="301" customWidth="1"/>
    <col min="9990" max="9990" width="14.140625" style="301" customWidth="1"/>
    <col min="9991" max="9991" width="10.140625" style="301" customWidth="1"/>
    <col min="9992" max="9992" width="9.7109375" style="301" bestFit="1" customWidth="1"/>
    <col min="9993" max="10240" width="9.140625" style="301"/>
    <col min="10241" max="10241" width="3.28515625" style="301" customWidth="1"/>
    <col min="10242" max="10242" width="17.7109375" style="301" customWidth="1"/>
    <col min="10243" max="10243" width="17.85546875" style="301" customWidth="1"/>
    <col min="10244" max="10244" width="6" style="301" customWidth="1"/>
    <col min="10245" max="10245" width="21.5703125" style="301" customWidth="1"/>
    <col min="10246" max="10246" width="14.140625" style="301" customWidth="1"/>
    <col min="10247" max="10247" width="10.140625" style="301" customWidth="1"/>
    <col min="10248" max="10248" width="9.7109375" style="301" bestFit="1" customWidth="1"/>
    <col min="10249" max="10496" width="9.140625" style="301"/>
    <col min="10497" max="10497" width="3.28515625" style="301" customWidth="1"/>
    <col min="10498" max="10498" width="17.7109375" style="301" customWidth="1"/>
    <col min="10499" max="10499" width="17.85546875" style="301" customWidth="1"/>
    <col min="10500" max="10500" width="6" style="301" customWidth="1"/>
    <col min="10501" max="10501" width="21.5703125" style="301" customWidth="1"/>
    <col min="10502" max="10502" width="14.140625" style="301" customWidth="1"/>
    <col min="10503" max="10503" width="10.140625" style="301" customWidth="1"/>
    <col min="10504" max="10504" width="9.7109375" style="301" bestFit="1" customWidth="1"/>
    <col min="10505" max="10752" width="9.140625" style="301"/>
    <col min="10753" max="10753" width="3.28515625" style="301" customWidth="1"/>
    <col min="10754" max="10754" width="17.7109375" style="301" customWidth="1"/>
    <col min="10755" max="10755" width="17.85546875" style="301" customWidth="1"/>
    <col min="10756" max="10756" width="6" style="301" customWidth="1"/>
    <col min="10757" max="10757" width="21.5703125" style="301" customWidth="1"/>
    <col min="10758" max="10758" width="14.140625" style="301" customWidth="1"/>
    <col min="10759" max="10759" width="10.140625" style="301" customWidth="1"/>
    <col min="10760" max="10760" width="9.7109375" style="301" bestFit="1" customWidth="1"/>
    <col min="10761" max="11008" width="9.140625" style="301"/>
    <col min="11009" max="11009" width="3.28515625" style="301" customWidth="1"/>
    <col min="11010" max="11010" width="17.7109375" style="301" customWidth="1"/>
    <col min="11011" max="11011" width="17.85546875" style="301" customWidth="1"/>
    <col min="11012" max="11012" width="6" style="301" customWidth="1"/>
    <col min="11013" max="11013" width="21.5703125" style="301" customWidth="1"/>
    <col min="11014" max="11014" width="14.140625" style="301" customWidth="1"/>
    <col min="11015" max="11015" width="10.140625" style="301" customWidth="1"/>
    <col min="11016" max="11016" width="9.7109375" style="301" bestFit="1" customWidth="1"/>
    <col min="11017" max="11264" width="9.140625" style="301"/>
    <col min="11265" max="11265" width="3.28515625" style="301" customWidth="1"/>
    <col min="11266" max="11266" width="17.7109375" style="301" customWidth="1"/>
    <col min="11267" max="11267" width="17.85546875" style="301" customWidth="1"/>
    <col min="11268" max="11268" width="6" style="301" customWidth="1"/>
    <col min="11269" max="11269" width="21.5703125" style="301" customWidth="1"/>
    <col min="11270" max="11270" width="14.140625" style="301" customWidth="1"/>
    <col min="11271" max="11271" width="10.140625" style="301" customWidth="1"/>
    <col min="11272" max="11272" width="9.7109375" style="301" bestFit="1" customWidth="1"/>
    <col min="11273" max="11520" width="9.140625" style="301"/>
    <col min="11521" max="11521" width="3.28515625" style="301" customWidth="1"/>
    <col min="11522" max="11522" width="17.7109375" style="301" customWidth="1"/>
    <col min="11523" max="11523" width="17.85546875" style="301" customWidth="1"/>
    <col min="11524" max="11524" width="6" style="301" customWidth="1"/>
    <col min="11525" max="11525" width="21.5703125" style="301" customWidth="1"/>
    <col min="11526" max="11526" width="14.140625" style="301" customWidth="1"/>
    <col min="11527" max="11527" width="10.140625" style="301" customWidth="1"/>
    <col min="11528" max="11528" width="9.7109375" style="301" bestFit="1" customWidth="1"/>
    <col min="11529" max="11776" width="9.140625" style="301"/>
    <col min="11777" max="11777" width="3.28515625" style="301" customWidth="1"/>
    <col min="11778" max="11778" width="17.7109375" style="301" customWidth="1"/>
    <col min="11779" max="11779" width="17.85546875" style="301" customWidth="1"/>
    <col min="11780" max="11780" width="6" style="301" customWidth="1"/>
    <col min="11781" max="11781" width="21.5703125" style="301" customWidth="1"/>
    <col min="11782" max="11782" width="14.140625" style="301" customWidth="1"/>
    <col min="11783" max="11783" width="10.140625" style="301" customWidth="1"/>
    <col min="11784" max="11784" width="9.7109375" style="301" bestFit="1" customWidth="1"/>
    <col min="11785" max="12032" width="9.140625" style="301"/>
    <col min="12033" max="12033" width="3.28515625" style="301" customWidth="1"/>
    <col min="12034" max="12034" width="17.7109375" style="301" customWidth="1"/>
    <col min="12035" max="12035" width="17.85546875" style="301" customWidth="1"/>
    <col min="12036" max="12036" width="6" style="301" customWidth="1"/>
    <col min="12037" max="12037" width="21.5703125" style="301" customWidth="1"/>
    <col min="12038" max="12038" width="14.140625" style="301" customWidth="1"/>
    <col min="12039" max="12039" width="10.140625" style="301" customWidth="1"/>
    <col min="12040" max="12040" width="9.7109375" style="301" bestFit="1" customWidth="1"/>
    <col min="12041" max="12288" width="9.140625" style="301"/>
    <col min="12289" max="12289" width="3.28515625" style="301" customWidth="1"/>
    <col min="12290" max="12290" width="17.7109375" style="301" customWidth="1"/>
    <col min="12291" max="12291" width="17.85546875" style="301" customWidth="1"/>
    <col min="12292" max="12292" width="6" style="301" customWidth="1"/>
    <col min="12293" max="12293" width="21.5703125" style="301" customWidth="1"/>
    <col min="12294" max="12294" width="14.140625" style="301" customWidth="1"/>
    <col min="12295" max="12295" width="10.140625" style="301" customWidth="1"/>
    <col min="12296" max="12296" width="9.7109375" style="301" bestFit="1" customWidth="1"/>
    <col min="12297" max="12544" width="9.140625" style="301"/>
    <col min="12545" max="12545" width="3.28515625" style="301" customWidth="1"/>
    <col min="12546" max="12546" width="17.7109375" style="301" customWidth="1"/>
    <col min="12547" max="12547" width="17.85546875" style="301" customWidth="1"/>
    <col min="12548" max="12548" width="6" style="301" customWidth="1"/>
    <col min="12549" max="12549" width="21.5703125" style="301" customWidth="1"/>
    <col min="12550" max="12550" width="14.140625" style="301" customWidth="1"/>
    <col min="12551" max="12551" width="10.140625" style="301" customWidth="1"/>
    <col min="12552" max="12552" width="9.7109375" style="301" bestFit="1" customWidth="1"/>
    <col min="12553" max="12800" width="9.140625" style="301"/>
    <col min="12801" max="12801" width="3.28515625" style="301" customWidth="1"/>
    <col min="12802" max="12802" width="17.7109375" style="301" customWidth="1"/>
    <col min="12803" max="12803" width="17.85546875" style="301" customWidth="1"/>
    <col min="12804" max="12804" width="6" style="301" customWidth="1"/>
    <col min="12805" max="12805" width="21.5703125" style="301" customWidth="1"/>
    <col min="12806" max="12806" width="14.140625" style="301" customWidth="1"/>
    <col min="12807" max="12807" width="10.140625" style="301" customWidth="1"/>
    <col min="12808" max="12808" width="9.7109375" style="301" bestFit="1" customWidth="1"/>
    <col min="12809" max="13056" width="9.140625" style="301"/>
    <col min="13057" max="13057" width="3.28515625" style="301" customWidth="1"/>
    <col min="13058" max="13058" width="17.7109375" style="301" customWidth="1"/>
    <col min="13059" max="13059" width="17.85546875" style="301" customWidth="1"/>
    <col min="13060" max="13060" width="6" style="301" customWidth="1"/>
    <col min="13061" max="13061" width="21.5703125" style="301" customWidth="1"/>
    <col min="13062" max="13062" width="14.140625" style="301" customWidth="1"/>
    <col min="13063" max="13063" width="10.140625" style="301" customWidth="1"/>
    <col min="13064" max="13064" width="9.7109375" style="301" bestFit="1" customWidth="1"/>
    <col min="13065" max="13312" width="9.140625" style="301"/>
    <col min="13313" max="13313" width="3.28515625" style="301" customWidth="1"/>
    <col min="13314" max="13314" width="17.7109375" style="301" customWidth="1"/>
    <col min="13315" max="13315" width="17.85546875" style="301" customWidth="1"/>
    <col min="13316" max="13316" width="6" style="301" customWidth="1"/>
    <col min="13317" max="13317" width="21.5703125" style="301" customWidth="1"/>
    <col min="13318" max="13318" width="14.140625" style="301" customWidth="1"/>
    <col min="13319" max="13319" width="10.140625" style="301" customWidth="1"/>
    <col min="13320" max="13320" width="9.7109375" style="301" bestFit="1" customWidth="1"/>
    <col min="13321" max="13568" width="9.140625" style="301"/>
    <col min="13569" max="13569" width="3.28515625" style="301" customWidth="1"/>
    <col min="13570" max="13570" width="17.7109375" style="301" customWidth="1"/>
    <col min="13571" max="13571" width="17.85546875" style="301" customWidth="1"/>
    <col min="13572" max="13572" width="6" style="301" customWidth="1"/>
    <col min="13573" max="13573" width="21.5703125" style="301" customWidth="1"/>
    <col min="13574" max="13574" width="14.140625" style="301" customWidth="1"/>
    <col min="13575" max="13575" width="10.140625" style="301" customWidth="1"/>
    <col min="13576" max="13576" width="9.7109375" style="301" bestFit="1" customWidth="1"/>
    <col min="13577" max="13824" width="9.140625" style="301"/>
    <col min="13825" max="13825" width="3.28515625" style="301" customWidth="1"/>
    <col min="13826" max="13826" width="17.7109375" style="301" customWidth="1"/>
    <col min="13827" max="13827" width="17.85546875" style="301" customWidth="1"/>
    <col min="13828" max="13828" width="6" style="301" customWidth="1"/>
    <col min="13829" max="13829" width="21.5703125" style="301" customWidth="1"/>
    <col min="13830" max="13830" width="14.140625" style="301" customWidth="1"/>
    <col min="13831" max="13831" width="10.140625" style="301" customWidth="1"/>
    <col min="13832" max="13832" width="9.7109375" style="301" bestFit="1" customWidth="1"/>
    <col min="13833" max="14080" width="9.140625" style="301"/>
    <col min="14081" max="14081" width="3.28515625" style="301" customWidth="1"/>
    <col min="14082" max="14082" width="17.7109375" style="301" customWidth="1"/>
    <col min="14083" max="14083" width="17.85546875" style="301" customWidth="1"/>
    <col min="14084" max="14084" width="6" style="301" customWidth="1"/>
    <col min="14085" max="14085" width="21.5703125" style="301" customWidth="1"/>
    <col min="14086" max="14086" width="14.140625" style="301" customWidth="1"/>
    <col min="14087" max="14087" width="10.140625" style="301" customWidth="1"/>
    <col min="14088" max="14088" width="9.7109375" style="301" bestFit="1" customWidth="1"/>
    <col min="14089" max="14336" width="9.140625" style="301"/>
    <col min="14337" max="14337" width="3.28515625" style="301" customWidth="1"/>
    <col min="14338" max="14338" width="17.7109375" style="301" customWidth="1"/>
    <col min="14339" max="14339" width="17.85546875" style="301" customWidth="1"/>
    <col min="14340" max="14340" width="6" style="301" customWidth="1"/>
    <col min="14341" max="14341" width="21.5703125" style="301" customWidth="1"/>
    <col min="14342" max="14342" width="14.140625" style="301" customWidth="1"/>
    <col min="14343" max="14343" width="10.140625" style="301" customWidth="1"/>
    <col min="14344" max="14344" width="9.7109375" style="301" bestFit="1" customWidth="1"/>
    <col min="14345" max="14592" width="9.140625" style="301"/>
    <col min="14593" max="14593" width="3.28515625" style="301" customWidth="1"/>
    <col min="14594" max="14594" width="17.7109375" style="301" customWidth="1"/>
    <col min="14595" max="14595" width="17.85546875" style="301" customWidth="1"/>
    <col min="14596" max="14596" width="6" style="301" customWidth="1"/>
    <col min="14597" max="14597" width="21.5703125" style="301" customWidth="1"/>
    <col min="14598" max="14598" width="14.140625" style="301" customWidth="1"/>
    <col min="14599" max="14599" width="10.140625" style="301" customWidth="1"/>
    <col min="14600" max="14600" width="9.7109375" style="301" bestFit="1" customWidth="1"/>
    <col min="14601" max="14848" width="9.140625" style="301"/>
    <col min="14849" max="14849" width="3.28515625" style="301" customWidth="1"/>
    <col min="14850" max="14850" width="17.7109375" style="301" customWidth="1"/>
    <col min="14851" max="14851" width="17.85546875" style="301" customWidth="1"/>
    <col min="14852" max="14852" width="6" style="301" customWidth="1"/>
    <col min="14853" max="14853" width="21.5703125" style="301" customWidth="1"/>
    <col min="14854" max="14854" width="14.140625" style="301" customWidth="1"/>
    <col min="14855" max="14855" width="10.140625" style="301" customWidth="1"/>
    <col min="14856" max="14856" width="9.7109375" style="301" bestFit="1" customWidth="1"/>
    <col min="14857" max="15104" width="9.140625" style="301"/>
    <col min="15105" max="15105" width="3.28515625" style="301" customWidth="1"/>
    <col min="15106" max="15106" width="17.7109375" style="301" customWidth="1"/>
    <col min="15107" max="15107" width="17.85546875" style="301" customWidth="1"/>
    <col min="15108" max="15108" width="6" style="301" customWidth="1"/>
    <col min="15109" max="15109" width="21.5703125" style="301" customWidth="1"/>
    <col min="15110" max="15110" width="14.140625" style="301" customWidth="1"/>
    <col min="15111" max="15111" width="10.140625" style="301" customWidth="1"/>
    <col min="15112" max="15112" width="9.7109375" style="301" bestFit="1" customWidth="1"/>
    <col min="15113" max="15360" width="9.140625" style="301"/>
    <col min="15361" max="15361" width="3.28515625" style="301" customWidth="1"/>
    <col min="15362" max="15362" width="17.7109375" style="301" customWidth="1"/>
    <col min="15363" max="15363" width="17.85546875" style="301" customWidth="1"/>
    <col min="15364" max="15364" width="6" style="301" customWidth="1"/>
    <col min="15365" max="15365" width="21.5703125" style="301" customWidth="1"/>
    <col min="15366" max="15366" width="14.140625" style="301" customWidth="1"/>
    <col min="15367" max="15367" width="10.140625" style="301" customWidth="1"/>
    <col min="15368" max="15368" width="9.7109375" style="301" bestFit="1" customWidth="1"/>
    <col min="15369" max="15616" width="9.140625" style="301"/>
    <col min="15617" max="15617" width="3.28515625" style="301" customWidth="1"/>
    <col min="15618" max="15618" width="17.7109375" style="301" customWidth="1"/>
    <col min="15619" max="15619" width="17.85546875" style="301" customWidth="1"/>
    <col min="15620" max="15620" width="6" style="301" customWidth="1"/>
    <col min="15621" max="15621" width="21.5703125" style="301" customWidth="1"/>
    <col min="15622" max="15622" width="14.140625" style="301" customWidth="1"/>
    <col min="15623" max="15623" width="10.140625" style="301" customWidth="1"/>
    <col min="15624" max="15624" width="9.7109375" style="301" bestFit="1" customWidth="1"/>
    <col min="15625" max="15872" width="9.140625" style="301"/>
    <col min="15873" max="15873" width="3.28515625" style="301" customWidth="1"/>
    <col min="15874" max="15874" width="17.7109375" style="301" customWidth="1"/>
    <col min="15875" max="15875" width="17.85546875" style="301" customWidth="1"/>
    <col min="15876" max="15876" width="6" style="301" customWidth="1"/>
    <col min="15877" max="15877" width="21.5703125" style="301" customWidth="1"/>
    <col min="15878" max="15878" width="14.140625" style="301" customWidth="1"/>
    <col min="15879" max="15879" width="10.140625" style="301" customWidth="1"/>
    <col min="15880" max="15880" width="9.7109375" style="301" bestFit="1" customWidth="1"/>
    <col min="15881" max="16128" width="9.140625" style="301"/>
    <col min="16129" max="16129" width="3.28515625" style="301" customWidth="1"/>
    <col min="16130" max="16130" width="17.7109375" style="301" customWidth="1"/>
    <col min="16131" max="16131" width="17.85546875" style="301" customWidth="1"/>
    <col min="16132" max="16132" width="6" style="301" customWidth="1"/>
    <col min="16133" max="16133" width="21.5703125" style="301" customWidth="1"/>
    <col min="16134" max="16134" width="14.140625" style="301" customWidth="1"/>
    <col min="16135" max="16135" width="10.140625" style="301" customWidth="1"/>
    <col min="16136" max="16136" width="9.7109375" style="301" bestFit="1" customWidth="1"/>
    <col min="16137" max="16384" width="9.140625" style="301"/>
  </cols>
  <sheetData>
    <row r="1" spans="1:7">
      <c r="E1" s="301" t="s">
        <v>1905</v>
      </c>
    </row>
    <row r="2" spans="1:7" ht="21.75" customHeight="1">
      <c r="A2" s="1022" t="s">
        <v>1906</v>
      </c>
      <c r="B2" s="1022"/>
      <c r="C2" s="1022"/>
      <c r="D2" s="1022"/>
      <c r="E2" s="1022"/>
      <c r="F2" s="1022"/>
      <c r="G2" s="1022"/>
    </row>
    <row r="3" spans="1:7" s="307" customFormat="1" ht="19.5" customHeight="1">
      <c r="A3" s="302"/>
      <c r="B3" s="303" t="s">
        <v>1907</v>
      </c>
      <c r="C3" s="304" t="s">
        <v>1908</v>
      </c>
      <c r="D3" s="302"/>
      <c r="E3" s="305"/>
      <c r="F3" s="306" t="s">
        <v>1909</v>
      </c>
      <c r="G3" s="302"/>
    </row>
    <row r="4" spans="1:7" s="307" customFormat="1" ht="19.5" customHeight="1">
      <c r="A4" s="302"/>
      <c r="B4" s="308" t="s">
        <v>2059</v>
      </c>
      <c r="C4" s="302"/>
      <c r="D4" s="302"/>
      <c r="E4" s="305"/>
      <c r="F4" s="302"/>
      <c r="G4" s="302"/>
    </row>
    <row r="5" spans="1:7" s="307" customFormat="1" ht="16.5" customHeight="1">
      <c r="A5" s="309">
        <v>1</v>
      </c>
      <c r="B5" s="1017" t="s">
        <v>1910</v>
      </c>
      <c r="C5" s="1018"/>
      <c r="D5" s="310" t="s">
        <v>253</v>
      </c>
      <c r="E5" s="1019" t="s">
        <v>1885</v>
      </c>
      <c r="F5" s="1020"/>
      <c r="G5" s="1021"/>
    </row>
    <row r="6" spans="1:7" s="307" customFormat="1" ht="19.5" customHeight="1">
      <c r="A6" s="309">
        <v>2</v>
      </c>
      <c r="B6" s="1017" t="s">
        <v>1911</v>
      </c>
      <c r="C6" s="1018"/>
      <c r="D6" s="310" t="s">
        <v>253</v>
      </c>
      <c r="E6" s="1019" t="s">
        <v>1885</v>
      </c>
      <c r="F6" s="1020"/>
      <c r="G6" s="1021"/>
    </row>
    <row r="7" spans="1:7" s="307" customFormat="1" ht="52.5" customHeight="1">
      <c r="A7" s="309">
        <v>3</v>
      </c>
      <c r="B7" s="1017" t="s">
        <v>1912</v>
      </c>
      <c r="C7" s="1018"/>
      <c r="D7" s="310" t="s">
        <v>253</v>
      </c>
      <c r="E7" s="1019" t="str">
        <f>'lead 24-25'!C2</f>
        <v>Completion of incomplete Anganwadi building  in Paletipalli village of P.C.Palli Mandal.</v>
      </c>
      <c r="F7" s="1020"/>
      <c r="G7" s="1021"/>
    </row>
    <row r="8" spans="1:7" s="307" customFormat="1" ht="18.75" customHeight="1">
      <c r="A8" s="309">
        <v>4</v>
      </c>
      <c r="B8" s="1017" t="s">
        <v>1913</v>
      </c>
      <c r="C8" s="1018"/>
      <c r="D8" s="310" t="s">
        <v>253</v>
      </c>
      <c r="E8" s="1019"/>
      <c r="F8" s="1020"/>
      <c r="G8" s="1021"/>
    </row>
    <row r="9" spans="1:7" s="307" customFormat="1" ht="18.75" customHeight="1">
      <c r="A9" s="309">
        <v>5</v>
      </c>
      <c r="B9" s="1011" t="s">
        <v>1914</v>
      </c>
      <c r="C9" s="1011"/>
      <c r="D9" s="310" t="s">
        <v>253</v>
      </c>
      <c r="E9" s="1012" t="str">
        <f>'lead 24-25'!K4</f>
        <v>15.00 Lakhs</v>
      </c>
      <c r="F9" s="1012"/>
      <c r="G9" s="1012"/>
    </row>
    <row r="10" spans="1:7" s="307" customFormat="1" ht="30" customHeight="1">
      <c r="A10" s="309">
        <v>6</v>
      </c>
      <c r="B10" s="1011" t="s">
        <v>1915</v>
      </c>
      <c r="C10" s="1011"/>
      <c r="D10" s="310" t="s">
        <v>253</v>
      </c>
      <c r="E10" s="1011" t="s">
        <v>2060</v>
      </c>
      <c r="F10" s="1011"/>
      <c r="G10" s="1011"/>
    </row>
    <row r="11" spans="1:7" s="307" customFormat="1" ht="28.5" customHeight="1">
      <c r="A11" s="309">
        <v>7</v>
      </c>
      <c r="B11" s="1011" t="s">
        <v>1916</v>
      </c>
      <c r="C11" s="1011"/>
      <c r="D11" s="310" t="s">
        <v>253</v>
      </c>
      <c r="E11" s="1011" t="s">
        <v>2061</v>
      </c>
      <c r="F11" s="1011"/>
      <c r="G11" s="1011"/>
    </row>
    <row r="12" spans="1:7" s="307" customFormat="1" ht="30" customHeight="1">
      <c r="A12" s="309">
        <v>8</v>
      </c>
      <c r="B12" s="1011" t="s">
        <v>1917</v>
      </c>
      <c r="C12" s="1011"/>
      <c r="D12" s="310" t="s">
        <v>253</v>
      </c>
      <c r="E12" s="1011" t="s">
        <v>2062</v>
      </c>
      <c r="F12" s="1011"/>
      <c r="G12" s="1011"/>
    </row>
    <row r="13" spans="1:7" s="307" customFormat="1" ht="38.25" customHeight="1">
      <c r="A13" s="309">
        <v>9</v>
      </c>
      <c r="B13" s="1011" t="s">
        <v>1918</v>
      </c>
      <c r="C13" s="1011"/>
      <c r="D13" s="310" t="s">
        <v>253</v>
      </c>
      <c r="E13" s="1011" t="s">
        <v>1919</v>
      </c>
      <c r="F13" s="1011"/>
      <c r="G13" s="1011"/>
    </row>
    <row r="14" spans="1:7" s="307" customFormat="1" ht="16.5" customHeight="1">
      <c r="A14" s="309">
        <v>10</v>
      </c>
      <c r="B14" s="1011" t="s">
        <v>1920</v>
      </c>
      <c r="C14" s="1011"/>
      <c r="D14" s="310" t="s">
        <v>253</v>
      </c>
      <c r="E14" s="1011" t="s">
        <v>15</v>
      </c>
      <c r="F14" s="1011"/>
      <c r="G14" s="1011"/>
    </row>
    <row r="15" spans="1:7" s="307" customFormat="1" ht="27.75" customHeight="1">
      <c r="A15" s="309">
        <v>11</v>
      </c>
      <c r="B15" s="1011" t="s">
        <v>1921</v>
      </c>
      <c r="C15" s="1011"/>
      <c r="D15" s="310" t="s">
        <v>253</v>
      </c>
      <c r="E15" s="1011" t="s">
        <v>1922</v>
      </c>
      <c r="F15" s="1011"/>
      <c r="G15" s="1011"/>
    </row>
    <row r="16" spans="1:7" s="307" customFormat="1" ht="18.75" customHeight="1">
      <c r="A16" s="309">
        <v>12</v>
      </c>
      <c r="B16" s="1011" t="s">
        <v>1923</v>
      </c>
      <c r="C16" s="1011"/>
      <c r="D16" s="310" t="s">
        <v>253</v>
      </c>
      <c r="E16" s="1011" t="str">
        <f>E9</f>
        <v>15.00 Lakhs</v>
      </c>
      <c r="F16" s="1011"/>
      <c r="G16" s="1011"/>
    </row>
    <row r="17" spans="1:7" s="307" customFormat="1" ht="15.75" customHeight="1">
      <c r="A17" s="309">
        <v>13</v>
      </c>
      <c r="B17" s="1011" t="s">
        <v>1924</v>
      </c>
      <c r="C17" s="1011"/>
      <c r="D17" s="310" t="s">
        <v>253</v>
      </c>
      <c r="E17" s="1012"/>
      <c r="F17" s="1012"/>
      <c r="G17" s="1012"/>
    </row>
    <row r="18" spans="1:7" s="307" customFormat="1" ht="18.75" customHeight="1">
      <c r="A18" s="309">
        <v>14</v>
      </c>
      <c r="B18" s="1011" t="s">
        <v>1925</v>
      </c>
      <c r="C18" s="1011"/>
      <c r="D18" s="310" t="s">
        <v>253</v>
      </c>
      <c r="E18" s="1012"/>
      <c r="F18" s="1012"/>
      <c r="G18" s="1012"/>
    </row>
    <row r="19" spans="1:7" s="307" customFormat="1" ht="13.5" customHeight="1">
      <c r="A19" s="309">
        <v>15</v>
      </c>
      <c r="B19" s="1011" t="s">
        <v>1926</v>
      </c>
      <c r="C19" s="1011"/>
      <c r="D19" s="310" t="s">
        <v>253</v>
      </c>
      <c r="E19" s="1012"/>
      <c r="F19" s="1012"/>
      <c r="G19" s="1012"/>
    </row>
    <row r="20" spans="1:7" s="307" customFormat="1" ht="15.75" customHeight="1">
      <c r="A20" s="309">
        <v>16</v>
      </c>
      <c r="B20" s="1011" t="s">
        <v>1927</v>
      </c>
      <c r="C20" s="1011"/>
      <c r="D20" s="310" t="s">
        <v>253</v>
      </c>
      <c r="E20" s="1012"/>
      <c r="F20" s="1012"/>
      <c r="G20" s="1012"/>
    </row>
    <row r="21" spans="1:7" s="307" customFormat="1" ht="15.75" customHeight="1">
      <c r="A21" s="309">
        <v>17</v>
      </c>
      <c r="B21" s="1011" t="s">
        <v>1928</v>
      </c>
      <c r="C21" s="1011"/>
      <c r="D21" s="310" t="s">
        <v>253</v>
      </c>
      <c r="E21" s="1012"/>
      <c r="F21" s="1012"/>
      <c r="G21" s="1012"/>
    </row>
    <row r="22" spans="1:7" s="307" customFormat="1" ht="49.5" customHeight="1">
      <c r="A22" s="309">
        <v>18</v>
      </c>
      <c r="B22" s="1011" t="s">
        <v>1929</v>
      </c>
      <c r="C22" s="1011"/>
      <c r="D22" s="310" t="s">
        <v>253</v>
      </c>
      <c r="E22" s="1012" t="s">
        <v>1930</v>
      </c>
      <c r="F22" s="1012"/>
      <c r="G22" s="1012"/>
    </row>
    <row r="23" spans="1:7" s="307" customFormat="1" ht="36" customHeight="1">
      <c r="A23" s="309">
        <v>19</v>
      </c>
      <c r="B23" s="1032" t="s">
        <v>1931</v>
      </c>
      <c r="C23" s="1032"/>
      <c r="D23" s="310" t="s">
        <v>253</v>
      </c>
      <c r="E23" s="311" t="s">
        <v>1932</v>
      </c>
      <c r="F23" s="1032" t="s">
        <v>1933</v>
      </c>
      <c r="G23" s="1032"/>
    </row>
    <row r="24" spans="1:7" s="307" customFormat="1" ht="17.25" customHeight="1">
      <c r="A24" s="309"/>
      <c r="B24" s="311" t="s">
        <v>920</v>
      </c>
      <c r="C24" s="311" t="s">
        <v>1934</v>
      </c>
      <c r="D24" s="310"/>
      <c r="E24" s="310" t="s">
        <v>1934</v>
      </c>
      <c r="F24" s="311" t="s">
        <v>920</v>
      </c>
      <c r="G24" s="311" t="s">
        <v>1934</v>
      </c>
    </row>
    <row r="25" spans="1:7" s="307" customFormat="1" ht="13.5" customHeight="1">
      <c r="A25" s="309"/>
      <c r="B25" s="311"/>
      <c r="C25" s="311"/>
      <c r="D25" s="310"/>
      <c r="E25" s="310"/>
      <c r="F25" s="311"/>
      <c r="G25" s="311"/>
    </row>
    <row r="26" spans="1:7" s="307" customFormat="1" ht="13.5" customHeight="1">
      <c r="A26" s="309"/>
      <c r="B26" s="311"/>
      <c r="C26" s="311"/>
      <c r="D26" s="310"/>
      <c r="E26" s="310"/>
      <c r="F26" s="311"/>
      <c r="G26" s="311"/>
    </row>
    <row r="27" spans="1:7" s="307" customFormat="1" ht="13.5" customHeight="1">
      <c r="A27" s="309"/>
      <c r="B27" s="311"/>
      <c r="C27" s="311"/>
      <c r="D27" s="310"/>
      <c r="E27" s="310"/>
      <c r="F27" s="311"/>
      <c r="G27" s="311"/>
    </row>
    <row r="28" spans="1:7" s="307" customFormat="1" ht="13.5" customHeight="1">
      <c r="A28" s="309"/>
      <c r="B28" s="311"/>
      <c r="C28" s="311"/>
      <c r="D28" s="310"/>
      <c r="E28" s="310"/>
      <c r="F28" s="311"/>
      <c r="G28" s="311"/>
    </row>
    <row r="29" spans="1:7" s="307" customFormat="1" ht="21" customHeight="1">
      <c r="A29" s="309">
        <v>20</v>
      </c>
      <c r="B29" s="1029" t="s">
        <v>1935</v>
      </c>
      <c r="C29" s="1030"/>
      <c r="D29" s="1030"/>
      <c r="E29" s="1030"/>
      <c r="F29" s="1030"/>
      <c r="G29" s="1031"/>
    </row>
    <row r="30" spans="1:7" s="307" customFormat="1" ht="15.75" customHeight="1">
      <c r="A30" s="309"/>
      <c r="B30" s="1011" t="s">
        <v>1936</v>
      </c>
      <c r="C30" s="1011"/>
      <c r="D30" s="310" t="s">
        <v>253</v>
      </c>
      <c r="E30" s="1012"/>
      <c r="F30" s="1012"/>
      <c r="G30" s="1012"/>
    </row>
    <row r="31" spans="1:7" s="307" customFormat="1" ht="14.25" customHeight="1">
      <c r="A31" s="309"/>
      <c r="B31" s="1011" t="s">
        <v>1937</v>
      </c>
      <c r="C31" s="1011"/>
      <c r="D31" s="310" t="s">
        <v>253</v>
      </c>
      <c r="E31" s="1012"/>
      <c r="F31" s="1012"/>
      <c r="G31" s="1012"/>
    </row>
    <row r="32" spans="1:7" s="307" customFormat="1" ht="26.25" customHeight="1">
      <c r="A32" s="309">
        <v>21</v>
      </c>
      <c r="B32" s="1011" t="s">
        <v>1938</v>
      </c>
      <c r="C32" s="1011"/>
      <c r="D32" s="310" t="s">
        <v>253</v>
      </c>
      <c r="E32" s="1012"/>
      <c r="F32" s="1012"/>
      <c r="G32" s="1012"/>
    </row>
    <row r="33" spans="1:7" s="307" customFormat="1" ht="25.5" customHeight="1">
      <c r="A33" s="309">
        <v>22</v>
      </c>
      <c r="B33" s="1011" t="s">
        <v>1939</v>
      </c>
      <c r="C33" s="1011"/>
      <c r="D33" s="310" t="s">
        <v>253</v>
      </c>
      <c r="E33" s="1012" t="s">
        <v>1930</v>
      </c>
      <c r="F33" s="1012"/>
      <c r="G33" s="1012"/>
    </row>
    <row r="34" spans="1:7" s="307" customFormat="1" ht="15.75" customHeight="1">
      <c r="A34" s="309">
        <v>23</v>
      </c>
      <c r="B34" s="1011" t="s">
        <v>1940</v>
      </c>
      <c r="C34" s="1011"/>
      <c r="D34" s="310" t="s">
        <v>253</v>
      </c>
      <c r="E34" s="1012" t="s">
        <v>1930</v>
      </c>
      <c r="F34" s="1012"/>
      <c r="G34" s="1012"/>
    </row>
    <row r="35" spans="1:7" s="307" customFormat="1" ht="26.25" customHeight="1">
      <c r="A35" s="309">
        <v>24</v>
      </c>
      <c r="B35" s="1011" t="s">
        <v>1941</v>
      </c>
      <c r="C35" s="1011"/>
      <c r="D35" s="310" t="s">
        <v>253</v>
      </c>
      <c r="E35" s="1012" t="s">
        <v>1930</v>
      </c>
      <c r="F35" s="1012"/>
      <c r="G35" s="1012"/>
    </row>
    <row r="36" spans="1:7" s="307" customFormat="1" ht="24.75" customHeight="1">
      <c r="A36" s="309">
        <v>25</v>
      </c>
      <c r="B36" s="1011" t="s">
        <v>1942</v>
      </c>
      <c r="C36" s="1011"/>
      <c r="D36" s="310" t="s">
        <v>253</v>
      </c>
      <c r="E36" s="1012" t="s">
        <v>114</v>
      </c>
      <c r="F36" s="1012"/>
      <c r="G36" s="1012"/>
    </row>
    <row r="37" spans="1:7" s="307" customFormat="1" ht="18" customHeight="1">
      <c r="A37" s="309">
        <v>26</v>
      </c>
      <c r="B37" s="1011" t="s">
        <v>1943</v>
      </c>
      <c r="C37" s="1011"/>
      <c r="D37" s="310" t="s">
        <v>253</v>
      </c>
      <c r="E37" s="1012" t="s">
        <v>114</v>
      </c>
      <c r="F37" s="1012"/>
      <c r="G37" s="1012"/>
    </row>
    <row r="42" spans="1:7" s="307" customFormat="1" ht="21" customHeight="1">
      <c r="A42" s="309"/>
      <c r="B42" s="1029" t="s">
        <v>1944</v>
      </c>
      <c r="C42" s="1030"/>
      <c r="D42" s="1030"/>
      <c r="E42" s="1030"/>
      <c r="F42" s="1030"/>
      <c r="G42" s="1031"/>
    </row>
    <row r="43" spans="1:7" s="307" customFormat="1" ht="29.25" customHeight="1">
      <c r="A43" s="309">
        <v>27</v>
      </c>
      <c r="B43" s="1028" t="s">
        <v>1945</v>
      </c>
      <c r="C43" s="1028"/>
      <c r="D43" s="310" t="s">
        <v>253</v>
      </c>
      <c r="E43" s="1012"/>
      <c r="F43" s="1012"/>
      <c r="G43" s="1012"/>
    </row>
    <row r="44" spans="1:7" s="307" customFormat="1" ht="45" customHeight="1">
      <c r="A44" s="309">
        <v>28</v>
      </c>
      <c r="B44" s="1028" t="s">
        <v>1946</v>
      </c>
      <c r="C44" s="1028"/>
      <c r="D44" s="310" t="s">
        <v>253</v>
      </c>
      <c r="E44" s="1012"/>
      <c r="F44" s="1012"/>
      <c r="G44" s="1012"/>
    </row>
    <row r="45" spans="1:7" s="307" customFormat="1" ht="42.75" customHeight="1">
      <c r="A45" s="309">
        <v>29</v>
      </c>
      <c r="B45" s="1028" t="s">
        <v>1947</v>
      </c>
      <c r="C45" s="1028"/>
      <c r="D45" s="310" t="s">
        <v>253</v>
      </c>
      <c r="E45" s="1012"/>
      <c r="F45" s="1012"/>
      <c r="G45" s="1012"/>
    </row>
    <row r="46" spans="1:7" s="307" customFormat="1" ht="53.25" customHeight="1">
      <c r="A46" s="309">
        <v>30</v>
      </c>
      <c r="B46" s="1028" t="s">
        <v>1948</v>
      </c>
      <c r="C46" s="1028"/>
      <c r="D46" s="310" t="s">
        <v>253</v>
      </c>
      <c r="E46" s="1012"/>
      <c r="F46" s="1012"/>
      <c r="G46" s="1012"/>
    </row>
    <row r="47" spans="1:7" s="307" customFormat="1" ht="57" customHeight="1">
      <c r="A47" s="309">
        <v>31</v>
      </c>
      <c r="B47" s="1028" t="s">
        <v>1949</v>
      </c>
      <c r="C47" s="1028"/>
      <c r="D47" s="310" t="s">
        <v>253</v>
      </c>
      <c r="E47" s="1012"/>
      <c r="F47" s="1012"/>
      <c r="G47" s="1012"/>
    </row>
    <row r="48" spans="1:7" s="307" customFormat="1" ht="54.75" customHeight="1">
      <c r="A48" s="309">
        <v>32</v>
      </c>
      <c r="B48" s="1028" t="s">
        <v>1950</v>
      </c>
      <c r="C48" s="1028"/>
      <c r="D48" s="310" t="s">
        <v>253</v>
      </c>
      <c r="E48" s="1012"/>
      <c r="F48" s="1012"/>
      <c r="G48" s="1012"/>
    </row>
    <row r="49" spans="1:7" s="307" customFormat="1" ht="43.5" customHeight="1">
      <c r="A49" s="309">
        <v>33</v>
      </c>
      <c r="B49" s="1028" t="s">
        <v>1951</v>
      </c>
      <c r="C49" s="1028"/>
      <c r="D49" s="310" t="s">
        <v>253</v>
      </c>
      <c r="E49" s="1012"/>
      <c r="F49" s="1012"/>
      <c r="G49" s="1012"/>
    </row>
    <row r="50" spans="1:7" s="307" customFormat="1" ht="39.75" customHeight="1">
      <c r="A50" s="309">
        <v>34</v>
      </c>
      <c r="B50" s="1028" t="s">
        <v>1952</v>
      </c>
      <c r="C50" s="1028"/>
      <c r="D50" s="310" t="s">
        <v>253</v>
      </c>
      <c r="E50" s="1012"/>
      <c r="F50" s="1012"/>
      <c r="G50" s="1012"/>
    </row>
    <row r="51" spans="1:7" s="307" customFormat="1" ht="21" customHeight="1">
      <c r="A51" s="309">
        <v>35</v>
      </c>
      <c r="B51" s="1029" t="s">
        <v>1935</v>
      </c>
      <c r="C51" s="1030"/>
      <c r="D51" s="1030"/>
      <c r="E51" s="1030"/>
      <c r="F51" s="1030"/>
      <c r="G51" s="1031"/>
    </row>
    <row r="52" spans="1:7" s="307" customFormat="1" ht="29.25" customHeight="1">
      <c r="A52" s="309"/>
      <c r="B52" s="1011" t="s">
        <v>1953</v>
      </c>
      <c r="C52" s="1011"/>
      <c r="D52" s="310" t="s">
        <v>253</v>
      </c>
      <c r="E52" s="1012"/>
      <c r="F52" s="1012"/>
      <c r="G52" s="1012"/>
    </row>
    <row r="53" spans="1:7" s="307" customFormat="1" ht="29.25" customHeight="1">
      <c r="A53" s="309"/>
      <c r="B53" s="1011" t="s">
        <v>1937</v>
      </c>
      <c r="C53" s="1011"/>
      <c r="D53" s="310" t="s">
        <v>253</v>
      </c>
      <c r="E53" s="1012"/>
      <c r="F53" s="1012"/>
      <c r="G53" s="1012"/>
    </row>
    <row r="54" spans="1:7" s="307" customFormat="1" ht="29.25" customHeight="1">
      <c r="A54" s="309">
        <v>36</v>
      </c>
      <c r="B54" s="1011" t="s">
        <v>1938</v>
      </c>
      <c r="C54" s="1011"/>
      <c r="D54" s="310" t="s">
        <v>253</v>
      </c>
      <c r="E54" s="1012"/>
      <c r="F54" s="1012"/>
      <c r="G54" s="1012"/>
    </row>
    <row r="55" spans="1:7" s="307" customFormat="1" ht="69" customHeight="1">
      <c r="A55" s="309">
        <v>37</v>
      </c>
      <c r="B55" s="1011" t="s">
        <v>1954</v>
      </c>
      <c r="C55" s="1011"/>
      <c r="D55" s="310" t="s">
        <v>253</v>
      </c>
      <c r="E55" s="1025" t="s">
        <v>1955</v>
      </c>
      <c r="F55" s="1026"/>
      <c r="G55" s="1027"/>
    </row>
    <row r="56" spans="1:7" s="307" customFormat="1" ht="29.25" customHeight="1">
      <c r="A56" s="309">
        <v>38</v>
      </c>
      <c r="B56" s="1011" t="s">
        <v>1956</v>
      </c>
      <c r="C56" s="1011"/>
      <c r="D56" s="310" t="s">
        <v>253</v>
      </c>
      <c r="E56" s="1012"/>
      <c r="F56" s="1012"/>
      <c r="G56" s="1012"/>
    </row>
    <row r="57" spans="1:7" s="307" customFormat="1" ht="29.25" customHeight="1">
      <c r="A57" s="309">
        <v>39</v>
      </c>
      <c r="B57" s="1011" t="s">
        <v>1957</v>
      </c>
      <c r="C57" s="1011"/>
      <c r="D57" s="310" t="s">
        <v>253</v>
      </c>
      <c r="E57" s="1012"/>
      <c r="F57" s="1012"/>
      <c r="G57" s="1012"/>
    </row>
  </sheetData>
  <mergeCells count="86">
    <mergeCell ref="B7:C7"/>
    <mergeCell ref="E7:G7"/>
    <mergeCell ref="A2:G2"/>
    <mergeCell ref="B5:C5"/>
    <mergeCell ref="E5:G5"/>
    <mergeCell ref="B6:C6"/>
    <mergeCell ref="E6:G6"/>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18:C18"/>
    <mergeCell ref="E18:G18"/>
    <mergeCell ref="B19:C19"/>
    <mergeCell ref="E19:G19"/>
    <mergeCell ref="B31:C31"/>
    <mergeCell ref="E31:G31"/>
    <mergeCell ref="B20:C20"/>
    <mergeCell ref="E20:G20"/>
    <mergeCell ref="B21:C21"/>
    <mergeCell ref="E21:G21"/>
    <mergeCell ref="B22:C22"/>
    <mergeCell ref="E22:G22"/>
    <mergeCell ref="B23:C23"/>
    <mergeCell ref="F23:G23"/>
    <mergeCell ref="B29:G29"/>
    <mergeCell ref="B30:C30"/>
    <mergeCell ref="E30:G30"/>
    <mergeCell ref="B32:C32"/>
    <mergeCell ref="E32:G32"/>
    <mergeCell ref="B33:C33"/>
    <mergeCell ref="E33:G33"/>
    <mergeCell ref="B34:C34"/>
    <mergeCell ref="E34:G34"/>
    <mergeCell ref="B45:C45"/>
    <mergeCell ref="E45:G45"/>
    <mergeCell ref="B35:C35"/>
    <mergeCell ref="E35:G35"/>
    <mergeCell ref="B36:C36"/>
    <mergeCell ref="E36:G36"/>
    <mergeCell ref="B37:C37"/>
    <mergeCell ref="E37:G37"/>
    <mergeCell ref="B42:G42"/>
    <mergeCell ref="B43:C43"/>
    <mergeCell ref="E43:G43"/>
    <mergeCell ref="B44:C44"/>
    <mergeCell ref="E44:G44"/>
    <mergeCell ref="B52:C52"/>
    <mergeCell ref="E52:G52"/>
    <mergeCell ref="B46:C46"/>
    <mergeCell ref="E46:G46"/>
    <mergeCell ref="B47:C47"/>
    <mergeCell ref="E47:G47"/>
    <mergeCell ref="B48:C48"/>
    <mergeCell ref="E48:G48"/>
    <mergeCell ref="B49:C49"/>
    <mergeCell ref="E49:G49"/>
    <mergeCell ref="B50:C50"/>
    <mergeCell ref="E50:G50"/>
    <mergeCell ref="B51:G51"/>
    <mergeCell ref="B56:C56"/>
    <mergeCell ref="E56:G56"/>
    <mergeCell ref="B57:C57"/>
    <mergeCell ref="E57:G57"/>
    <mergeCell ref="B53:C53"/>
    <mergeCell ref="E53:G53"/>
    <mergeCell ref="B54:C54"/>
    <mergeCell ref="E54:G54"/>
    <mergeCell ref="B55:C55"/>
    <mergeCell ref="E55:G55"/>
  </mergeCells>
  <printOptions horizontalCentered="1"/>
  <pageMargins left="0.5" right="0.62992125984252001" top="0.17" bottom="0.16" header="0.17" footer="0.36"/>
  <pageSetup paperSize="9" scale="95" orientation="portrait" r:id="rId1"/>
  <headerFooter alignWithMargins="0"/>
  <rowBreaks count="1" manualBreakCount="1">
    <brk id="41" max="6"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A1:L347"/>
  <sheetViews>
    <sheetView view="pageBreakPreview" topLeftCell="A73" zoomScale="130" zoomScaleSheetLayoutView="130" workbookViewId="0">
      <selection activeCell="E58" sqref="E58"/>
    </sheetView>
  </sheetViews>
  <sheetFormatPr defaultRowHeight="12.75"/>
  <cols>
    <col min="1" max="1" width="2.85546875" style="347" customWidth="1"/>
    <col min="2" max="2" width="7.42578125" style="412" customWidth="1"/>
    <col min="3" max="3" width="4.28515625" style="347" customWidth="1"/>
    <col min="4" max="4" width="7.42578125" style="413" customWidth="1"/>
    <col min="5" max="5" width="36" style="347" customWidth="1"/>
    <col min="6" max="6" width="8.7109375" style="348" customWidth="1"/>
    <col min="7" max="7" width="6" style="347" customWidth="1"/>
    <col min="8" max="8" width="10.28515625" style="347" customWidth="1"/>
    <col min="9" max="9" width="9.7109375" style="347" customWidth="1"/>
    <col min="10" max="10" width="7.140625" style="347" customWidth="1"/>
    <col min="11" max="11" width="9.140625" style="347"/>
    <col min="12" max="12" width="10.28515625" style="347" customWidth="1"/>
    <col min="13" max="16384" width="9.140625" style="347"/>
  </cols>
  <sheetData>
    <row r="1" spans="1:12" ht="23.25" customHeight="1">
      <c r="A1" s="956" t="s">
        <v>1958</v>
      </c>
      <c r="B1" s="957"/>
      <c r="C1" s="957"/>
      <c r="D1" s="957"/>
      <c r="E1" s="957"/>
      <c r="F1" s="957"/>
      <c r="G1" s="957"/>
      <c r="H1" s="957"/>
      <c r="I1" s="957"/>
      <c r="J1" s="957"/>
    </row>
    <row r="2" spans="1:12" ht="20.25" customHeight="1">
      <c r="B2" s="958"/>
      <c r="C2" s="958"/>
      <c r="D2" s="958"/>
      <c r="G2" s="959" t="str">
        <f>'C-1 '!C3</f>
        <v>ZPGF 15% Office Maintenance Grant.</v>
      </c>
      <c r="H2" s="959"/>
      <c r="I2" s="959"/>
      <c r="J2" s="959"/>
    </row>
    <row r="3" spans="1:12">
      <c r="B3" s="960"/>
      <c r="C3" s="960"/>
      <c r="D3" s="960"/>
      <c r="G3" s="961"/>
      <c r="H3" s="961"/>
      <c r="I3" s="961"/>
      <c r="J3" s="961"/>
    </row>
    <row r="4" spans="1:12" ht="28.5" customHeight="1">
      <c r="B4" s="962" t="str">
        <f>'lead 24-25'!B2&amp;'lead 24-25'!C2</f>
        <v>Name of the Work: Completion of incomplete Anganwadi building  in Paletipalli village of P.C.Palli Mandal.</v>
      </c>
      <c r="C4" s="962"/>
      <c r="D4" s="962"/>
      <c r="E4" s="962"/>
      <c r="F4" s="962"/>
      <c r="G4" s="962"/>
      <c r="H4" s="962"/>
      <c r="I4" s="962"/>
      <c r="J4" s="962"/>
    </row>
    <row r="5" spans="1:12" ht="24.75" customHeight="1">
      <c r="B5" s="963" t="s">
        <v>1959</v>
      </c>
      <c r="C5" s="963"/>
      <c r="D5" s="964"/>
      <c r="E5" s="964"/>
      <c r="F5" s="964"/>
      <c r="G5" s="964"/>
      <c r="H5" s="964"/>
      <c r="I5" s="964"/>
      <c r="J5" s="964"/>
    </row>
    <row r="6" spans="1:12" ht="13.5" customHeight="1">
      <c r="B6" s="952" t="s">
        <v>1960</v>
      </c>
      <c r="C6" s="952"/>
      <c r="D6" s="953"/>
      <c r="E6" s="953"/>
      <c r="F6" s="953"/>
      <c r="G6" s="953"/>
      <c r="H6" s="953"/>
      <c r="I6" s="953"/>
      <c r="J6" s="953"/>
    </row>
    <row r="7" spans="1:12" ht="15" customHeight="1">
      <c r="B7" s="952" t="s">
        <v>1961</v>
      </c>
      <c r="C7" s="952"/>
      <c r="D7" s="953"/>
      <c r="E7" s="953"/>
      <c r="F7" s="953"/>
      <c r="G7" s="953"/>
      <c r="H7" s="953"/>
      <c r="I7" s="953"/>
      <c r="J7" s="953"/>
    </row>
    <row r="8" spans="1:12" ht="12.75" customHeight="1">
      <c r="B8" s="952" t="s">
        <v>1962</v>
      </c>
      <c r="C8" s="952"/>
      <c r="D8" s="952"/>
      <c r="E8" s="952"/>
      <c r="F8" s="952"/>
      <c r="G8" s="952"/>
      <c r="H8" s="952"/>
      <c r="I8" s="952"/>
      <c r="J8" s="952"/>
    </row>
    <row r="9" spans="1:12" ht="19.5" customHeight="1">
      <c r="B9" s="952" t="s">
        <v>1963</v>
      </c>
      <c r="C9" s="952"/>
      <c r="D9" s="953"/>
      <c r="E9" s="953"/>
      <c r="F9" s="953"/>
      <c r="G9" s="953"/>
      <c r="H9" s="953"/>
      <c r="I9" s="953"/>
      <c r="J9" s="953"/>
    </row>
    <row r="10" spans="1:12" ht="13.5" customHeight="1">
      <c r="B10" s="952" t="s">
        <v>1964</v>
      </c>
      <c r="C10" s="952"/>
      <c r="D10" s="953"/>
      <c r="E10" s="954" t="s">
        <v>1965</v>
      </c>
      <c r="F10" s="955"/>
      <c r="G10" s="349"/>
      <c r="H10" s="954" t="s">
        <v>1966</v>
      </c>
      <c r="I10" s="955"/>
    </row>
    <row r="11" spans="1:12" ht="13.5" customHeight="1">
      <c r="B11" s="952" t="s">
        <v>1967</v>
      </c>
      <c r="C11" s="952"/>
      <c r="D11" s="952"/>
      <c r="E11" s="961" t="s">
        <v>1968</v>
      </c>
      <c r="F11" s="960"/>
      <c r="G11" s="350"/>
      <c r="H11" s="952" t="s">
        <v>1969</v>
      </c>
      <c r="I11" s="953"/>
    </row>
    <row r="12" spans="1:12" ht="7.5" customHeight="1">
      <c r="B12" s="351"/>
      <c r="C12" s="352"/>
      <c r="D12" s="353"/>
      <c r="E12" s="352"/>
      <c r="F12" s="354"/>
      <c r="G12" s="350"/>
      <c r="H12" s="350"/>
      <c r="I12" s="350"/>
      <c r="J12" s="352"/>
    </row>
    <row r="13" spans="1:12" s="355" customFormat="1" ht="24.75" customHeight="1">
      <c r="A13" s="965" t="s">
        <v>263</v>
      </c>
      <c r="B13" s="966" t="s">
        <v>1970</v>
      </c>
      <c r="C13" s="966"/>
      <c r="D13" s="966"/>
      <c r="E13" s="966" t="s">
        <v>1971</v>
      </c>
      <c r="F13" s="966" t="s">
        <v>1972</v>
      </c>
      <c r="G13" s="966" t="s">
        <v>9</v>
      </c>
      <c r="H13" s="966" t="s">
        <v>10</v>
      </c>
      <c r="I13" s="966"/>
      <c r="J13" s="969" t="s">
        <v>443</v>
      </c>
    </row>
    <row r="14" spans="1:12" s="355" customFormat="1" ht="45" customHeight="1">
      <c r="A14" s="965"/>
      <c r="B14" s="969" t="s">
        <v>1973</v>
      </c>
      <c r="C14" s="970"/>
      <c r="D14" s="356" t="s">
        <v>1974</v>
      </c>
      <c r="E14" s="966"/>
      <c r="F14" s="966"/>
      <c r="G14" s="966"/>
      <c r="H14" s="357" t="s">
        <v>1975</v>
      </c>
      <c r="I14" s="357" t="s">
        <v>1976</v>
      </c>
      <c r="J14" s="969"/>
    </row>
    <row r="15" spans="1:12" s="355" customFormat="1" ht="12">
      <c r="A15" s="358"/>
      <c r="B15" s="359"/>
      <c r="C15" s="344"/>
      <c r="D15" s="360"/>
      <c r="E15" s="343"/>
      <c r="F15" s="360"/>
      <c r="G15" s="361"/>
      <c r="H15" s="362"/>
      <c r="I15" s="362"/>
      <c r="J15" s="363"/>
      <c r="K15" s="364"/>
      <c r="L15" s="365"/>
    </row>
    <row r="16" spans="1:12" s="355" customFormat="1" ht="114.75">
      <c r="A16" s="366" t="s">
        <v>448</v>
      </c>
      <c r="B16" s="367">
        <f>CR!G8</f>
        <v>0</v>
      </c>
      <c r="C16" s="345" t="s">
        <v>102</v>
      </c>
      <c r="D16" s="368"/>
      <c r="E16" s="369" t="s">
        <v>144</v>
      </c>
      <c r="F16" s="368">
        <f>CR!I8</f>
        <v>406.34</v>
      </c>
      <c r="G16" s="370" t="s">
        <v>267</v>
      </c>
      <c r="H16" s="371">
        <f>ROUND(B16*F16,2)</f>
        <v>0</v>
      </c>
      <c r="I16" s="371"/>
      <c r="J16" s="372"/>
      <c r="K16" s="364"/>
      <c r="L16" s="365"/>
    </row>
    <row r="17" spans="1:12" s="355" customFormat="1" ht="114.75">
      <c r="A17" s="373" t="s">
        <v>449</v>
      </c>
      <c r="B17" s="374">
        <f>CR!G9</f>
        <v>0</v>
      </c>
      <c r="C17" s="346" t="s">
        <v>102</v>
      </c>
      <c r="D17" s="375"/>
      <c r="E17" s="376" t="s">
        <v>747</v>
      </c>
      <c r="F17" s="375">
        <f>CR!I9</f>
        <v>521.53</v>
      </c>
      <c r="G17" s="377" t="s">
        <v>267</v>
      </c>
      <c r="H17" s="378">
        <f t="shared" ref="H17:H51" si="0">ROUND(B17*F17,2)</f>
        <v>0</v>
      </c>
      <c r="I17" s="378"/>
      <c r="J17" s="379"/>
      <c r="K17" s="364"/>
      <c r="L17" s="365"/>
    </row>
    <row r="18" spans="1:12" s="355" customFormat="1" ht="178.5">
      <c r="A18" s="373" t="s">
        <v>450</v>
      </c>
      <c r="B18" s="374">
        <f>CR!G10</f>
        <v>0</v>
      </c>
      <c r="C18" s="346" t="s">
        <v>102</v>
      </c>
      <c r="D18" s="375"/>
      <c r="E18" s="376" t="s">
        <v>212</v>
      </c>
      <c r="F18" s="375">
        <f>CR!I10</f>
        <v>1284.3599999999999</v>
      </c>
      <c r="G18" s="377" t="s">
        <v>267</v>
      </c>
      <c r="H18" s="378">
        <f t="shared" si="0"/>
        <v>0</v>
      </c>
      <c r="I18" s="378"/>
      <c r="J18" s="379"/>
      <c r="K18" s="364"/>
      <c r="L18" s="365"/>
    </row>
    <row r="19" spans="1:12" s="355" customFormat="1" ht="140.25">
      <c r="A19" s="373" t="s">
        <v>451</v>
      </c>
      <c r="B19" s="374">
        <f>CR!G11</f>
        <v>0</v>
      </c>
      <c r="C19" s="346" t="s">
        <v>102</v>
      </c>
      <c r="D19" s="375"/>
      <c r="E19" s="376" t="s">
        <v>213</v>
      </c>
      <c r="F19" s="375">
        <f>CR!I11</f>
        <v>1279.49</v>
      </c>
      <c r="G19" s="377" t="s">
        <v>267</v>
      </c>
      <c r="H19" s="378">
        <f t="shared" si="0"/>
        <v>0</v>
      </c>
      <c r="I19" s="378"/>
      <c r="J19" s="379"/>
      <c r="K19" s="364"/>
      <c r="L19" s="365"/>
    </row>
    <row r="20" spans="1:12" s="355" customFormat="1" ht="153">
      <c r="A20" s="373" t="s">
        <v>452</v>
      </c>
      <c r="B20" s="374">
        <f>CR!G12</f>
        <v>0</v>
      </c>
      <c r="C20" s="346" t="s">
        <v>102</v>
      </c>
      <c r="D20" s="375"/>
      <c r="E20" s="376" t="s">
        <v>211</v>
      </c>
      <c r="F20" s="375">
        <f>CR!I12</f>
        <v>889.81</v>
      </c>
      <c r="G20" s="377" t="s">
        <v>267</v>
      </c>
      <c r="H20" s="378">
        <f t="shared" si="0"/>
        <v>0</v>
      </c>
      <c r="I20" s="378"/>
      <c r="J20" s="379"/>
      <c r="K20" s="364"/>
      <c r="L20" s="365"/>
    </row>
    <row r="21" spans="1:12" s="355" customFormat="1" ht="140.25">
      <c r="A21" s="373" t="s">
        <v>453</v>
      </c>
      <c r="B21" s="374">
        <f>CR!G13</f>
        <v>0</v>
      </c>
      <c r="C21" s="346" t="s">
        <v>102</v>
      </c>
      <c r="D21" s="375"/>
      <c r="E21" s="376" t="s">
        <v>214</v>
      </c>
      <c r="F21" s="375">
        <f>CR!I13</f>
        <v>509.65</v>
      </c>
      <c r="G21" s="377" t="s">
        <v>267</v>
      </c>
      <c r="H21" s="378">
        <f t="shared" si="0"/>
        <v>0</v>
      </c>
      <c r="I21" s="378"/>
      <c r="J21" s="379"/>
      <c r="K21" s="364"/>
      <c r="L21" s="365"/>
    </row>
    <row r="22" spans="1:12" s="355" customFormat="1" ht="204">
      <c r="A22" s="373" t="s">
        <v>454</v>
      </c>
      <c r="B22" s="374">
        <f>CR!G14</f>
        <v>0</v>
      </c>
      <c r="C22" s="346" t="s">
        <v>102</v>
      </c>
      <c r="D22" s="375"/>
      <c r="E22" s="376" t="s">
        <v>841</v>
      </c>
      <c r="F22" s="375">
        <f>CR!I14</f>
        <v>199.95</v>
      </c>
      <c r="G22" s="377" t="s">
        <v>267</v>
      </c>
      <c r="H22" s="378">
        <f t="shared" si="0"/>
        <v>0</v>
      </c>
      <c r="I22" s="378"/>
      <c r="J22" s="379"/>
      <c r="K22" s="364"/>
      <c r="L22" s="365"/>
    </row>
    <row r="23" spans="1:12" s="355" customFormat="1" ht="153">
      <c r="A23" s="373" t="s">
        <v>455</v>
      </c>
      <c r="B23" s="374">
        <f>CR!G15</f>
        <v>0</v>
      </c>
      <c r="C23" s="346" t="s">
        <v>102</v>
      </c>
      <c r="D23" s="375"/>
      <c r="E23" s="376" t="s">
        <v>939</v>
      </c>
      <c r="F23" s="375">
        <f>CR!I15</f>
        <v>201.45</v>
      </c>
      <c r="G23" s="377" t="s">
        <v>267</v>
      </c>
      <c r="H23" s="378">
        <f t="shared" si="0"/>
        <v>0</v>
      </c>
      <c r="I23" s="378"/>
      <c r="J23" s="379"/>
      <c r="K23" s="364"/>
      <c r="L23" s="365"/>
    </row>
    <row r="24" spans="1:12" s="355" customFormat="1" ht="153">
      <c r="A24" s="373" t="s">
        <v>456</v>
      </c>
      <c r="B24" s="374">
        <f>CR!G16</f>
        <v>0</v>
      </c>
      <c r="C24" s="346" t="s">
        <v>102</v>
      </c>
      <c r="D24" s="375"/>
      <c r="E24" s="376" t="s">
        <v>940</v>
      </c>
      <c r="F24" s="375">
        <f>CR!I16</f>
        <v>276.7</v>
      </c>
      <c r="G24" s="377" t="s">
        <v>267</v>
      </c>
      <c r="H24" s="378">
        <f t="shared" si="0"/>
        <v>0</v>
      </c>
      <c r="I24" s="378"/>
      <c r="J24" s="379"/>
      <c r="K24" s="364"/>
      <c r="L24" s="365"/>
    </row>
    <row r="25" spans="1:12" s="355" customFormat="1" ht="344.25">
      <c r="A25" s="373" t="s">
        <v>317</v>
      </c>
      <c r="B25" s="374">
        <f>CR!G17</f>
        <v>0</v>
      </c>
      <c r="C25" s="346" t="s">
        <v>102</v>
      </c>
      <c r="D25" s="375"/>
      <c r="E25" s="376" t="s">
        <v>1845</v>
      </c>
      <c r="F25" s="375">
        <f>CR!I17</f>
        <v>1760.4100000000003</v>
      </c>
      <c r="G25" s="377" t="s">
        <v>267</v>
      </c>
      <c r="H25" s="378">
        <f t="shared" si="0"/>
        <v>0</v>
      </c>
      <c r="I25" s="378"/>
      <c r="J25" s="379"/>
      <c r="K25" s="364"/>
      <c r="L25" s="365"/>
    </row>
    <row r="26" spans="1:12" s="355" customFormat="1" ht="114.75">
      <c r="A26" s="373" t="s">
        <v>457</v>
      </c>
      <c r="B26" s="374">
        <f>CR!G18</f>
        <v>6.3</v>
      </c>
      <c r="C26" s="346" t="s">
        <v>102</v>
      </c>
      <c r="D26" s="375"/>
      <c r="E26" s="376" t="s">
        <v>2065</v>
      </c>
      <c r="F26" s="375">
        <f>CR!I18</f>
        <v>8363.11</v>
      </c>
      <c r="G26" s="377" t="s">
        <v>267</v>
      </c>
      <c r="H26" s="378">
        <f t="shared" si="0"/>
        <v>52687.59</v>
      </c>
      <c r="I26" s="378"/>
      <c r="J26" s="379"/>
      <c r="K26" s="364"/>
      <c r="L26" s="365"/>
    </row>
    <row r="27" spans="1:12" s="355" customFormat="1" ht="326.25">
      <c r="A27" s="373" t="s">
        <v>460</v>
      </c>
      <c r="B27" s="374">
        <f>CR!G19</f>
        <v>0</v>
      </c>
      <c r="C27" s="346" t="s">
        <v>102</v>
      </c>
      <c r="D27" s="375"/>
      <c r="E27" s="380" t="s">
        <v>746</v>
      </c>
      <c r="F27" s="375">
        <f>CR!I19</f>
        <v>6698</v>
      </c>
      <c r="G27" s="377" t="s">
        <v>267</v>
      </c>
      <c r="H27" s="378">
        <f t="shared" si="0"/>
        <v>0</v>
      </c>
      <c r="I27" s="378"/>
      <c r="J27" s="379"/>
      <c r="K27" s="364"/>
      <c r="L27" s="365"/>
    </row>
    <row r="28" spans="1:12" s="355" customFormat="1" ht="51">
      <c r="A28" s="373" t="s">
        <v>461</v>
      </c>
      <c r="B28" s="374">
        <f>CR!G20</f>
        <v>0</v>
      </c>
      <c r="C28" s="346" t="s">
        <v>114</v>
      </c>
      <c r="D28" s="375"/>
      <c r="E28" s="376" t="s">
        <v>966</v>
      </c>
      <c r="F28" s="375">
        <f>CR!I20</f>
        <v>591.9</v>
      </c>
      <c r="G28" s="377" t="s">
        <v>268</v>
      </c>
      <c r="H28" s="378">
        <f t="shared" si="0"/>
        <v>0</v>
      </c>
      <c r="I28" s="378"/>
      <c r="J28" s="379"/>
      <c r="K28" s="364"/>
      <c r="L28" s="365"/>
    </row>
    <row r="29" spans="1:12" s="355" customFormat="1" ht="63.75">
      <c r="A29" s="373" t="s">
        <v>462</v>
      </c>
      <c r="B29" s="374">
        <f>CR!G21</f>
        <v>0</v>
      </c>
      <c r="C29" s="346" t="s">
        <v>822</v>
      </c>
      <c r="D29" s="375"/>
      <c r="E29" s="376" t="s">
        <v>188</v>
      </c>
      <c r="F29" s="375">
        <f>CR!I21</f>
        <v>116.46000000000001</v>
      </c>
      <c r="G29" s="377" t="s">
        <v>269</v>
      </c>
      <c r="H29" s="378">
        <f t="shared" si="0"/>
        <v>0</v>
      </c>
      <c r="I29" s="378"/>
      <c r="J29" s="379"/>
      <c r="K29" s="364"/>
      <c r="L29" s="365"/>
    </row>
    <row r="30" spans="1:12" s="355" customFormat="1" ht="114.75">
      <c r="A30" s="381" t="s">
        <v>463</v>
      </c>
      <c r="B30" s="374">
        <f>CR!G22</f>
        <v>0</v>
      </c>
      <c r="C30" s="346" t="s">
        <v>271</v>
      </c>
      <c r="D30" s="382"/>
      <c r="E30" s="376" t="s">
        <v>301</v>
      </c>
      <c r="F30" s="375">
        <f>CR!I22</f>
        <v>222</v>
      </c>
      <c r="G30" s="383" t="s">
        <v>273</v>
      </c>
      <c r="H30" s="378">
        <f t="shared" si="0"/>
        <v>0</v>
      </c>
      <c r="I30" s="384"/>
      <c r="J30" s="385"/>
      <c r="K30" s="386"/>
      <c r="L30" s="365"/>
    </row>
    <row r="31" spans="1:12" s="355" customFormat="1" ht="89.25">
      <c r="A31" s="381" t="s">
        <v>464</v>
      </c>
      <c r="B31" s="374">
        <f>CR!G23</f>
        <v>0</v>
      </c>
      <c r="C31" s="346" t="s">
        <v>271</v>
      </c>
      <c r="D31" s="382"/>
      <c r="E31" s="376" t="s">
        <v>272</v>
      </c>
      <c r="F31" s="375">
        <f>CR!I23</f>
        <v>35</v>
      </c>
      <c r="G31" s="383" t="s">
        <v>273</v>
      </c>
      <c r="H31" s="378">
        <f t="shared" si="0"/>
        <v>0</v>
      </c>
      <c r="I31" s="384"/>
      <c r="J31" s="385"/>
      <c r="K31" s="386"/>
      <c r="L31" s="365"/>
    </row>
    <row r="32" spans="1:12" s="355" customFormat="1" ht="76.5">
      <c r="A32" s="381" t="s">
        <v>466</v>
      </c>
      <c r="B32" s="374">
        <f>CR!G24</f>
        <v>0</v>
      </c>
      <c r="C32" s="346" t="s">
        <v>114</v>
      </c>
      <c r="D32" s="382"/>
      <c r="E32" s="376" t="s">
        <v>345</v>
      </c>
      <c r="F32" s="375">
        <f>CR!I24</f>
        <v>387</v>
      </c>
      <c r="G32" s="383" t="s">
        <v>268</v>
      </c>
      <c r="H32" s="378">
        <f t="shared" si="0"/>
        <v>0</v>
      </c>
      <c r="I32" s="384"/>
      <c r="J32" s="385"/>
      <c r="K32" s="386"/>
      <c r="L32" s="365"/>
    </row>
    <row r="33" spans="1:12" s="355" customFormat="1" ht="51">
      <c r="A33" s="381" t="s">
        <v>467</v>
      </c>
      <c r="B33" s="374">
        <f>CR!G25</f>
        <v>0</v>
      </c>
      <c r="C33" s="346" t="s">
        <v>271</v>
      </c>
      <c r="D33" s="382"/>
      <c r="E33" s="376" t="s">
        <v>334</v>
      </c>
      <c r="F33" s="375">
        <f>CR!I25</f>
        <v>149</v>
      </c>
      <c r="G33" s="383" t="s">
        <v>273</v>
      </c>
      <c r="H33" s="378">
        <f t="shared" si="0"/>
        <v>0</v>
      </c>
      <c r="I33" s="384"/>
      <c r="J33" s="385"/>
      <c r="K33" s="386"/>
      <c r="L33" s="365"/>
    </row>
    <row r="34" spans="1:12" s="355" customFormat="1" ht="51">
      <c r="A34" s="381" t="s">
        <v>468</v>
      </c>
      <c r="B34" s="374">
        <f>CR!G26</f>
        <v>0</v>
      </c>
      <c r="C34" s="346" t="s">
        <v>271</v>
      </c>
      <c r="D34" s="382"/>
      <c r="E34" s="376" t="s">
        <v>341</v>
      </c>
      <c r="F34" s="375">
        <f>CR!I26</f>
        <v>89</v>
      </c>
      <c r="G34" s="383" t="s">
        <v>273</v>
      </c>
      <c r="H34" s="378">
        <f t="shared" si="0"/>
        <v>0</v>
      </c>
      <c r="I34" s="384"/>
      <c r="J34" s="385"/>
      <c r="K34" s="386"/>
      <c r="L34" s="365"/>
    </row>
    <row r="35" spans="1:12" s="355" customFormat="1" ht="89.25">
      <c r="A35" s="381" t="s">
        <v>469</v>
      </c>
      <c r="B35" s="374">
        <f>CR!G27</f>
        <v>0</v>
      </c>
      <c r="C35" s="346" t="s">
        <v>271</v>
      </c>
      <c r="D35" s="382"/>
      <c r="E35" s="376" t="s">
        <v>343</v>
      </c>
      <c r="F35" s="375">
        <f>CR!I27</f>
        <v>84</v>
      </c>
      <c r="G35" s="383" t="s">
        <v>273</v>
      </c>
      <c r="H35" s="378">
        <f t="shared" si="0"/>
        <v>0</v>
      </c>
      <c r="I35" s="384"/>
      <c r="J35" s="385"/>
      <c r="K35" s="386"/>
      <c r="L35" s="365"/>
    </row>
    <row r="36" spans="1:12" s="355" customFormat="1" ht="102">
      <c r="A36" s="381" t="s">
        <v>471</v>
      </c>
      <c r="B36" s="374">
        <f>CR!G28</f>
        <v>0</v>
      </c>
      <c r="C36" s="346" t="s">
        <v>114</v>
      </c>
      <c r="D36" s="382"/>
      <c r="E36" s="376" t="s">
        <v>319</v>
      </c>
      <c r="F36" s="375">
        <f>CR!I28</f>
        <v>5297</v>
      </c>
      <c r="G36" s="383" t="s">
        <v>268</v>
      </c>
      <c r="H36" s="378">
        <f t="shared" si="0"/>
        <v>0</v>
      </c>
      <c r="I36" s="384"/>
      <c r="J36" s="385"/>
      <c r="K36" s="386"/>
      <c r="L36" s="365"/>
    </row>
    <row r="37" spans="1:12" s="355" customFormat="1" ht="242.25">
      <c r="A37" s="381" t="s">
        <v>472</v>
      </c>
      <c r="B37" s="374">
        <f>CR!G29</f>
        <v>0</v>
      </c>
      <c r="C37" s="346" t="s">
        <v>114</v>
      </c>
      <c r="D37" s="382"/>
      <c r="E37" s="376" t="s">
        <v>324</v>
      </c>
      <c r="F37" s="375">
        <f>CR!I29</f>
        <v>2025</v>
      </c>
      <c r="G37" s="383" t="s">
        <v>268</v>
      </c>
      <c r="H37" s="378">
        <f t="shared" si="0"/>
        <v>0</v>
      </c>
      <c r="I37" s="384"/>
      <c r="J37" s="385"/>
      <c r="K37" s="386"/>
      <c r="L37" s="365"/>
    </row>
    <row r="38" spans="1:12" s="355" customFormat="1" ht="25.5">
      <c r="A38" s="381" t="s">
        <v>473</v>
      </c>
      <c r="B38" s="374">
        <f>CR!G30</f>
        <v>0</v>
      </c>
      <c r="C38" s="346" t="s">
        <v>114</v>
      </c>
      <c r="D38" s="382"/>
      <c r="E38" s="376" t="s">
        <v>707</v>
      </c>
      <c r="F38" s="375">
        <f>CR!I30</f>
        <v>115</v>
      </c>
      <c r="G38" s="383" t="s">
        <v>268</v>
      </c>
      <c r="H38" s="378">
        <f t="shared" si="0"/>
        <v>0</v>
      </c>
      <c r="I38" s="384"/>
      <c r="J38" s="385"/>
      <c r="K38" s="386"/>
      <c r="L38" s="365"/>
    </row>
    <row r="39" spans="1:12" s="355" customFormat="1" ht="38.25">
      <c r="A39" s="381" t="s">
        <v>474</v>
      </c>
      <c r="B39" s="374">
        <f>CR!G31</f>
        <v>3</v>
      </c>
      <c r="C39" s="346" t="s">
        <v>114</v>
      </c>
      <c r="D39" s="382"/>
      <c r="E39" s="376" t="s">
        <v>595</v>
      </c>
      <c r="F39" s="375">
        <f>CR!I31</f>
        <v>230.64</v>
      </c>
      <c r="G39" s="383" t="s">
        <v>268</v>
      </c>
      <c r="H39" s="378">
        <f t="shared" si="0"/>
        <v>691.92</v>
      </c>
      <c r="I39" s="384"/>
      <c r="J39" s="385"/>
      <c r="K39" s="386"/>
      <c r="L39" s="365"/>
    </row>
    <row r="40" spans="1:12" s="355" customFormat="1" ht="127.5">
      <c r="A40" s="381" t="s">
        <v>475</v>
      </c>
      <c r="B40" s="374">
        <f>CR!G32</f>
        <v>9</v>
      </c>
      <c r="C40" s="346" t="s">
        <v>556</v>
      </c>
      <c r="D40" s="382"/>
      <c r="E40" s="376" t="s">
        <v>677</v>
      </c>
      <c r="F40" s="375">
        <f>CR!I32</f>
        <v>557.66</v>
      </c>
      <c r="G40" s="383" t="s">
        <v>2063</v>
      </c>
      <c r="H40" s="378">
        <f t="shared" si="0"/>
        <v>5018.9399999999996</v>
      </c>
      <c r="I40" s="384"/>
      <c r="J40" s="385"/>
      <c r="K40" s="386"/>
      <c r="L40" s="365"/>
    </row>
    <row r="41" spans="1:12" s="355" customFormat="1" ht="114.75">
      <c r="A41" s="381" t="s">
        <v>476</v>
      </c>
      <c r="B41" s="374">
        <f>CR!G33</f>
        <v>3</v>
      </c>
      <c r="C41" s="346" t="s">
        <v>556</v>
      </c>
      <c r="D41" s="382"/>
      <c r="E41" s="376" t="s">
        <v>678</v>
      </c>
      <c r="F41" s="375">
        <f>CR!I33</f>
        <v>582.66</v>
      </c>
      <c r="G41" s="383" t="s">
        <v>2063</v>
      </c>
      <c r="H41" s="378">
        <f t="shared" si="0"/>
        <v>1747.98</v>
      </c>
      <c r="I41" s="384"/>
      <c r="J41" s="385"/>
      <c r="K41" s="386"/>
      <c r="L41" s="365"/>
    </row>
    <row r="42" spans="1:12" s="355" customFormat="1" ht="76.5">
      <c r="A42" s="381" t="s">
        <v>477</v>
      </c>
      <c r="B42" s="374">
        <f>CR!G34</f>
        <v>90</v>
      </c>
      <c r="C42" s="346" t="s">
        <v>271</v>
      </c>
      <c r="D42" s="382"/>
      <c r="E42" s="376" t="s">
        <v>417</v>
      </c>
      <c r="F42" s="375">
        <f>CR!I34</f>
        <v>100.19</v>
      </c>
      <c r="G42" s="383" t="s">
        <v>273</v>
      </c>
      <c r="H42" s="378">
        <f t="shared" si="0"/>
        <v>9017.1</v>
      </c>
      <c r="I42" s="384"/>
      <c r="J42" s="385"/>
      <c r="K42" s="386"/>
      <c r="L42" s="365"/>
    </row>
    <row r="43" spans="1:12" s="355" customFormat="1" ht="76.5">
      <c r="A43" s="381" t="s">
        <v>478</v>
      </c>
      <c r="B43" s="374">
        <f>CR!G35</f>
        <v>0</v>
      </c>
      <c r="C43" s="346" t="s">
        <v>271</v>
      </c>
      <c r="D43" s="382"/>
      <c r="E43" s="376" t="s">
        <v>418</v>
      </c>
      <c r="F43" s="375">
        <f>CR!I35</f>
        <v>133.97</v>
      </c>
      <c r="G43" s="383" t="s">
        <v>273</v>
      </c>
      <c r="H43" s="378">
        <f t="shared" si="0"/>
        <v>0</v>
      </c>
      <c r="I43" s="384"/>
      <c r="J43" s="385"/>
      <c r="K43" s="386"/>
      <c r="L43" s="365"/>
    </row>
    <row r="44" spans="1:12" s="355" customFormat="1">
      <c r="A44" s="381" t="s">
        <v>479</v>
      </c>
      <c r="B44" s="374">
        <f>CR!G36</f>
        <v>3</v>
      </c>
      <c r="C44" s="346" t="s">
        <v>114</v>
      </c>
      <c r="D44" s="382"/>
      <c r="E44" s="376" t="s">
        <v>600</v>
      </c>
      <c r="F44" s="375">
        <f>CR!I36</f>
        <v>223.82</v>
      </c>
      <c r="G44" s="383" t="s">
        <v>268</v>
      </c>
      <c r="H44" s="378">
        <f t="shared" si="0"/>
        <v>671.46</v>
      </c>
      <c r="I44" s="384"/>
      <c r="J44" s="385"/>
      <c r="K44" s="386"/>
      <c r="L44" s="365"/>
    </row>
    <row r="45" spans="1:12" s="355" customFormat="1" ht="76.5">
      <c r="A45" s="381" t="s">
        <v>480</v>
      </c>
      <c r="B45" s="374">
        <f>CR!G37</f>
        <v>3</v>
      </c>
      <c r="C45" s="346" t="s">
        <v>114</v>
      </c>
      <c r="D45" s="382"/>
      <c r="E45" s="376" t="s">
        <v>421</v>
      </c>
      <c r="F45" s="375">
        <f>CR!I37</f>
        <v>156.56</v>
      </c>
      <c r="G45" s="383" t="s">
        <v>268</v>
      </c>
      <c r="H45" s="378">
        <f t="shared" si="0"/>
        <v>469.68</v>
      </c>
      <c r="I45" s="384"/>
      <c r="J45" s="385"/>
      <c r="K45" s="386"/>
      <c r="L45" s="365"/>
    </row>
    <row r="46" spans="1:12" s="355" customFormat="1" ht="76.5">
      <c r="A46" s="381" t="s">
        <v>1274</v>
      </c>
      <c r="B46" s="374">
        <f>CR!G38</f>
        <v>0</v>
      </c>
      <c r="C46" s="346" t="s">
        <v>114</v>
      </c>
      <c r="D46" s="382"/>
      <c r="E46" s="376" t="s">
        <v>1018</v>
      </c>
      <c r="F46" s="375">
        <f>CR!I38</f>
        <v>437.5</v>
      </c>
      <c r="G46" s="383" t="s">
        <v>268</v>
      </c>
      <c r="H46" s="378">
        <f t="shared" si="0"/>
        <v>0</v>
      </c>
      <c r="I46" s="384"/>
      <c r="J46" s="385"/>
      <c r="K46" s="386"/>
      <c r="L46" s="365"/>
    </row>
    <row r="47" spans="1:12" s="355" customFormat="1" ht="25.5">
      <c r="A47" s="381" t="s">
        <v>481</v>
      </c>
      <c r="B47" s="374">
        <f>CR!G39</f>
        <v>3</v>
      </c>
      <c r="C47" s="346" t="s">
        <v>114</v>
      </c>
      <c r="D47" s="382"/>
      <c r="E47" s="376" t="s">
        <v>609</v>
      </c>
      <c r="F47" s="375">
        <f>CR!I39</f>
        <v>23.86</v>
      </c>
      <c r="G47" s="383" t="s">
        <v>268</v>
      </c>
      <c r="H47" s="378">
        <f t="shared" si="0"/>
        <v>71.58</v>
      </c>
      <c r="I47" s="384"/>
      <c r="J47" s="385"/>
      <c r="K47" s="386"/>
      <c r="L47" s="365"/>
    </row>
    <row r="48" spans="1:12" s="355" customFormat="1" ht="51">
      <c r="A48" s="381" t="s">
        <v>482</v>
      </c>
      <c r="B48" s="374">
        <f>CR!G40</f>
        <v>4</v>
      </c>
      <c r="C48" s="346" t="s">
        <v>114</v>
      </c>
      <c r="D48" s="382"/>
      <c r="E48" s="376" t="s">
        <v>1057</v>
      </c>
      <c r="F48" s="375">
        <f>CR!I40</f>
        <v>154.80000000000001</v>
      </c>
      <c r="G48" s="383" t="s">
        <v>268</v>
      </c>
      <c r="H48" s="378">
        <f t="shared" si="0"/>
        <v>619.20000000000005</v>
      </c>
      <c r="I48" s="384"/>
      <c r="J48" s="385"/>
      <c r="K48" s="386"/>
      <c r="L48" s="365"/>
    </row>
    <row r="49" spans="1:12" s="355" customFormat="1" ht="76.5">
      <c r="A49" s="381" t="s">
        <v>483</v>
      </c>
      <c r="B49" s="374">
        <f>CR!G41</f>
        <v>3</v>
      </c>
      <c r="C49" s="346" t="s">
        <v>114</v>
      </c>
      <c r="D49" s="382"/>
      <c r="E49" s="376" t="s">
        <v>422</v>
      </c>
      <c r="F49" s="375">
        <f>CR!I41</f>
        <v>3780.03</v>
      </c>
      <c r="G49" s="383" t="s">
        <v>268</v>
      </c>
      <c r="H49" s="378">
        <f t="shared" si="0"/>
        <v>11340.09</v>
      </c>
      <c r="I49" s="384"/>
      <c r="J49" s="385"/>
      <c r="K49" s="386"/>
      <c r="L49" s="365"/>
    </row>
    <row r="50" spans="1:12" s="355" customFormat="1">
      <c r="A50" s="381" t="s">
        <v>484</v>
      </c>
      <c r="B50" s="374">
        <f>CR!G42</f>
        <v>3</v>
      </c>
      <c r="C50" s="346" t="s">
        <v>114</v>
      </c>
      <c r="D50" s="382"/>
      <c r="E50" s="376" t="s">
        <v>1317</v>
      </c>
      <c r="F50" s="375">
        <f>CR!I42</f>
        <v>293.83999999999997</v>
      </c>
      <c r="G50" s="383" t="s">
        <v>268</v>
      </c>
      <c r="H50" s="378">
        <f t="shared" si="0"/>
        <v>881.52</v>
      </c>
      <c r="I50" s="384"/>
      <c r="J50" s="385"/>
      <c r="K50" s="386"/>
      <c r="L50" s="365"/>
    </row>
    <row r="51" spans="1:12" s="355" customFormat="1" ht="63.75">
      <c r="A51" s="381" t="s">
        <v>1275</v>
      </c>
      <c r="B51" s="374">
        <f>CR!G43</f>
        <v>3</v>
      </c>
      <c r="C51" s="346" t="s">
        <v>114</v>
      </c>
      <c r="D51" s="382"/>
      <c r="E51" s="376" t="s">
        <v>432</v>
      </c>
      <c r="F51" s="375">
        <f>CR!I43</f>
        <v>458.87</v>
      </c>
      <c r="G51" s="383" t="s">
        <v>268</v>
      </c>
      <c r="H51" s="378">
        <f t="shared" si="0"/>
        <v>1376.61</v>
      </c>
      <c r="I51" s="384"/>
      <c r="J51" s="385"/>
      <c r="K51" s="386"/>
      <c r="L51" s="365"/>
    </row>
    <row r="52" spans="1:12" s="355" customFormat="1" ht="12">
      <c r="A52" s="381"/>
      <c r="B52" s="387"/>
      <c r="C52" s="313"/>
      <c r="D52" s="382"/>
      <c r="E52" s="312"/>
      <c r="F52" s="382"/>
      <c r="G52" s="383"/>
      <c r="H52" s="384"/>
      <c r="I52" s="384"/>
      <c r="J52" s="385"/>
      <c r="K52" s="386"/>
      <c r="L52" s="365"/>
    </row>
    <row r="53" spans="1:12" s="355" customFormat="1" ht="12">
      <c r="A53" s="381"/>
      <c r="B53" s="387"/>
      <c r="C53" s="313"/>
      <c r="D53" s="382"/>
      <c r="E53" s="312"/>
      <c r="F53" s="382"/>
      <c r="G53" s="383"/>
      <c r="H53" s="384"/>
      <c r="I53" s="384"/>
      <c r="J53" s="385"/>
      <c r="K53" s="386"/>
      <c r="L53" s="365"/>
    </row>
    <row r="54" spans="1:12" s="355" customFormat="1" ht="12">
      <c r="A54" s="381"/>
      <c r="B54" s="387"/>
      <c r="C54" s="313"/>
      <c r="D54" s="382"/>
      <c r="E54" s="312"/>
      <c r="F54" s="382"/>
      <c r="G54" s="383"/>
      <c r="H54" s="384"/>
      <c r="I54" s="384"/>
      <c r="J54" s="385"/>
      <c r="K54" s="386"/>
      <c r="L54" s="365"/>
    </row>
    <row r="55" spans="1:12" s="355" customFormat="1" ht="12">
      <c r="A55" s="381"/>
      <c r="B55" s="387"/>
      <c r="C55" s="313"/>
      <c r="D55" s="382"/>
      <c r="E55" s="312"/>
      <c r="F55" s="382"/>
      <c r="G55" s="383"/>
      <c r="H55" s="384"/>
      <c r="I55" s="384"/>
      <c r="J55" s="385"/>
      <c r="K55" s="386"/>
      <c r="L55" s="365"/>
    </row>
    <row r="56" spans="1:12" s="355" customFormat="1" ht="12">
      <c r="A56" s="381"/>
      <c r="B56" s="387"/>
      <c r="C56" s="313"/>
      <c r="D56" s="382"/>
      <c r="E56" s="312"/>
      <c r="F56" s="382"/>
      <c r="G56" s="383"/>
      <c r="H56" s="384"/>
      <c r="I56" s="384"/>
      <c r="J56" s="385"/>
      <c r="K56" s="386"/>
      <c r="L56" s="365"/>
    </row>
    <row r="57" spans="1:12" s="355" customFormat="1" ht="12">
      <c r="A57" s="381"/>
      <c r="B57" s="387"/>
      <c r="C57" s="313"/>
      <c r="D57" s="382"/>
      <c r="E57" s="312"/>
      <c r="F57" s="382"/>
      <c r="G57" s="383"/>
      <c r="H57" s="384"/>
      <c r="I57" s="384"/>
      <c r="J57" s="385"/>
      <c r="K57" s="386"/>
      <c r="L57" s="365"/>
    </row>
    <row r="58" spans="1:12" s="355" customFormat="1" ht="12">
      <c r="A58" s="381"/>
      <c r="B58" s="387"/>
      <c r="C58" s="313"/>
      <c r="D58" s="382"/>
      <c r="E58" s="312"/>
      <c r="F58" s="382"/>
      <c r="G58" s="383"/>
      <c r="H58" s="384"/>
      <c r="I58" s="384"/>
      <c r="J58" s="385"/>
      <c r="K58" s="386"/>
      <c r="L58" s="365"/>
    </row>
    <row r="59" spans="1:12" s="355" customFormat="1" ht="12">
      <c r="A59" s="381"/>
      <c r="B59" s="387"/>
      <c r="C59" s="313"/>
      <c r="D59" s="382"/>
      <c r="E59" s="312"/>
      <c r="F59" s="382"/>
      <c r="G59" s="383"/>
      <c r="H59" s="384"/>
      <c r="I59" s="384"/>
      <c r="J59" s="385"/>
      <c r="K59" s="386"/>
      <c r="L59" s="365"/>
    </row>
    <row r="60" spans="1:12" s="355" customFormat="1" ht="12">
      <c r="A60" s="381"/>
      <c r="B60" s="387"/>
      <c r="C60" s="313"/>
      <c r="D60" s="382"/>
      <c r="E60" s="312"/>
      <c r="F60" s="382"/>
      <c r="G60" s="383"/>
      <c r="H60" s="384"/>
      <c r="I60" s="384"/>
      <c r="J60" s="385"/>
      <c r="K60" s="386"/>
      <c r="L60" s="365"/>
    </row>
    <row r="61" spans="1:12" s="355" customFormat="1" ht="12">
      <c r="A61" s="381"/>
      <c r="B61" s="387"/>
      <c r="C61" s="313"/>
      <c r="D61" s="382"/>
      <c r="E61" s="312"/>
      <c r="F61" s="382"/>
      <c r="G61" s="383"/>
      <c r="H61" s="384"/>
      <c r="I61" s="384"/>
      <c r="J61" s="385"/>
      <c r="K61" s="386"/>
      <c r="L61" s="365"/>
    </row>
    <row r="62" spans="1:12" s="355" customFormat="1" ht="12">
      <c r="A62" s="381"/>
      <c r="B62" s="387"/>
      <c r="C62" s="313"/>
      <c r="D62" s="382"/>
      <c r="E62" s="312"/>
      <c r="F62" s="382"/>
      <c r="G62" s="383"/>
      <c r="H62" s="384"/>
      <c r="I62" s="384"/>
      <c r="J62" s="385"/>
      <c r="K62" s="386"/>
      <c r="L62" s="365"/>
    </row>
    <row r="63" spans="1:12" s="355" customFormat="1" ht="12">
      <c r="A63" s="381"/>
      <c r="B63" s="387"/>
      <c r="C63" s="313"/>
      <c r="D63" s="382"/>
      <c r="E63" s="312"/>
      <c r="F63" s="382"/>
      <c r="G63" s="383"/>
      <c r="H63" s="384"/>
      <c r="I63" s="384"/>
      <c r="J63" s="385"/>
      <c r="K63" s="386"/>
      <c r="L63" s="365"/>
    </row>
    <row r="64" spans="1:12" s="355" customFormat="1" ht="12">
      <c r="A64" s="381"/>
      <c r="B64" s="387"/>
      <c r="C64" s="313"/>
      <c r="D64" s="382"/>
      <c r="E64" s="312"/>
      <c r="F64" s="382"/>
      <c r="G64" s="383"/>
      <c r="H64" s="384"/>
      <c r="I64" s="384"/>
      <c r="J64" s="385"/>
      <c r="K64" s="386"/>
      <c r="L64" s="365"/>
    </row>
    <row r="65" spans="1:12" s="355" customFormat="1" ht="12">
      <c r="A65" s="381"/>
      <c r="B65" s="387"/>
      <c r="C65" s="313"/>
      <c r="D65" s="382"/>
      <c r="E65" s="312"/>
      <c r="F65" s="382"/>
      <c r="G65" s="383"/>
      <c r="H65" s="384"/>
      <c r="I65" s="384"/>
      <c r="J65" s="385"/>
      <c r="K65" s="386"/>
      <c r="L65" s="365"/>
    </row>
    <row r="66" spans="1:12" s="355" customFormat="1" ht="12">
      <c r="A66" s="381"/>
      <c r="B66" s="387"/>
      <c r="C66" s="313"/>
      <c r="D66" s="382"/>
      <c r="E66" s="312"/>
      <c r="F66" s="382"/>
      <c r="G66" s="383"/>
      <c r="H66" s="384"/>
      <c r="I66" s="384"/>
      <c r="J66" s="385"/>
      <c r="K66" s="386"/>
      <c r="L66" s="365"/>
    </row>
    <row r="67" spans="1:12" s="355" customFormat="1" ht="12">
      <c r="A67" s="381"/>
      <c r="B67" s="387"/>
      <c r="C67" s="313"/>
      <c r="D67" s="382"/>
      <c r="E67" s="312"/>
      <c r="F67" s="382"/>
      <c r="G67" s="383"/>
      <c r="H67" s="384"/>
      <c r="I67" s="384"/>
      <c r="J67" s="385"/>
      <c r="K67" s="386"/>
      <c r="L67" s="365"/>
    </row>
    <row r="68" spans="1:12" s="355" customFormat="1" ht="12">
      <c r="A68" s="381"/>
      <c r="B68" s="387"/>
      <c r="C68" s="313"/>
      <c r="D68" s="382"/>
      <c r="E68" s="312"/>
      <c r="F68" s="382"/>
      <c r="G68" s="383"/>
      <c r="H68" s="384"/>
      <c r="I68" s="384"/>
      <c r="J68" s="385"/>
      <c r="K68" s="386"/>
      <c r="L68" s="365"/>
    </row>
    <row r="69" spans="1:12" s="355" customFormat="1" ht="12">
      <c r="A69" s="381"/>
      <c r="B69" s="387"/>
      <c r="C69" s="313"/>
      <c r="D69" s="382"/>
      <c r="E69" s="312"/>
      <c r="F69" s="382"/>
      <c r="G69" s="383"/>
      <c r="H69" s="384"/>
      <c r="I69" s="384"/>
      <c r="J69" s="385"/>
      <c r="K69" s="386"/>
      <c r="L69" s="365"/>
    </row>
    <row r="70" spans="1:12" s="355" customFormat="1" ht="12">
      <c r="A70" s="381"/>
      <c r="B70" s="387"/>
      <c r="C70" s="313"/>
      <c r="D70" s="382"/>
      <c r="E70" s="312"/>
      <c r="F70" s="382"/>
      <c r="G70" s="383"/>
      <c r="H70" s="384"/>
      <c r="I70" s="384"/>
      <c r="J70" s="385"/>
      <c r="K70" s="386"/>
      <c r="L70" s="365"/>
    </row>
    <row r="71" spans="1:12" s="355" customFormat="1" ht="12">
      <c r="A71" s="381"/>
      <c r="B71" s="387"/>
      <c r="C71" s="313"/>
      <c r="D71" s="382"/>
      <c r="E71" s="312"/>
      <c r="F71" s="382"/>
      <c r="G71" s="383"/>
      <c r="H71" s="384"/>
      <c r="I71" s="384"/>
      <c r="J71" s="385"/>
      <c r="K71" s="386"/>
      <c r="L71" s="365"/>
    </row>
    <row r="72" spans="1:12" s="355" customFormat="1" ht="12">
      <c r="A72" s="381"/>
      <c r="B72" s="387"/>
      <c r="C72" s="313"/>
      <c r="D72" s="382"/>
      <c r="E72" s="312"/>
      <c r="F72" s="382"/>
      <c r="G72" s="383"/>
      <c r="H72" s="384"/>
      <c r="I72" s="384"/>
      <c r="J72" s="385"/>
      <c r="K72" s="386"/>
      <c r="L72" s="365"/>
    </row>
    <row r="73" spans="1:12" s="355" customFormat="1" ht="12">
      <c r="A73" s="381"/>
      <c r="B73" s="387"/>
      <c r="C73" s="313"/>
      <c r="D73" s="382"/>
      <c r="E73" s="312"/>
      <c r="F73" s="382"/>
      <c r="G73" s="383"/>
      <c r="H73" s="384"/>
      <c r="I73" s="384"/>
      <c r="J73" s="385"/>
      <c r="K73" s="386"/>
      <c r="L73" s="365"/>
    </row>
    <row r="74" spans="1:12" s="355" customFormat="1" ht="12">
      <c r="A74" s="381"/>
      <c r="B74" s="387"/>
      <c r="C74" s="313"/>
      <c r="D74" s="382"/>
      <c r="E74" s="312"/>
      <c r="F74" s="382"/>
      <c r="G74" s="383"/>
      <c r="H74" s="384"/>
      <c r="I74" s="384"/>
      <c r="J74" s="385"/>
      <c r="K74" s="386"/>
      <c r="L74" s="365"/>
    </row>
    <row r="75" spans="1:12" s="355" customFormat="1" ht="12">
      <c r="A75" s="381"/>
      <c r="B75" s="387"/>
      <c r="C75" s="313"/>
      <c r="D75" s="382"/>
      <c r="E75" s="312"/>
      <c r="F75" s="382"/>
      <c r="G75" s="383"/>
      <c r="H75" s="384"/>
      <c r="I75" s="384"/>
      <c r="J75" s="385"/>
      <c r="K75" s="386"/>
      <c r="L75" s="365"/>
    </row>
    <row r="76" spans="1:12" s="355" customFormat="1" ht="11.25">
      <c r="A76" s="381"/>
      <c r="B76" s="387"/>
      <c r="C76" s="313"/>
      <c r="D76" s="382"/>
      <c r="E76" s="314"/>
      <c r="F76" s="382"/>
      <c r="G76" s="383"/>
      <c r="H76" s="384"/>
      <c r="I76" s="384"/>
      <c r="J76" s="385"/>
      <c r="K76" s="386"/>
      <c r="L76" s="365"/>
    </row>
    <row r="77" spans="1:12" s="355" customFormat="1" ht="11.25">
      <c r="A77" s="381"/>
      <c r="B77" s="387"/>
      <c r="C77" s="313"/>
      <c r="D77" s="382"/>
      <c r="E77" s="314"/>
      <c r="F77" s="382"/>
      <c r="G77" s="383"/>
      <c r="H77" s="384"/>
      <c r="I77" s="384"/>
      <c r="J77" s="385"/>
      <c r="K77" s="386"/>
      <c r="L77" s="365"/>
    </row>
    <row r="78" spans="1:12" s="398" customFormat="1" ht="11.25">
      <c r="A78" s="388"/>
      <c r="B78" s="389"/>
      <c r="C78" s="390"/>
      <c r="D78" s="391"/>
      <c r="E78" s="392"/>
      <c r="F78" s="393"/>
      <c r="G78" s="394"/>
      <c r="H78" s="395"/>
      <c r="I78" s="396"/>
      <c r="J78" s="397"/>
    </row>
    <row r="79" spans="1:12" s="399" customFormat="1" ht="18" customHeight="1">
      <c r="A79" s="414"/>
      <c r="B79" s="415"/>
      <c r="C79" s="416"/>
      <c r="D79" s="417"/>
      <c r="E79" s="971" t="s">
        <v>1977</v>
      </c>
      <c r="F79" s="971"/>
      <c r="G79" s="418" t="s">
        <v>1978</v>
      </c>
      <c r="H79" s="419">
        <f>SUM(H15:H78)</f>
        <v>84593.67</v>
      </c>
      <c r="I79" s="419">
        <f>SUM(I15:I78)</f>
        <v>0</v>
      </c>
      <c r="J79" s="420"/>
      <c r="L79" s="400">
        <f>SUM(L15:L78)</f>
        <v>0</v>
      </c>
    </row>
    <row r="80" spans="1:12" s="399" customFormat="1" ht="12" customHeight="1">
      <c r="A80" s="421"/>
      <c r="B80" s="422"/>
      <c r="C80" s="423"/>
      <c r="D80" s="424"/>
      <c r="E80" s="972" t="s">
        <v>1979</v>
      </c>
      <c r="F80" s="972"/>
      <c r="G80" s="425" t="s">
        <v>1978</v>
      </c>
      <c r="H80" s="400">
        <f>L79</f>
        <v>0</v>
      </c>
      <c r="I80" s="426" t="s">
        <v>850</v>
      </c>
      <c r="J80" s="427"/>
    </row>
    <row r="81" spans="1:10" s="399" customFormat="1" ht="15" customHeight="1">
      <c r="A81" s="428"/>
      <c r="B81" s="429"/>
      <c r="C81" s="430"/>
      <c r="D81" s="431"/>
      <c r="E81" s="973" t="s">
        <v>1980</v>
      </c>
      <c r="F81" s="973"/>
      <c r="G81" s="432" t="s">
        <v>1978</v>
      </c>
      <c r="H81" s="433">
        <f>H79-H80</f>
        <v>84593.67</v>
      </c>
      <c r="I81" s="974">
        <f>ROUND(H81,0)</f>
        <v>84594</v>
      </c>
      <c r="J81" s="975"/>
    </row>
    <row r="82" spans="1:10" s="355" customFormat="1" ht="38.25" customHeight="1">
      <c r="B82" s="976" t="s">
        <v>1981</v>
      </c>
      <c r="C82" s="976"/>
      <c r="D82" s="976"/>
      <c r="E82" s="976"/>
      <c r="F82" s="401"/>
      <c r="G82" s="401"/>
      <c r="H82" s="977" t="s">
        <v>1982</v>
      </c>
      <c r="I82" s="977"/>
      <c r="J82" s="977"/>
    </row>
    <row r="83" spans="1:10" s="355" customFormat="1" ht="81.75" customHeight="1">
      <c r="B83" s="402"/>
      <c r="C83" s="403"/>
      <c r="D83" s="978" t="s">
        <v>1983</v>
      </c>
      <c r="E83" s="978"/>
      <c r="F83" s="968" t="s">
        <v>1984</v>
      </c>
      <c r="G83" s="968"/>
      <c r="H83" s="968"/>
      <c r="I83" s="968"/>
      <c r="J83" s="968"/>
    </row>
    <row r="84" spans="1:10" s="355" customFormat="1" ht="3" customHeight="1">
      <c r="B84" s="402"/>
      <c r="C84" s="403"/>
      <c r="D84" s="967"/>
      <c r="E84" s="967"/>
      <c r="F84" s="403"/>
      <c r="G84" s="403"/>
      <c r="H84" s="403"/>
      <c r="I84" s="403"/>
      <c r="J84" s="403"/>
    </row>
    <row r="85" spans="1:10" s="355" customFormat="1" ht="37.5" customHeight="1">
      <c r="B85" s="402"/>
      <c r="C85" s="403"/>
      <c r="D85" s="967" t="s">
        <v>1985</v>
      </c>
      <c r="E85" s="967"/>
      <c r="F85" s="968" t="s">
        <v>1986</v>
      </c>
      <c r="G85" s="968"/>
      <c r="H85" s="968"/>
      <c r="I85" s="968"/>
      <c r="J85" s="968"/>
    </row>
    <row r="86" spans="1:10" s="355" customFormat="1" ht="21.75" customHeight="1">
      <c r="B86" s="402"/>
      <c r="C86" s="403"/>
      <c r="D86" s="967" t="s">
        <v>1987</v>
      </c>
      <c r="E86" s="967"/>
      <c r="F86" s="968" t="s">
        <v>1988</v>
      </c>
      <c r="G86" s="968"/>
      <c r="H86" s="968"/>
      <c r="I86" s="968" t="s">
        <v>1989</v>
      </c>
      <c r="J86" s="968"/>
    </row>
    <row r="87" spans="1:10" ht="12.75" customHeight="1">
      <c r="B87" s="404"/>
      <c r="C87" s="405"/>
      <c r="D87" s="979"/>
      <c r="E87" s="979"/>
      <c r="F87" s="980"/>
      <c r="G87" s="980"/>
      <c r="H87" s="980"/>
      <c r="I87" s="981"/>
      <c r="J87" s="981"/>
    </row>
    <row r="88" spans="1:10" ht="15" customHeight="1">
      <c r="B88" s="404"/>
      <c r="C88" s="405"/>
      <c r="D88" s="406"/>
      <c r="E88" s="315" t="str">
        <f>'lead 24-25'!K32</f>
        <v>Assistant  Engineer</v>
      </c>
      <c r="F88" s="405"/>
      <c r="G88" s="405"/>
      <c r="H88" s="405"/>
      <c r="I88" s="407"/>
      <c r="J88" s="407"/>
    </row>
    <row r="89" spans="1:10" ht="12.75" customHeight="1">
      <c r="B89" s="404"/>
      <c r="C89" s="405"/>
      <c r="D89" s="406"/>
      <c r="E89" s="315" t="str">
        <f>'lead 24-25'!K33</f>
        <v>Mandal Praja parishad</v>
      </c>
      <c r="F89" s="405"/>
      <c r="G89" s="405"/>
      <c r="H89" s="405"/>
      <c r="I89" s="407"/>
      <c r="J89" s="407"/>
    </row>
    <row r="90" spans="1:10" ht="12.75" customHeight="1">
      <c r="B90" s="404"/>
      <c r="C90" s="405"/>
      <c r="D90" s="406"/>
      <c r="E90" s="315" t="str">
        <f>'lead 24-25'!K34</f>
        <v>P.C.Palli</v>
      </c>
      <c r="F90" s="405"/>
      <c r="G90" s="405"/>
      <c r="H90" s="405"/>
      <c r="I90" s="407"/>
      <c r="J90" s="407"/>
    </row>
    <row r="91" spans="1:10" ht="12.75" customHeight="1">
      <c r="B91" s="404"/>
      <c r="C91" s="405"/>
      <c r="D91" s="406"/>
      <c r="E91" s="316"/>
      <c r="F91" s="405"/>
      <c r="G91" s="405"/>
      <c r="H91" s="405"/>
      <c r="I91" s="407"/>
      <c r="J91" s="407"/>
    </row>
    <row r="92" spans="1:10">
      <c r="B92" s="408"/>
      <c r="C92" s="409"/>
      <c r="D92" s="410"/>
      <c r="E92" s="409"/>
      <c r="F92" s="409"/>
      <c r="G92" s="409"/>
      <c r="H92" s="409"/>
      <c r="I92" s="409"/>
      <c r="J92" s="409"/>
    </row>
    <row r="93" spans="1:10">
      <c r="B93" s="408"/>
      <c r="C93" s="409"/>
      <c r="D93" s="410"/>
      <c r="E93" s="409"/>
      <c r="F93" s="409"/>
      <c r="G93" s="409"/>
      <c r="H93" s="409"/>
      <c r="I93" s="409"/>
      <c r="J93" s="409"/>
    </row>
    <row r="94" spans="1:10">
      <c r="B94" s="408"/>
      <c r="C94" s="409"/>
      <c r="D94" s="410"/>
      <c r="E94" s="409"/>
      <c r="F94" s="409"/>
      <c r="G94" s="409"/>
      <c r="H94" s="409"/>
      <c r="I94" s="409"/>
      <c r="J94" s="409"/>
    </row>
    <row r="95" spans="1:10">
      <c r="B95" s="408"/>
      <c r="C95" s="409"/>
      <c r="D95" s="410"/>
      <c r="E95" s="409"/>
      <c r="F95" s="409"/>
      <c r="G95" s="409"/>
      <c r="H95" s="409"/>
      <c r="I95" s="409"/>
      <c r="J95" s="409"/>
    </row>
    <row r="96" spans="1:10">
      <c r="B96" s="408"/>
      <c r="C96" s="409"/>
      <c r="D96" s="410"/>
      <c r="E96" s="409"/>
      <c r="F96" s="409"/>
      <c r="G96" s="409"/>
      <c r="H96" s="409"/>
      <c r="I96" s="409"/>
      <c r="J96" s="409"/>
    </row>
    <row r="97" spans="2:10">
      <c r="B97" s="408"/>
      <c r="C97" s="409"/>
      <c r="D97" s="410"/>
      <c r="E97" s="409"/>
      <c r="F97" s="409"/>
      <c r="G97" s="409"/>
      <c r="H97" s="409"/>
      <c r="I97" s="409"/>
      <c r="J97" s="409"/>
    </row>
    <row r="98" spans="2:10">
      <c r="B98" s="408"/>
      <c r="C98" s="409"/>
      <c r="D98" s="410"/>
      <c r="E98" s="409"/>
      <c r="F98" s="409"/>
      <c r="G98" s="409"/>
      <c r="H98" s="409"/>
      <c r="I98" s="409"/>
      <c r="J98" s="409"/>
    </row>
    <row r="99" spans="2:10">
      <c r="B99" s="408"/>
      <c r="C99" s="409"/>
      <c r="D99" s="410"/>
      <c r="E99" s="409"/>
      <c r="F99" s="409"/>
      <c r="G99" s="409"/>
      <c r="H99" s="409"/>
      <c r="I99" s="409"/>
      <c r="J99" s="409"/>
    </row>
    <row r="100" spans="2:10">
      <c r="B100" s="408"/>
      <c r="C100" s="409"/>
      <c r="D100" s="410"/>
      <c r="E100" s="409"/>
      <c r="F100" s="409"/>
      <c r="G100" s="409"/>
      <c r="H100" s="409"/>
      <c r="I100" s="409"/>
      <c r="J100" s="409"/>
    </row>
    <row r="101" spans="2:10">
      <c r="B101" s="408"/>
      <c r="C101" s="409"/>
      <c r="D101" s="410"/>
      <c r="E101" s="409"/>
      <c r="F101" s="409"/>
      <c r="G101" s="409"/>
      <c r="H101" s="409"/>
      <c r="I101" s="409"/>
      <c r="J101" s="409"/>
    </row>
    <row r="102" spans="2:10">
      <c r="B102" s="408"/>
      <c r="C102" s="409"/>
      <c r="D102" s="410"/>
      <c r="E102" s="409"/>
      <c r="F102" s="409"/>
      <c r="G102" s="409"/>
      <c r="H102" s="409"/>
      <c r="I102" s="409"/>
      <c r="J102" s="409"/>
    </row>
    <row r="103" spans="2:10">
      <c r="B103" s="408"/>
      <c r="C103" s="409"/>
      <c r="D103" s="410"/>
      <c r="E103" s="409"/>
      <c r="F103" s="409"/>
      <c r="G103" s="409"/>
      <c r="H103" s="409"/>
      <c r="I103" s="409"/>
      <c r="J103" s="409"/>
    </row>
    <row r="104" spans="2:10">
      <c r="B104" s="408"/>
      <c r="C104" s="409"/>
      <c r="D104" s="410"/>
      <c r="E104" s="409"/>
      <c r="F104" s="409"/>
      <c r="G104" s="409"/>
      <c r="H104" s="409"/>
      <c r="I104" s="409"/>
      <c r="J104" s="409"/>
    </row>
    <row r="105" spans="2:10">
      <c r="B105" s="408"/>
      <c r="C105" s="409"/>
      <c r="D105" s="410"/>
      <c r="E105" s="409"/>
      <c r="F105" s="409"/>
      <c r="G105" s="409"/>
      <c r="H105" s="409"/>
      <c r="I105" s="409"/>
      <c r="J105" s="409"/>
    </row>
    <row r="106" spans="2:10">
      <c r="B106" s="408"/>
      <c r="C106" s="409"/>
      <c r="D106" s="410"/>
      <c r="E106" s="409"/>
      <c r="F106" s="409"/>
      <c r="G106" s="409"/>
      <c r="H106" s="409"/>
      <c r="I106" s="409"/>
      <c r="J106" s="409"/>
    </row>
    <row r="107" spans="2:10">
      <c r="B107" s="408"/>
      <c r="C107" s="409"/>
      <c r="D107" s="410"/>
      <c r="E107" s="409"/>
      <c r="F107" s="409"/>
      <c r="G107" s="409"/>
      <c r="H107" s="409"/>
      <c r="I107" s="409"/>
      <c r="J107" s="409"/>
    </row>
    <row r="108" spans="2:10">
      <c r="B108" s="408"/>
      <c r="C108" s="409"/>
      <c r="D108" s="410"/>
      <c r="E108" s="409"/>
      <c r="F108" s="409"/>
      <c r="G108" s="409"/>
      <c r="H108" s="409"/>
      <c r="I108" s="409"/>
      <c r="J108" s="409"/>
    </row>
    <row r="109" spans="2:10">
      <c r="B109" s="408"/>
      <c r="C109" s="409"/>
      <c r="D109" s="410"/>
      <c r="E109" s="409"/>
      <c r="F109" s="409"/>
      <c r="G109" s="409"/>
      <c r="H109" s="409"/>
      <c r="I109" s="409"/>
      <c r="J109" s="409"/>
    </row>
    <row r="110" spans="2:10">
      <c r="B110" s="408"/>
      <c r="C110" s="409"/>
      <c r="D110" s="410"/>
      <c r="E110" s="409"/>
      <c r="F110" s="409"/>
      <c r="G110" s="409"/>
      <c r="H110" s="409"/>
      <c r="I110" s="409"/>
      <c r="J110" s="409"/>
    </row>
    <row r="111" spans="2:10">
      <c r="B111" s="408"/>
      <c r="C111" s="409"/>
      <c r="D111" s="410"/>
      <c r="E111" s="409"/>
      <c r="F111" s="409"/>
      <c r="G111" s="409"/>
      <c r="H111" s="409"/>
      <c r="I111" s="409"/>
      <c r="J111" s="409"/>
    </row>
    <row r="112" spans="2:10">
      <c r="B112" s="408"/>
      <c r="C112" s="409"/>
      <c r="D112" s="410"/>
      <c r="E112" s="409"/>
      <c r="F112" s="409"/>
      <c r="G112" s="409"/>
      <c r="H112" s="409"/>
      <c r="I112" s="409"/>
      <c r="J112" s="409"/>
    </row>
    <row r="113" spans="2:10">
      <c r="B113" s="408"/>
      <c r="C113" s="409"/>
      <c r="D113" s="410"/>
      <c r="E113" s="409"/>
      <c r="F113" s="409"/>
      <c r="G113" s="409"/>
      <c r="H113" s="409"/>
      <c r="I113" s="409"/>
      <c r="J113" s="409"/>
    </row>
    <row r="114" spans="2:10">
      <c r="B114" s="408"/>
      <c r="C114" s="409"/>
      <c r="D114" s="410"/>
      <c r="E114" s="409"/>
      <c r="F114" s="409"/>
      <c r="G114" s="409"/>
      <c r="H114" s="409"/>
      <c r="I114" s="409"/>
      <c r="J114" s="409"/>
    </row>
    <row r="115" spans="2:10">
      <c r="B115" s="408"/>
      <c r="C115" s="409"/>
      <c r="D115" s="410"/>
      <c r="E115" s="409"/>
      <c r="F115" s="409"/>
      <c r="G115" s="409"/>
      <c r="H115" s="409"/>
      <c r="I115" s="409"/>
      <c r="J115" s="409"/>
    </row>
    <row r="116" spans="2:10">
      <c r="B116" s="408"/>
      <c r="C116" s="409"/>
      <c r="D116" s="410"/>
      <c r="E116" s="409"/>
      <c r="F116" s="409"/>
      <c r="G116" s="409"/>
      <c r="H116" s="409"/>
      <c r="I116" s="409"/>
      <c r="J116" s="409"/>
    </row>
    <row r="117" spans="2:10">
      <c r="B117" s="408"/>
      <c r="C117" s="409"/>
      <c r="D117" s="410"/>
      <c r="E117" s="409"/>
      <c r="F117" s="409"/>
      <c r="G117" s="409"/>
      <c r="H117" s="409"/>
      <c r="I117" s="409"/>
      <c r="J117" s="409"/>
    </row>
    <row r="118" spans="2:10">
      <c r="B118" s="408"/>
      <c r="C118" s="409"/>
      <c r="D118" s="410"/>
      <c r="E118" s="409"/>
      <c r="F118" s="409"/>
      <c r="G118" s="409"/>
      <c r="H118" s="409"/>
      <c r="I118" s="409"/>
      <c r="J118" s="409"/>
    </row>
    <row r="119" spans="2:10">
      <c r="B119" s="408"/>
      <c r="C119" s="409"/>
      <c r="D119" s="410"/>
      <c r="E119" s="409"/>
      <c r="F119" s="409"/>
      <c r="G119" s="409"/>
      <c r="H119" s="409"/>
      <c r="I119" s="409"/>
      <c r="J119" s="409"/>
    </row>
    <row r="120" spans="2:10">
      <c r="B120" s="408"/>
      <c r="C120" s="409"/>
      <c r="D120" s="410"/>
      <c r="E120" s="409"/>
      <c r="F120" s="409"/>
      <c r="G120" s="409"/>
      <c r="H120" s="409"/>
      <c r="I120" s="409"/>
      <c r="J120" s="409"/>
    </row>
    <row r="121" spans="2:10">
      <c r="B121" s="408"/>
      <c r="C121" s="409"/>
      <c r="D121" s="410"/>
      <c r="E121" s="409"/>
      <c r="F121" s="409"/>
      <c r="G121" s="409"/>
      <c r="H121" s="409"/>
      <c r="I121" s="409"/>
      <c r="J121" s="409"/>
    </row>
    <row r="122" spans="2:10">
      <c r="B122" s="408"/>
      <c r="C122" s="409"/>
      <c r="D122" s="410"/>
      <c r="E122" s="409"/>
      <c r="F122" s="409"/>
      <c r="G122" s="409"/>
      <c r="H122" s="409"/>
      <c r="I122" s="409"/>
      <c r="J122" s="409"/>
    </row>
    <row r="123" spans="2:10">
      <c r="B123" s="408"/>
      <c r="C123" s="409"/>
      <c r="D123" s="410"/>
      <c r="E123" s="409"/>
      <c r="F123" s="409"/>
      <c r="G123" s="409"/>
      <c r="H123" s="409"/>
      <c r="I123" s="409"/>
      <c r="J123" s="409"/>
    </row>
    <row r="124" spans="2:10">
      <c r="B124" s="408"/>
      <c r="C124" s="409"/>
      <c r="D124" s="410"/>
      <c r="E124" s="409"/>
      <c r="F124" s="409"/>
      <c r="G124" s="409"/>
      <c r="H124" s="409"/>
      <c r="I124" s="409"/>
      <c r="J124" s="409"/>
    </row>
    <row r="125" spans="2:10">
      <c r="B125" s="408"/>
      <c r="C125" s="409"/>
      <c r="D125" s="410"/>
      <c r="E125" s="409"/>
      <c r="F125" s="409"/>
      <c r="G125" s="409"/>
      <c r="H125" s="409"/>
      <c r="I125" s="409"/>
      <c r="J125" s="409"/>
    </row>
    <row r="126" spans="2:10">
      <c r="B126" s="408"/>
      <c r="C126" s="409"/>
      <c r="D126" s="410"/>
      <c r="E126" s="409"/>
      <c r="F126" s="409"/>
      <c r="G126" s="409"/>
      <c r="H126" s="409"/>
      <c r="I126" s="409"/>
      <c r="J126" s="409"/>
    </row>
    <row r="127" spans="2:10">
      <c r="B127" s="408"/>
      <c r="C127" s="409"/>
      <c r="D127" s="410"/>
      <c r="E127" s="409"/>
      <c r="F127" s="409"/>
      <c r="G127" s="409"/>
      <c r="H127" s="409"/>
      <c r="I127" s="409"/>
      <c r="J127" s="409"/>
    </row>
    <row r="128" spans="2:10">
      <c r="B128" s="408"/>
      <c r="C128" s="409"/>
      <c r="D128" s="410"/>
      <c r="E128" s="409"/>
      <c r="F128" s="409"/>
      <c r="G128" s="409"/>
      <c r="H128" s="409"/>
      <c r="I128" s="409"/>
      <c r="J128" s="409"/>
    </row>
    <row r="129" spans="2:10">
      <c r="B129" s="408"/>
      <c r="C129" s="409"/>
      <c r="D129" s="410"/>
      <c r="E129" s="409"/>
      <c r="F129" s="409"/>
      <c r="G129" s="409"/>
      <c r="H129" s="409"/>
      <c r="I129" s="409"/>
      <c r="J129" s="409"/>
    </row>
    <row r="130" spans="2:10">
      <c r="B130" s="408"/>
      <c r="C130" s="409"/>
      <c r="D130" s="410"/>
      <c r="E130" s="409"/>
      <c r="F130" s="409"/>
      <c r="G130" s="409"/>
      <c r="H130" s="409"/>
      <c r="I130" s="409"/>
      <c r="J130" s="409"/>
    </row>
    <row r="131" spans="2:10">
      <c r="B131" s="408"/>
      <c r="C131" s="409"/>
      <c r="D131" s="410"/>
      <c r="E131" s="409"/>
      <c r="F131" s="409"/>
      <c r="G131" s="409"/>
      <c r="H131" s="409"/>
      <c r="I131" s="409"/>
      <c r="J131" s="409"/>
    </row>
    <row r="132" spans="2:10">
      <c r="B132" s="408"/>
      <c r="C132" s="409"/>
      <c r="D132" s="410"/>
      <c r="E132" s="409"/>
      <c r="F132" s="409"/>
      <c r="G132" s="409"/>
      <c r="H132" s="409"/>
      <c r="I132" s="409"/>
      <c r="J132" s="409"/>
    </row>
    <row r="133" spans="2:10">
      <c r="B133" s="408"/>
      <c r="C133" s="409"/>
      <c r="D133" s="410"/>
      <c r="E133" s="409"/>
      <c r="F133" s="409"/>
      <c r="G133" s="409"/>
      <c r="H133" s="409"/>
      <c r="I133" s="409"/>
      <c r="J133" s="409"/>
    </row>
    <row r="134" spans="2:10">
      <c r="B134" s="408"/>
      <c r="C134" s="409"/>
      <c r="D134" s="410"/>
      <c r="E134" s="409"/>
      <c r="F134" s="409"/>
      <c r="G134" s="409"/>
      <c r="H134" s="409"/>
      <c r="I134" s="409"/>
      <c r="J134" s="409"/>
    </row>
    <row r="135" spans="2:10">
      <c r="B135" s="408"/>
      <c r="C135" s="409"/>
      <c r="D135" s="410"/>
      <c r="E135" s="409"/>
      <c r="F135" s="409"/>
      <c r="G135" s="409"/>
      <c r="H135" s="409"/>
      <c r="I135" s="409"/>
      <c r="J135" s="409"/>
    </row>
    <row r="136" spans="2:10">
      <c r="B136" s="408"/>
      <c r="C136" s="409"/>
      <c r="D136" s="410"/>
      <c r="E136" s="409"/>
      <c r="F136" s="409"/>
      <c r="G136" s="409"/>
      <c r="H136" s="409"/>
      <c r="I136" s="409"/>
      <c r="J136" s="409"/>
    </row>
    <row r="137" spans="2:10">
      <c r="B137" s="408"/>
      <c r="C137" s="409"/>
      <c r="D137" s="410"/>
      <c r="E137" s="409"/>
      <c r="F137" s="409"/>
      <c r="G137" s="409"/>
      <c r="H137" s="409"/>
      <c r="I137" s="409"/>
      <c r="J137" s="409"/>
    </row>
    <row r="138" spans="2:10">
      <c r="B138" s="408"/>
      <c r="C138" s="409"/>
      <c r="D138" s="410"/>
      <c r="E138" s="409"/>
      <c r="F138" s="409"/>
      <c r="G138" s="409"/>
      <c r="H138" s="409"/>
      <c r="I138" s="409"/>
      <c r="J138" s="409"/>
    </row>
    <row r="139" spans="2:10">
      <c r="B139" s="408"/>
      <c r="C139" s="409"/>
      <c r="D139" s="410"/>
      <c r="E139" s="409"/>
      <c r="F139" s="409"/>
      <c r="G139" s="409"/>
      <c r="H139" s="409"/>
      <c r="I139" s="409"/>
      <c r="J139" s="409"/>
    </row>
    <row r="140" spans="2:10">
      <c r="B140" s="408"/>
      <c r="C140" s="409"/>
      <c r="D140" s="410"/>
      <c r="E140" s="409"/>
      <c r="F140" s="409"/>
      <c r="G140" s="409"/>
      <c r="H140" s="409"/>
      <c r="I140" s="409"/>
      <c r="J140" s="409"/>
    </row>
    <row r="141" spans="2:10">
      <c r="B141" s="408"/>
      <c r="C141" s="409"/>
      <c r="D141" s="410"/>
      <c r="E141" s="409"/>
      <c r="F141" s="409"/>
      <c r="G141" s="409"/>
      <c r="H141" s="409"/>
      <c r="I141" s="409"/>
      <c r="J141" s="409"/>
    </row>
    <row r="142" spans="2:10">
      <c r="B142" s="408"/>
      <c r="C142" s="409"/>
      <c r="D142" s="410"/>
      <c r="E142" s="409"/>
      <c r="F142" s="409"/>
      <c r="G142" s="409"/>
      <c r="H142" s="409"/>
      <c r="I142" s="409"/>
      <c r="J142" s="409"/>
    </row>
    <row r="143" spans="2:10">
      <c r="B143" s="408"/>
      <c r="C143" s="409"/>
      <c r="D143" s="410"/>
      <c r="E143" s="409"/>
      <c r="F143" s="409"/>
      <c r="G143" s="409"/>
      <c r="H143" s="409"/>
      <c r="I143" s="409"/>
      <c r="J143" s="409"/>
    </row>
    <row r="144" spans="2:10">
      <c r="B144" s="408"/>
      <c r="C144" s="409"/>
      <c r="D144" s="410"/>
      <c r="E144" s="409"/>
      <c r="F144" s="409"/>
      <c r="G144" s="409"/>
      <c r="H144" s="409"/>
      <c r="I144" s="409"/>
      <c r="J144" s="409"/>
    </row>
    <row r="145" spans="2:10">
      <c r="B145" s="408"/>
      <c r="C145" s="409"/>
      <c r="D145" s="410"/>
      <c r="E145" s="409"/>
      <c r="F145" s="409"/>
      <c r="G145" s="409"/>
      <c r="H145" s="409"/>
      <c r="I145" s="409"/>
      <c r="J145" s="409"/>
    </row>
    <row r="146" spans="2:10">
      <c r="B146" s="408"/>
      <c r="C146" s="409"/>
      <c r="D146" s="410"/>
      <c r="E146" s="409"/>
      <c r="F146" s="409"/>
      <c r="G146" s="409"/>
      <c r="H146" s="409"/>
      <c r="I146" s="409"/>
      <c r="J146" s="409"/>
    </row>
    <row r="147" spans="2:10">
      <c r="B147" s="408"/>
      <c r="C147" s="409"/>
      <c r="D147" s="410"/>
      <c r="E147" s="409"/>
      <c r="F147" s="409"/>
      <c r="G147" s="409"/>
      <c r="H147" s="409"/>
      <c r="I147" s="409"/>
      <c r="J147" s="409"/>
    </row>
    <row r="148" spans="2:10">
      <c r="B148" s="408"/>
      <c r="C148" s="409"/>
      <c r="D148" s="410"/>
      <c r="E148" s="409"/>
      <c r="F148" s="409"/>
      <c r="G148" s="409"/>
      <c r="H148" s="409"/>
      <c r="I148" s="409"/>
      <c r="J148" s="409"/>
    </row>
    <row r="149" spans="2:10">
      <c r="B149" s="408"/>
      <c r="C149" s="409"/>
      <c r="D149" s="410"/>
      <c r="E149" s="409"/>
      <c r="F149" s="409"/>
      <c r="G149" s="409"/>
      <c r="H149" s="409"/>
      <c r="I149" s="409"/>
      <c r="J149" s="409"/>
    </row>
    <row r="150" spans="2:10">
      <c r="B150" s="408"/>
      <c r="C150" s="409"/>
      <c r="D150" s="410"/>
      <c r="E150" s="409"/>
      <c r="F150" s="409"/>
      <c r="G150" s="409"/>
      <c r="H150" s="409"/>
      <c r="I150" s="409"/>
      <c r="J150" s="409"/>
    </row>
    <row r="151" spans="2:10">
      <c r="B151" s="408"/>
      <c r="C151" s="409"/>
      <c r="D151" s="410"/>
      <c r="E151" s="409"/>
      <c r="F151" s="409"/>
      <c r="G151" s="409"/>
      <c r="H151" s="409"/>
      <c r="I151" s="409"/>
      <c r="J151" s="409"/>
    </row>
    <row r="152" spans="2:10">
      <c r="B152" s="408"/>
      <c r="C152" s="409"/>
      <c r="D152" s="410"/>
      <c r="E152" s="409"/>
      <c r="F152" s="409"/>
      <c r="G152" s="409"/>
      <c r="H152" s="409"/>
      <c r="I152" s="409"/>
      <c r="J152" s="409"/>
    </row>
    <row r="153" spans="2:10">
      <c r="B153" s="408"/>
      <c r="C153" s="409"/>
      <c r="D153" s="410"/>
      <c r="E153" s="409"/>
      <c r="F153" s="409"/>
      <c r="G153" s="409"/>
      <c r="H153" s="409"/>
      <c r="I153" s="409"/>
      <c r="J153" s="409"/>
    </row>
    <row r="154" spans="2:10">
      <c r="B154" s="408"/>
      <c r="C154" s="409"/>
      <c r="D154" s="410"/>
      <c r="E154" s="409"/>
      <c r="F154" s="409"/>
      <c r="G154" s="409"/>
      <c r="H154" s="409"/>
      <c r="I154" s="409"/>
      <c r="J154" s="409"/>
    </row>
    <row r="155" spans="2:10">
      <c r="B155" s="408"/>
      <c r="C155" s="409"/>
      <c r="D155" s="410"/>
      <c r="E155" s="409"/>
      <c r="F155" s="409"/>
      <c r="G155" s="409"/>
      <c r="H155" s="409"/>
      <c r="I155" s="409"/>
      <c r="J155" s="409"/>
    </row>
    <row r="156" spans="2:10">
      <c r="B156" s="408"/>
      <c r="C156" s="409"/>
      <c r="D156" s="410"/>
      <c r="E156" s="409"/>
      <c r="F156" s="409"/>
      <c r="G156" s="409"/>
      <c r="H156" s="409"/>
      <c r="I156" s="409"/>
      <c r="J156" s="409"/>
    </row>
    <row r="157" spans="2:10">
      <c r="B157" s="408"/>
      <c r="C157" s="409"/>
      <c r="D157" s="410"/>
      <c r="E157" s="409"/>
      <c r="F157" s="409"/>
      <c r="G157" s="409"/>
      <c r="H157" s="409"/>
      <c r="I157" s="409"/>
      <c r="J157" s="409"/>
    </row>
    <row r="158" spans="2:10">
      <c r="B158" s="408"/>
      <c r="C158" s="409"/>
      <c r="D158" s="410"/>
      <c r="E158" s="409"/>
      <c r="F158" s="409"/>
      <c r="G158" s="409"/>
      <c r="H158" s="409"/>
      <c r="I158" s="409"/>
      <c r="J158" s="409"/>
    </row>
    <row r="159" spans="2:10">
      <c r="B159" s="408"/>
      <c r="C159" s="409"/>
      <c r="D159" s="410"/>
      <c r="E159" s="409"/>
      <c r="F159" s="409"/>
      <c r="G159" s="409"/>
      <c r="H159" s="409"/>
      <c r="I159" s="409"/>
      <c r="J159" s="409"/>
    </row>
    <row r="160" spans="2:10">
      <c r="B160" s="408"/>
      <c r="C160" s="409"/>
      <c r="D160" s="410"/>
      <c r="E160" s="409"/>
      <c r="F160" s="409"/>
      <c r="G160" s="409"/>
      <c r="H160" s="409"/>
      <c r="I160" s="409"/>
      <c r="J160" s="409"/>
    </row>
    <row r="161" spans="2:10">
      <c r="B161" s="408"/>
      <c r="C161" s="409"/>
      <c r="D161" s="410"/>
      <c r="E161" s="409"/>
      <c r="F161" s="409"/>
      <c r="G161" s="409"/>
      <c r="H161" s="409"/>
      <c r="I161" s="409"/>
      <c r="J161" s="409"/>
    </row>
    <row r="162" spans="2:10">
      <c r="B162" s="408"/>
      <c r="C162" s="409"/>
      <c r="D162" s="410"/>
      <c r="E162" s="409"/>
      <c r="F162" s="409"/>
      <c r="G162" s="409"/>
      <c r="H162" s="409"/>
      <c r="I162" s="409"/>
      <c r="J162" s="409"/>
    </row>
    <row r="163" spans="2:10">
      <c r="B163" s="408"/>
      <c r="C163" s="409"/>
      <c r="D163" s="410"/>
      <c r="E163" s="409"/>
      <c r="F163" s="409"/>
      <c r="G163" s="409"/>
      <c r="H163" s="409"/>
      <c r="I163" s="409"/>
      <c r="J163" s="409"/>
    </row>
    <row r="164" spans="2:10">
      <c r="B164" s="408"/>
      <c r="C164" s="409"/>
      <c r="D164" s="410"/>
      <c r="E164" s="409"/>
      <c r="F164" s="409"/>
      <c r="G164" s="409"/>
      <c r="H164" s="409"/>
      <c r="I164" s="409"/>
      <c r="J164" s="409"/>
    </row>
    <row r="165" spans="2:10">
      <c r="B165" s="408"/>
      <c r="C165" s="409"/>
      <c r="D165" s="410"/>
      <c r="E165" s="409"/>
      <c r="F165" s="409"/>
      <c r="G165" s="409"/>
      <c r="H165" s="409"/>
      <c r="I165" s="409"/>
      <c r="J165" s="409"/>
    </row>
    <row r="166" spans="2:10">
      <c r="B166" s="408"/>
      <c r="C166" s="409"/>
      <c r="D166" s="410"/>
      <c r="E166" s="409"/>
      <c r="F166" s="409"/>
      <c r="G166" s="409"/>
      <c r="H166" s="409"/>
      <c r="I166" s="409"/>
      <c r="J166" s="409"/>
    </row>
    <row r="167" spans="2:10">
      <c r="B167" s="408"/>
      <c r="C167" s="409"/>
      <c r="D167" s="410"/>
      <c r="E167" s="409"/>
      <c r="F167" s="409"/>
      <c r="G167" s="409"/>
      <c r="H167" s="409"/>
      <c r="I167" s="409"/>
      <c r="J167" s="409"/>
    </row>
    <row r="168" spans="2:10">
      <c r="B168" s="408"/>
      <c r="C168" s="409"/>
      <c r="D168" s="410"/>
      <c r="E168" s="409"/>
      <c r="F168" s="409"/>
      <c r="G168" s="409"/>
      <c r="H168" s="409"/>
      <c r="I168" s="409"/>
      <c r="J168" s="409"/>
    </row>
    <row r="169" spans="2:10">
      <c r="B169" s="408"/>
      <c r="C169" s="409"/>
      <c r="D169" s="410"/>
      <c r="E169" s="409"/>
      <c r="F169" s="409"/>
      <c r="G169" s="409"/>
      <c r="H169" s="409"/>
      <c r="I169" s="409"/>
      <c r="J169" s="409"/>
    </row>
    <row r="170" spans="2:10">
      <c r="B170" s="408"/>
      <c r="C170" s="409"/>
      <c r="D170" s="410"/>
      <c r="E170" s="409"/>
      <c r="F170" s="409"/>
      <c r="G170" s="409"/>
      <c r="H170" s="409"/>
      <c r="I170" s="409"/>
      <c r="J170" s="409"/>
    </row>
    <row r="171" spans="2:10">
      <c r="B171" s="408"/>
      <c r="C171" s="409"/>
      <c r="D171" s="410"/>
      <c r="E171" s="409"/>
      <c r="F171" s="409"/>
      <c r="G171" s="409"/>
      <c r="H171" s="409"/>
      <c r="I171" s="409"/>
      <c r="J171" s="409"/>
    </row>
    <row r="172" spans="2:10">
      <c r="B172" s="408"/>
      <c r="C172" s="409"/>
      <c r="D172" s="410"/>
      <c r="E172" s="409"/>
      <c r="F172" s="409"/>
      <c r="G172" s="409"/>
      <c r="H172" s="409"/>
      <c r="I172" s="409"/>
      <c r="J172" s="409"/>
    </row>
    <row r="173" spans="2:10">
      <c r="B173" s="408"/>
      <c r="C173" s="409"/>
      <c r="D173" s="410"/>
      <c r="E173" s="409"/>
      <c r="F173" s="409"/>
      <c r="G173" s="409"/>
      <c r="H173" s="409"/>
      <c r="I173" s="409"/>
      <c r="J173" s="409"/>
    </row>
    <row r="174" spans="2:10">
      <c r="B174" s="408"/>
      <c r="C174" s="409"/>
      <c r="D174" s="410"/>
      <c r="E174" s="409"/>
      <c r="F174" s="409"/>
      <c r="G174" s="409"/>
      <c r="H174" s="409"/>
      <c r="I174" s="409"/>
      <c r="J174" s="409"/>
    </row>
    <row r="175" spans="2:10">
      <c r="B175" s="408"/>
      <c r="C175" s="409"/>
      <c r="D175" s="410"/>
      <c r="E175" s="409"/>
      <c r="F175" s="409"/>
      <c r="G175" s="409"/>
      <c r="H175" s="409"/>
      <c r="I175" s="409"/>
      <c r="J175" s="409"/>
    </row>
    <row r="176" spans="2:10">
      <c r="B176" s="408"/>
      <c r="C176" s="409"/>
      <c r="D176" s="410"/>
      <c r="E176" s="409"/>
      <c r="F176" s="409"/>
      <c r="G176" s="409"/>
      <c r="H176" s="409"/>
      <c r="I176" s="409"/>
      <c r="J176" s="409"/>
    </row>
    <row r="177" spans="2:10">
      <c r="B177" s="408"/>
      <c r="C177" s="409"/>
      <c r="D177" s="410"/>
      <c r="E177" s="409"/>
      <c r="F177" s="409"/>
      <c r="G177" s="409"/>
      <c r="H177" s="409"/>
      <c r="I177" s="409"/>
      <c r="J177" s="409"/>
    </row>
    <row r="178" spans="2:10">
      <c r="B178" s="408"/>
      <c r="C178" s="409"/>
      <c r="D178" s="410"/>
      <c r="E178" s="409"/>
      <c r="F178" s="409"/>
      <c r="G178" s="409"/>
      <c r="H178" s="409"/>
      <c r="I178" s="409"/>
      <c r="J178" s="409"/>
    </row>
    <row r="179" spans="2:10">
      <c r="B179" s="408"/>
      <c r="C179" s="409"/>
      <c r="D179" s="410"/>
      <c r="E179" s="409"/>
      <c r="F179" s="409"/>
      <c r="G179" s="409"/>
      <c r="H179" s="409"/>
      <c r="I179" s="409"/>
      <c r="J179" s="409"/>
    </row>
    <row r="180" spans="2:10">
      <c r="B180" s="408"/>
      <c r="C180" s="409"/>
      <c r="D180" s="410"/>
      <c r="E180" s="409"/>
      <c r="F180" s="409"/>
      <c r="G180" s="409"/>
      <c r="H180" s="409"/>
      <c r="I180" s="409"/>
      <c r="J180" s="409"/>
    </row>
    <row r="181" spans="2:10">
      <c r="B181" s="408"/>
      <c r="C181" s="409"/>
      <c r="D181" s="410"/>
      <c r="E181" s="409"/>
      <c r="F181" s="409"/>
      <c r="G181" s="409"/>
      <c r="H181" s="409"/>
      <c r="I181" s="409"/>
      <c r="J181" s="409"/>
    </row>
    <row r="182" spans="2:10">
      <c r="B182" s="408"/>
      <c r="C182" s="409"/>
      <c r="D182" s="410"/>
      <c r="E182" s="409"/>
      <c r="F182" s="409"/>
      <c r="G182" s="409"/>
      <c r="H182" s="409"/>
      <c r="I182" s="409"/>
      <c r="J182" s="409"/>
    </row>
    <row r="183" spans="2:10">
      <c r="B183" s="408"/>
      <c r="C183" s="409"/>
      <c r="D183" s="410"/>
      <c r="E183" s="409"/>
      <c r="F183" s="409"/>
      <c r="G183" s="409"/>
      <c r="H183" s="409"/>
      <c r="I183" s="409"/>
      <c r="J183" s="409"/>
    </row>
    <row r="184" spans="2:10">
      <c r="B184" s="408"/>
      <c r="C184" s="409"/>
      <c r="D184" s="410"/>
      <c r="E184" s="409"/>
      <c r="F184" s="409"/>
      <c r="G184" s="409"/>
      <c r="H184" s="409"/>
      <c r="I184" s="409"/>
      <c r="J184" s="409"/>
    </row>
    <row r="185" spans="2:10">
      <c r="B185" s="408"/>
      <c r="C185" s="409"/>
      <c r="D185" s="410"/>
      <c r="E185" s="409"/>
      <c r="F185" s="409"/>
      <c r="G185" s="409"/>
      <c r="H185" s="409"/>
      <c r="I185" s="409"/>
      <c r="J185" s="409"/>
    </row>
    <row r="186" spans="2:10">
      <c r="B186" s="408"/>
      <c r="C186" s="409"/>
      <c r="D186" s="410"/>
      <c r="E186" s="409"/>
      <c r="F186" s="409"/>
      <c r="G186" s="409"/>
      <c r="H186" s="409"/>
      <c r="I186" s="409"/>
      <c r="J186" s="409"/>
    </row>
    <row r="187" spans="2:10">
      <c r="B187" s="408"/>
      <c r="C187" s="409"/>
      <c r="D187" s="410"/>
      <c r="E187" s="409"/>
      <c r="F187" s="409"/>
      <c r="G187" s="409"/>
      <c r="H187" s="409"/>
      <c r="I187" s="409"/>
      <c r="J187" s="409"/>
    </row>
    <row r="188" spans="2:10">
      <c r="B188" s="408"/>
      <c r="C188" s="409"/>
      <c r="D188" s="410"/>
      <c r="E188" s="409"/>
      <c r="F188" s="409"/>
      <c r="G188" s="409"/>
      <c r="H188" s="409"/>
      <c r="I188" s="409"/>
      <c r="J188" s="409"/>
    </row>
    <row r="189" spans="2:10">
      <c r="B189" s="408"/>
      <c r="C189" s="409"/>
      <c r="D189" s="410"/>
      <c r="E189" s="409"/>
      <c r="F189" s="409"/>
      <c r="G189" s="409"/>
      <c r="H189" s="409"/>
      <c r="I189" s="409"/>
      <c r="J189" s="409"/>
    </row>
    <row r="190" spans="2:10">
      <c r="B190" s="408"/>
      <c r="C190" s="409"/>
      <c r="D190" s="410"/>
      <c r="E190" s="409"/>
      <c r="F190" s="409"/>
      <c r="G190" s="409"/>
      <c r="H190" s="409"/>
      <c r="I190" s="409"/>
      <c r="J190" s="409"/>
    </row>
    <row r="191" spans="2:10">
      <c r="B191" s="408"/>
      <c r="C191" s="409"/>
      <c r="D191" s="410"/>
      <c r="E191" s="409"/>
      <c r="F191" s="409"/>
      <c r="G191" s="409"/>
      <c r="H191" s="409"/>
      <c r="I191" s="409"/>
      <c r="J191" s="409"/>
    </row>
    <row r="192" spans="2:10">
      <c r="B192" s="408"/>
      <c r="C192" s="409"/>
      <c r="D192" s="410"/>
      <c r="E192" s="409"/>
      <c r="F192" s="409"/>
      <c r="G192" s="409"/>
      <c r="H192" s="409"/>
      <c r="I192" s="409"/>
      <c r="J192" s="409"/>
    </row>
    <row r="193" spans="2:10">
      <c r="B193" s="408"/>
      <c r="C193" s="409"/>
      <c r="D193" s="410"/>
      <c r="E193" s="409"/>
      <c r="F193" s="409"/>
      <c r="G193" s="409"/>
      <c r="H193" s="409"/>
      <c r="I193" s="409"/>
      <c r="J193" s="409"/>
    </row>
    <row r="194" spans="2:10">
      <c r="B194" s="408"/>
      <c r="C194" s="409"/>
      <c r="D194" s="410"/>
      <c r="E194" s="409"/>
      <c r="F194" s="409"/>
      <c r="G194" s="409"/>
      <c r="H194" s="409"/>
      <c r="I194" s="409"/>
      <c r="J194" s="409"/>
    </row>
    <row r="195" spans="2:10">
      <c r="B195" s="408"/>
      <c r="C195" s="409"/>
      <c r="D195" s="410"/>
      <c r="E195" s="409"/>
      <c r="F195" s="409"/>
      <c r="G195" s="409"/>
      <c r="H195" s="409"/>
      <c r="I195" s="409"/>
      <c r="J195" s="409"/>
    </row>
    <row r="196" spans="2:10">
      <c r="B196" s="408"/>
      <c r="C196" s="409"/>
      <c r="D196" s="410"/>
      <c r="E196" s="409"/>
      <c r="F196" s="409"/>
      <c r="G196" s="409"/>
      <c r="H196" s="409"/>
      <c r="I196" s="409"/>
      <c r="J196" s="409"/>
    </row>
    <row r="197" spans="2:10">
      <c r="B197" s="408"/>
      <c r="C197" s="409"/>
      <c r="D197" s="410"/>
      <c r="E197" s="409"/>
      <c r="F197" s="409"/>
      <c r="G197" s="409"/>
      <c r="H197" s="409"/>
      <c r="I197" s="409"/>
      <c r="J197" s="409"/>
    </row>
    <row r="198" spans="2:10">
      <c r="B198" s="408"/>
      <c r="C198" s="409"/>
      <c r="D198" s="410"/>
      <c r="E198" s="409"/>
      <c r="F198" s="409"/>
      <c r="G198" s="409"/>
      <c r="H198" s="409"/>
      <c r="I198" s="409"/>
      <c r="J198" s="409"/>
    </row>
    <row r="199" spans="2:10">
      <c r="B199" s="408"/>
      <c r="C199" s="409"/>
      <c r="D199" s="410"/>
      <c r="E199" s="409"/>
      <c r="F199" s="409"/>
      <c r="G199" s="409"/>
      <c r="H199" s="409"/>
      <c r="I199" s="409"/>
      <c r="J199" s="409"/>
    </row>
    <row r="200" spans="2:10">
      <c r="B200" s="408"/>
      <c r="C200" s="409"/>
      <c r="D200" s="410"/>
      <c r="E200" s="409"/>
      <c r="F200" s="409"/>
      <c r="G200" s="409"/>
      <c r="H200" s="409"/>
      <c r="I200" s="409"/>
      <c r="J200" s="409"/>
    </row>
    <row r="201" spans="2:10">
      <c r="B201" s="408"/>
      <c r="C201" s="409"/>
      <c r="D201" s="410"/>
      <c r="E201" s="409"/>
      <c r="F201" s="409"/>
      <c r="G201" s="409"/>
      <c r="H201" s="409"/>
      <c r="I201" s="409"/>
      <c r="J201" s="409"/>
    </row>
    <row r="202" spans="2:10">
      <c r="B202" s="408"/>
      <c r="C202" s="409"/>
      <c r="D202" s="410"/>
      <c r="E202" s="409"/>
      <c r="F202" s="409"/>
      <c r="G202" s="409"/>
      <c r="H202" s="409"/>
      <c r="I202" s="409"/>
      <c r="J202" s="409"/>
    </row>
    <row r="203" spans="2:10">
      <c r="B203" s="408"/>
      <c r="C203" s="409"/>
      <c r="D203" s="410"/>
      <c r="E203" s="409"/>
      <c r="F203" s="409"/>
      <c r="G203" s="409"/>
      <c r="H203" s="409"/>
      <c r="I203" s="409"/>
      <c r="J203" s="409"/>
    </row>
    <row r="204" spans="2:10">
      <c r="B204" s="408"/>
      <c r="C204" s="409"/>
      <c r="D204" s="410"/>
      <c r="E204" s="409"/>
      <c r="F204" s="409"/>
      <c r="G204" s="409"/>
      <c r="H204" s="409"/>
      <c r="I204" s="409"/>
      <c r="J204" s="409"/>
    </row>
    <row r="205" spans="2:10">
      <c r="B205" s="408"/>
      <c r="C205" s="409"/>
      <c r="D205" s="410"/>
      <c r="E205" s="409"/>
      <c r="F205" s="409"/>
      <c r="G205" s="409"/>
      <c r="H205" s="409"/>
      <c r="I205" s="409"/>
      <c r="J205" s="409"/>
    </row>
    <row r="206" spans="2:10">
      <c r="B206" s="408"/>
      <c r="C206" s="409"/>
      <c r="D206" s="410"/>
      <c r="E206" s="409"/>
      <c r="F206" s="409"/>
      <c r="G206" s="409"/>
      <c r="H206" s="409"/>
      <c r="I206" s="409"/>
      <c r="J206" s="409"/>
    </row>
    <row r="207" spans="2:10">
      <c r="B207" s="408"/>
      <c r="C207" s="409"/>
      <c r="D207" s="410"/>
      <c r="E207" s="409"/>
      <c r="F207" s="409"/>
      <c r="G207" s="409"/>
      <c r="H207" s="409"/>
      <c r="I207" s="409"/>
      <c r="J207" s="409"/>
    </row>
    <row r="208" spans="2:10">
      <c r="B208" s="408"/>
      <c r="C208" s="409"/>
      <c r="D208" s="410"/>
      <c r="E208" s="409"/>
      <c r="F208" s="409"/>
      <c r="G208" s="409"/>
      <c r="H208" s="409"/>
      <c r="I208" s="409"/>
      <c r="J208" s="409"/>
    </row>
    <row r="209" spans="2:10">
      <c r="B209" s="408"/>
      <c r="C209" s="409"/>
      <c r="D209" s="410"/>
      <c r="E209" s="409"/>
      <c r="F209" s="409"/>
      <c r="G209" s="409"/>
      <c r="H209" s="409"/>
      <c r="I209" s="409"/>
      <c r="J209" s="409"/>
    </row>
    <row r="210" spans="2:10">
      <c r="B210" s="408"/>
      <c r="C210" s="409"/>
      <c r="D210" s="410"/>
      <c r="E210" s="409"/>
      <c r="F210" s="409"/>
      <c r="G210" s="409"/>
      <c r="H210" s="409"/>
      <c r="I210" s="409"/>
      <c r="J210" s="409"/>
    </row>
    <row r="211" spans="2:10">
      <c r="B211" s="408"/>
      <c r="C211" s="409"/>
      <c r="D211" s="410"/>
      <c r="E211" s="409"/>
      <c r="F211" s="409"/>
      <c r="G211" s="409"/>
      <c r="H211" s="409"/>
      <c r="I211" s="409"/>
      <c r="J211" s="409"/>
    </row>
    <row r="212" spans="2:10">
      <c r="B212" s="408"/>
      <c r="C212" s="409"/>
      <c r="D212" s="410"/>
      <c r="E212" s="409"/>
      <c r="F212" s="409"/>
      <c r="G212" s="409"/>
      <c r="H212" s="409"/>
      <c r="I212" s="409"/>
      <c r="J212" s="409"/>
    </row>
    <row r="213" spans="2:10">
      <c r="B213" s="408"/>
      <c r="C213" s="409"/>
      <c r="D213" s="410"/>
      <c r="E213" s="409"/>
      <c r="F213" s="409"/>
      <c r="G213" s="409"/>
      <c r="H213" s="409"/>
      <c r="I213" s="409"/>
      <c r="J213" s="409"/>
    </row>
    <row r="214" spans="2:10">
      <c r="B214" s="408"/>
      <c r="C214" s="409"/>
      <c r="D214" s="410"/>
      <c r="E214" s="409"/>
      <c r="F214" s="409"/>
      <c r="G214" s="409"/>
      <c r="H214" s="409"/>
      <c r="I214" s="409"/>
      <c r="J214" s="409"/>
    </row>
    <row r="215" spans="2:10">
      <c r="B215" s="408"/>
      <c r="C215" s="409"/>
      <c r="D215" s="410"/>
      <c r="E215" s="409"/>
      <c r="F215" s="409"/>
      <c r="G215" s="409"/>
      <c r="H215" s="409"/>
      <c r="I215" s="409"/>
      <c r="J215" s="409"/>
    </row>
    <row r="216" spans="2:10">
      <c r="B216" s="408"/>
      <c r="C216" s="409"/>
      <c r="D216" s="410"/>
      <c r="E216" s="409"/>
      <c r="F216" s="409"/>
      <c r="G216" s="409"/>
      <c r="H216" s="409"/>
      <c r="I216" s="409"/>
      <c r="J216" s="409"/>
    </row>
    <row r="217" spans="2:10">
      <c r="B217" s="408"/>
      <c r="C217" s="409"/>
      <c r="D217" s="410"/>
      <c r="E217" s="409"/>
      <c r="F217" s="409"/>
      <c r="G217" s="409"/>
      <c r="H217" s="409"/>
      <c r="I217" s="409"/>
      <c r="J217" s="409"/>
    </row>
    <row r="218" spans="2:10">
      <c r="B218" s="408"/>
      <c r="C218" s="409"/>
      <c r="D218" s="410"/>
      <c r="E218" s="409"/>
      <c r="F218" s="409"/>
      <c r="G218" s="409"/>
      <c r="H218" s="409"/>
      <c r="I218" s="409"/>
      <c r="J218" s="409"/>
    </row>
    <row r="219" spans="2:10">
      <c r="B219" s="408"/>
      <c r="C219" s="409"/>
      <c r="D219" s="410"/>
      <c r="E219" s="409"/>
      <c r="F219" s="409"/>
      <c r="G219" s="409"/>
      <c r="H219" s="409"/>
      <c r="I219" s="409"/>
      <c r="J219" s="409"/>
    </row>
    <row r="220" spans="2:10">
      <c r="B220" s="408"/>
      <c r="C220" s="409"/>
      <c r="D220" s="410"/>
      <c r="E220" s="409"/>
      <c r="F220" s="409"/>
      <c r="G220" s="409"/>
      <c r="H220" s="409"/>
      <c r="I220" s="409"/>
      <c r="J220" s="409"/>
    </row>
    <row r="221" spans="2:10">
      <c r="B221" s="408"/>
      <c r="C221" s="409"/>
      <c r="D221" s="410"/>
      <c r="E221" s="409"/>
      <c r="F221" s="409"/>
      <c r="G221" s="409"/>
      <c r="H221" s="409"/>
      <c r="I221" s="409"/>
      <c r="J221" s="409"/>
    </row>
    <row r="222" spans="2:10">
      <c r="B222" s="408"/>
      <c r="C222" s="409"/>
      <c r="D222" s="410"/>
      <c r="E222" s="409"/>
      <c r="F222" s="409"/>
      <c r="G222" s="409"/>
      <c r="H222" s="409"/>
      <c r="I222" s="409"/>
      <c r="J222" s="409"/>
    </row>
    <row r="223" spans="2:10">
      <c r="B223" s="408"/>
      <c r="C223" s="409"/>
      <c r="D223" s="410"/>
      <c r="E223" s="409"/>
      <c r="F223" s="409"/>
      <c r="G223" s="409"/>
      <c r="H223" s="409"/>
      <c r="I223" s="409"/>
      <c r="J223" s="409"/>
    </row>
    <row r="224" spans="2:10">
      <c r="B224" s="408"/>
      <c r="C224" s="409"/>
      <c r="D224" s="410"/>
      <c r="E224" s="409"/>
      <c r="F224" s="409"/>
      <c r="G224" s="409"/>
      <c r="H224" s="409"/>
      <c r="I224" s="409"/>
      <c r="J224" s="409"/>
    </row>
    <row r="225" spans="2:10">
      <c r="B225" s="408"/>
      <c r="C225" s="409"/>
      <c r="D225" s="410"/>
      <c r="E225" s="409"/>
      <c r="F225" s="409"/>
      <c r="G225" s="409"/>
      <c r="H225" s="409"/>
      <c r="I225" s="409"/>
      <c r="J225" s="409"/>
    </row>
    <row r="226" spans="2:10">
      <c r="B226" s="408"/>
      <c r="C226" s="409"/>
      <c r="D226" s="410"/>
      <c r="E226" s="409"/>
      <c r="F226" s="409"/>
      <c r="G226" s="409"/>
      <c r="H226" s="409"/>
      <c r="I226" s="409"/>
      <c r="J226" s="409"/>
    </row>
    <row r="227" spans="2:10">
      <c r="B227" s="408"/>
      <c r="C227" s="409"/>
      <c r="D227" s="410"/>
      <c r="E227" s="409"/>
      <c r="F227" s="409"/>
      <c r="G227" s="409"/>
      <c r="H227" s="409"/>
      <c r="I227" s="409"/>
      <c r="J227" s="409"/>
    </row>
    <row r="228" spans="2:10">
      <c r="B228" s="408"/>
      <c r="C228" s="409"/>
      <c r="D228" s="410"/>
      <c r="E228" s="409"/>
      <c r="F228" s="409"/>
      <c r="G228" s="409"/>
      <c r="H228" s="409"/>
      <c r="I228" s="409"/>
      <c r="J228" s="409"/>
    </row>
    <row r="229" spans="2:10">
      <c r="B229" s="408"/>
      <c r="C229" s="409"/>
      <c r="D229" s="410"/>
      <c r="E229" s="409"/>
      <c r="F229" s="409"/>
      <c r="G229" s="409"/>
      <c r="H229" s="409"/>
      <c r="I229" s="409"/>
      <c r="J229" s="409"/>
    </row>
    <row r="230" spans="2:10">
      <c r="B230" s="408"/>
      <c r="C230" s="409"/>
      <c r="D230" s="410"/>
      <c r="E230" s="409"/>
      <c r="F230" s="409"/>
      <c r="G230" s="409"/>
      <c r="H230" s="409"/>
      <c r="I230" s="409"/>
      <c r="J230" s="409"/>
    </row>
    <row r="231" spans="2:10">
      <c r="B231" s="408"/>
      <c r="C231" s="409"/>
      <c r="D231" s="410"/>
      <c r="E231" s="409"/>
      <c r="F231" s="409"/>
      <c r="G231" s="409"/>
      <c r="H231" s="409"/>
      <c r="I231" s="409"/>
      <c r="J231" s="409"/>
    </row>
    <row r="232" spans="2:10">
      <c r="B232" s="408"/>
      <c r="C232" s="409"/>
      <c r="D232" s="410"/>
      <c r="E232" s="409"/>
      <c r="F232" s="409"/>
      <c r="G232" s="409"/>
      <c r="H232" s="409"/>
      <c r="I232" s="409"/>
      <c r="J232" s="409"/>
    </row>
    <row r="233" spans="2:10">
      <c r="B233" s="408"/>
      <c r="C233" s="409"/>
      <c r="D233" s="410"/>
      <c r="E233" s="409"/>
      <c r="F233" s="409"/>
      <c r="G233" s="409"/>
      <c r="H233" s="409"/>
      <c r="I233" s="409"/>
      <c r="J233" s="409"/>
    </row>
    <row r="234" spans="2:10">
      <c r="B234" s="408"/>
      <c r="C234" s="409"/>
      <c r="D234" s="410"/>
      <c r="E234" s="409"/>
      <c r="F234" s="409"/>
      <c r="G234" s="409"/>
      <c r="H234" s="409"/>
      <c r="I234" s="409"/>
      <c r="J234" s="409"/>
    </row>
    <row r="235" spans="2:10">
      <c r="B235" s="408"/>
      <c r="C235" s="409"/>
      <c r="D235" s="410"/>
      <c r="E235" s="409"/>
      <c r="F235" s="409"/>
      <c r="G235" s="409"/>
      <c r="H235" s="409"/>
      <c r="I235" s="409"/>
      <c r="J235" s="409"/>
    </row>
    <row r="236" spans="2:10">
      <c r="B236" s="408"/>
      <c r="C236" s="409"/>
      <c r="D236" s="410"/>
      <c r="E236" s="409"/>
      <c r="F236" s="409"/>
      <c r="G236" s="409"/>
      <c r="H236" s="409"/>
      <c r="I236" s="409"/>
      <c r="J236" s="409"/>
    </row>
    <row r="237" spans="2:10">
      <c r="B237" s="408"/>
      <c r="C237" s="409"/>
      <c r="D237" s="410"/>
      <c r="E237" s="409"/>
      <c r="F237" s="409"/>
      <c r="G237" s="409"/>
      <c r="H237" s="409"/>
      <c r="I237" s="409"/>
      <c r="J237" s="409"/>
    </row>
    <row r="238" spans="2:10">
      <c r="B238" s="408"/>
      <c r="C238" s="409"/>
      <c r="D238" s="410"/>
      <c r="E238" s="409"/>
      <c r="F238" s="409"/>
      <c r="G238" s="409"/>
      <c r="H238" s="409"/>
      <c r="I238" s="409"/>
      <c r="J238" s="409"/>
    </row>
    <row r="239" spans="2:10">
      <c r="B239" s="408"/>
      <c r="C239" s="409"/>
      <c r="D239" s="410"/>
      <c r="E239" s="409"/>
      <c r="F239" s="409"/>
      <c r="G239" s="409"/>
      <c r="H239" s="409"/>
      <c r="I239" s="409"/>
      <c r="J239" s="409"/>
    </row>
    <row r="240" spans="2:10">
      <c r="B240" s="408"/>
      <c r="C240" s="409"/>
      <c r="D240" s="410"/>
      <c r="E240" s="409"/>
      <c r="F240" s="409"/>
      <c r="G240" s="409"/>
      <c r="H240" s="409"/>
      <c r="I240" s="409"/>
      <c r="J240" s="409"/>
    </row>
    <row r="241" spans="2:10">
      <c r="B241" s="408"/>
      <c r="C241" s="409"/>
      <c r="D241" s="410"/>
      <c r="E241" s="409"/>
      <c r="F241" s="409"/>
      <c r="G241" s="409"/>
      <c r="H241" s="409"/>
      <c r="I241" s="409"/>
      <c r="J241" s="409"/>
    </row>
    <row r="242" spans="2:10">
      <c r="B242" s="408"/>
      <c r="C242" s="409"/>
      <c r="D242" s="410"/>
      <c r="E242" s="409"/>
      <c r="F242" s="409"/>
      <c r="G242" s="409"/>
      <c r="H242" s="409"/>
      <c r="I242" s="409"/>
      <c r="J242" s="409"/>
    </row>
    <row r="243" spans="2:10">
      <c r="B243" s="408"/>
      <c r="C243" s="409"/>
      <c r="D243" s="410"/>
      <c r="E243" s="409"/>
      <c r="F243" s="409"/>
      <c r="G243" s="409"/>
      <c r="H243" s="409"/>
      <c r="I243" s="409"/>
      <c r="J243" s="409"/>
    </row>
    <row r="244" spans="2:10">
      <c r="B244" s="408"/>
      <c r="C244" s="409"/>
      <c r="D244" s="410"/>
      <c r="E244" s="409"/>
      <c r="F244" s="409"/>
      <c r="G244" s="409"/>
      <c r="H244" s="409"/>
      <c r="I244" s="409"/>
      <c r="J244" s="409"/>
    </row>
    <row r="245" spans="2:10">
      <c r="B245" s="408"/>
      <c r="C245" s="409"/>
      <c r="D245" s="410"/>
      <c r="E245" s="409"/>
      <c r="F245" s="409"/>
      <c r="G245" s="409"/>
      <c r="H245" s="409"/>
      <c r="I245" s="409"/>
      <c r="J245" s="409"/>
    </row>
    <row r="246" spans="2:10">
      <c r="B246" s="408"/>
      <c r="C246" s="409"/>
      <c r="D246" s="410"/>
      <c r="E246" s="409"/>
      <c r="F246" s="409"/>
      <c r="G246" s="409"/>
      <c r="H246" s="409"/>
      <c r="I246" s="409"/>
      <c r="J246" s="409"/>
    </row>
    <row r="247" spans="2:10">
      <c r="B247" s="408"/>
      <c r="C247" s="409"/>
      <c r="D247" s="410"/>
      <c r="E247" s="409"/>
      <c r="F247" s="409"/>
      <c r="G247" s="409"/>
      <c r="H247" s="409"/>
      <c r="I247" s="409"/>
      <c r="J247" s="409"/>
    </row>
    <row r="248" spans="2:10">
      <c r="B248" s="408"/>
      <c r="C248" s="409"/>
      <c r="D248" s="410"/>
      <c r="E248" s="409"/>
      <c r="F248" s="409"/>
      <c r="G248" s="409"/>
      <c r="H248" s="409"/>
      <c r="I248" s="409"/>
      <c r="J248" s="409"/>
    </row>
    <row r="249" spans="2:10">
      <c r="B249" s="408"/>
      <c r="C249" s="409"/>
      <c r="D249" s="410"/>
      <c r="E249" s="409"/>
      <c r="F249" s="409"/>
      <c r="G249" s="409"/>
      <c r="H249" s="409"/>
      <c r="I249" s="409"/>
      <c r="J249" s="409"/>
    </row>
    <row r="250" spans="2:10">
      <c r="B250" s="408"/>
      <c r="C250" s="409"/>
      <c r="D250" s="410"/>
      <c r="E250" s="409"/>
      <c r="F250" s="409"/>
      <c r="G250" s="409"/>
      <c r="H250" s="409"/>
      <c r="I250" s="409"/>
      <c r="J250" s="409"/>
    </row>
    <row r="251" spans="2:10">
      <c r="B251" s="408"/>
      <c r="C251" s="409"/>
      <c r="D251" s="410"/>
      <c r="E251" s="409"/>
      <c r="F251" s="409"/>
      <c r="G251" s="409"/>
      <c r="H251" s="409"/>
      <c r="I251" s="409"/>
      <c r="J251" s="409"/>
    </row>
    <row r="252" spans="2:10">
      <c r="B252" s="408"/>
      <c r="C252" s="409"/>
      <c r="D252" s="410"/>
      <c r="E252" s="409"/>
      <c r="F252" s="409"/>
      <c r="G252" s="409"/>
      <c r="H252" s="409"/>
      <c r="I252" s="409"/>
      <c r="J252" s="409"/>
    </row>
    <row r="253" spans="2:10">
      <c r="B253" s="408"/>
      <c r="C253" s="409"/>
      <c r="D253" s="410"/>
      <c r="E253" s="409"/>
      <c r="F253" s="409"/>
      <c r="G253" s="409"/>
      <c r="H253" s="409"/>
      <c r="I253" s="409"/>
      <c r="J253" s="409"/>
    </row>
    <row r="254" spans="2:10">
      <c r="B254" s="408"/>
      <c r="C254" s="409"/>
      <c r="D254" s="410"/>
      <c r="E254" s="409"/>
      <c r="F254" s="409"/>
      <c r="G254" s="409"/>
      <c r="H254" s="409"/>
      <c r="I254" s="409"/>
      <c r="J254" s="409"/>
    </row>
    <row r="255" spans="2:10">
      <c r="B255" s="408"/>
      <c r="C255" s="409"/>
      <c r="D255" s="410"/>
      <c r="E255" s="409"/>
      <c r="F255" s="409"/>
      <c r="G255" s="409"/>
      <c r="H255" s="409"/>
      <c r="I255" s="409"/>
      <c r="J255" s="409"/>
    </row>
    <row r="256" spans="2:10">
      <c r="B256" s="408"/>
      <c r="C256" s="409"/>
      <c r="D256" s="410"/>
      <c r="E256" s="409"/>
      <c r="F256" s="409"/>
      <c r="G256" s="409"/>
      <c r="H256" s="409"/>
      <c r="I256" s="409"/>
      <c r="J256" s="409"/>
    </row>
    <row r="257" spans="2:10">
      <c r="B257" s="408"/>
      <c r="C257" s="409"/>
      <c r="D257" s="410"/>
      <c r="E257" s="409"/>
      <c r="F257" s="409"/>
      <c r="G257" s="409"/>
      <c r="H257" s="409"/>
      <c r="I257" s="409"/>
      <c r="J257" s="409"/>
    </row>
    <row r="258" spans="2:10">
      <c r="B258" s="408"/>
      <c r="C258" s="409"/>
      <c r="D258" s="410"/>
      <c r="E258" s="409"/>
      <c r="F258" s="409"/>
      <c r="G258" s="409"/>
      <c r="H258" s="409"/>
      <c r="I258" s="409"/>
      <c r="J258" s="409"/>
    </row>
    <row r="259" spans="2:10">
      <c r="B259" s="408"/>
      <c r="C259" s="409"/>
      <c r="D259" s="410"/>
      <c r="E259" s="409"/>
      <c r="F259" s="409"/>
      <c r="G259" s="409"/>
      <c r="H259" s="409"/>
      <c r="I259" s="409"/>
      <c r="J259" s="409"/>
    </row>
    <row r="260" spans="2:10">
      <c r="B260" s="408"/>
      <c r="C260" s="409"/>
      <c r="D260" s="410"/>
      <c r="E260" s="409"/>
      <c r="F260" s="409"/>
      <c r="G260" s="409"/>
      <c r="H260" s="409"/>
      <c r="I260" s="409"/>
      <c r="J260" s="409"/>
    </row>
    <row r="261" spans="2:10">
      <c r="B261" s="408"/>
      <c r="C261" s="409"/>
      <c r="D261" s="410"/>
      <c r="E261" s="409"/>
      <c r="F261" s="409"/>
      <c r="G261" s="409"/>
      <c r="H261" s="409"/>
      <c r="I261" s="409"/>
      <c r="J261" s="409"/>
    </row>
    <row r="262" spans="2:10">
      <c r="B262" s="408"/>
      <c r="C262" s="409"/>
      <c r="D262" s="410"/>
      <c r="E262" s="409"/>
      <c r="F262" s="409"/>
      <c r="G262" s="409"/>
      <c r="H262" s="409"/>
      <c r="I262" s="409"/>
      <c r="J262" s="409"/>
    </row>
    <row r="263" spans="2:10">
      <c r="B263" s="408"/>
      <c r="C263" s="409"/>
      <c r="D263" s="410"/>
      <c r="E263" s="409"/>
      <c r="F263" s="409"/>
      <c r="G263" s="409"/>
      <c r="H263" s="409"/>
      <c r="I263" s="409"/>
      <c r="J263" s="409"/>
    </row>
    <row r="264" spans="2:10">
      <c r="B264" s="408"/>
      <c r="C264" s="409"/>
      <c r="D264" s="410"/>
      <c r="E264" s="409"/>
      <c r="F264" s="409"/>
      <c r="G264" s="409"/>
      <c r="H264" s="409"/>
      <c r="I264" s="409"/>
      <c r="J264" s="409"/>
    </row>
    <row r="265" spans="2:10">
      <c r="B265" s="408"/>
      <c r="C265" s="409"/>
      <c r="D265" s="410"/>
      <c r="E265" s="409"/>
      <c r="F265" s="409"/>
      <c r="G265" s="409"/>
      <c r="H265" s="409"/>
      <c r="I265" s="409"/>
      <c r="J265" s="409"/>
    </row>
    <row r="266" spans="2:10">
      <c r="B266" s="408"/>
      <c r="C266" s="409"/>
      <c r="D266" s="410"/>
      <c r="E266" s="409"/>
      <c r="F266" s="409"/>
      <c r="G266" s="409"/>
      <c r="H266" s="409"/>
      <c r="I266" s="409"/>
      <c r="J266" s="409"/>
    </row>
    <row r="267" spans="2:10">
      <c r="B267" s="408"/>
      <c r="C267" s="409"/>
      <c r="D267" s="410"/>
      <c r="E267" s="409"/>
      <c r="F267" s="409"/>
      <c r="G267" s="409"/>
      <c r="H267" s="409"/>
      <c r="I267" s="409"/>
      <c r="J267" s="409"/>
    </row>
    <row r="268" spans="2:10">
      <c r="B268" s="408"/>
      <c r="C268" s="409"/>
      <c r="D268" s="410"/>
      <c r="E268" s="409"/>
      <c r="F268" s="409"/>
      <c r="G268" s="409"/>
      <c r="H268" s="409"/>
      <c r="I268" s="409"/>
      <c r="J268" s="409"/>
    </row>
    <row r="269" spans="2:10">
      <c r="B269" s="408"/>
      <c r="C269" s="409"/>
      <c r="D269" s="410"/>
      <c r="E269" s="409"/>
      <c r="F269" s="409"/>
      <c r="G269" s="409"/>
      <c r="H269" s="409"/>
      <c r="I269" s="409"/>
      <c r="J269" s="409"/>
    </row>
    <row r="270" spans="2:10">
      <c r="B270" s="408"/>
      <c r="C270" s="409"/>
      <c r="D270" s="410"/>
      <c r="E270" s="409"/>
      <c r="F270" s="409"/>
      <c r="G270" s="409"/>
      <c r="H270" s="409"/>
      <c r="I270" s="409"/>
      <c r="J270" s="409"/>
    </row>
    <row r="271" spans="2:10">
      <c r="B271" s="408"/>
      <c r="C271" s="409"/>
      <c r="D271" s="410"/>
      <c r="E271" s="409"/>
      <c r="F271" s="409"/>
      <c r="G271" s="409"/>
      <c r="H271" s="409"/>
      <c r="I271" s="409"/>
      <c r="J271" s="409"/>
    </row>
    <row r="272" spans="2:10">
      <c r="B272" s="408"/>
      <c r="C272" s="409"/>
      <c r="D272" s="410"/>
      <c r="E272" s="409"/>
      <c r="F272" s="409"/>
      <c r="G272" s="409"/>
      <c r="H272" s="409"/>
      <c r="I272" s="409"/>
      <c r="J272" s="409"/>
    </row>
    <row r="273" spans="2:10">
      <c r="B273" s="408"/>
      <c r="C273" s="409"/>
      <c r="D273" s="410"/>
      <c r="E273" s="409"/>
      <c r="F273" s="409"/>
      <c r="G273" s="409"/>
      <c r="H273" s="409"/>
      <c r="I273" s="409"/>
      <c r="J273" s="409"/>
    </row>
    <row r="274" spans="2:10">
      <c r="B274" s="408"/>
      <c r="C274" s="409"/>
      <c r="D274" s="410"/>
      <c r="E274" s="409"/>
      <c r="F274" s="409"/>
      <c r="G274" s="409"/>
      <c r="H274" s="409"/>
      <c r="I274" s="409"/>
      <c r="J274" s="409"/>
    </row>
    <row r="275" spans="2:10">
      <c r="B275" s="408"/>
      <c r="C275" s="409"/>
      <c r="D275" s="410"/>
      <c r="E275" s="409"/>
      <c r="F275" s="409"/>
      <c r="G275" s="409"/>
      <c r="H275" s="409"/>
      <c r="I275" s="409"/>
      <c r="J275" s="409"/>
    </row>
    <row r="276" spans="2:10">
      <c r="B276" s="408"/>
      <c r="C276" s="409"/>
      <c r="D276" s="410"/>
      <c r="E276" s="409"/>
      <c r="F276" s="409"/>
      <c r="G276" s="409"/>
      <c r="H276" s="409"/>
      <c r="I276" s="409"/>
      <c r="J276" s="409"/>
    </row>
    <row r="277" spans="2:10">
      <c r="B277" s="408"/>
      <c r="C277" s="409"/>
      <c r="D277" s="410"/>
      <c r="E277" s="409"/>
      <c r="F277" s="409"/>
      <c r="G277" s="409"/>
      <c r="H277" s="409"/>
      <c r="I277" s="409"/>
      <c r="J277" s="409"/>
    </row>
    <row r="278" spans="2:10">
      <c r="B278" s="408"/>
      <c r="C278" s="409"/>
      <c r="D278" s="410"/>
      <c r="E278" s="409"/>
      <c r="F278" s="409"/>
      <c r="G278" s="409"/>
      <c r="H278" s="409"/>
      <c r="I278" s="409"/>
      <c r="J278" s="409"/>
    </row>
    <row r="279" spans="2:10">
      <c r="B279" s="408"/>
      <c r="C279" s="409"/>
      <c r="D279" s="410"/>
      <c r="E279" s="409"/>
      <c r="F279" s="409"/>
      <c r="G279" s="409"/>
      <c r="H279" s="409"/>
      <c r="I279" s="409"/>
      <c r="J279" s="409"/>
    </row>
    <row r="280" spans="2:10">
      <c r="B280" s="408"/>
      <c r="C280" s="409"/>
      <c r="D280" s="410"/>
      <c r="E280" s="409"/>
      <c r="F280" s="409"/>
      <c r="G280" s="409"/>
      <c r="H280" s="409"/>
      <c r="I280" s="409"/>
      <c r="J280" s="409"/>
    </row>
    <row r="281" spans="2:10">
      <c r="B281" s="408"/>
      <c r="C281" s="409"/>
      <c r="D281" s="410"/>
      <c r="E281" s="409"/>
      <c r="F281" s="409"/>
      <c r="G281" s="409"/>
      <c r="H281" s="409"/>
      <c r="I281" s="409"/>
      <c r="J281" s="409"/>
    </row>
    <row r="282" spans="2:10">
      <c r="B282" s="408"/>
      <c r="C282" s="409"/>
      <c r="D282" s="410"/>
      <c r="E282" s="409"/>
      <c r="F282" s="409"/>
      <c r="G282" s="409"/>
      <c r="H282" s="409"/>
      <c r="I282" s="409"/>
      <c r="J282" s="409"/>
    </row>
    <row r="283" spans="2:10">
      <c r="B283" s="408"/>
      <c r="C283" s="409"/>
      <c r="D283" s="410"/>
      <c r="E283" s="409"/>
      <c r="F283" s="409"/>
      <c r="G283" s="409"/>
      <c r="H283" s="409"/>
      <c r="I283" s="409"/>
      <c r="J283" s="409"/>
    </row>
    <row r="284" spans="2:10">
      <c r="B284" s="408"/>
      <c r="C284" s="409"/>
      <c r="D284" s="410"/>
      <c r="E284" s="409"/>
      <c r="F284" s="409"/>
      <c r="G284" s="409"/>
      <c r="H284" s="409"/>
      <c r="I284" s="409"/>
      <c r="J284" s="409"/>
    </row>
    <row r="285" spans="2:10">
      <c r="B285" s="408"/>
      <c r="C285" s="409"/>
      <c r="D285" s="410"/>
      <c r="E285" s="409"/>
      <c r="F285" s="409"/>
      <c r="G285" s="409"/>
      <c r="H285" s="409"/>
      <c r="I285" s="409"/>
      <c r="J285" s="409"/>
    </row>
    <row r="286" spans="2:10">
      <c r="B286" s="408"/>
      <c r="C286" s="409"/>
      <c r="D286" s="410"/>
      <c r="E286" s="409"/>
      <c r="F286" s="409"/>
      <c r="G286" s="409"/>
      <c r="H286" s="409"/>
      <c r="I286" s="409"/>
      <c r="J286" s="409"/>
    </row>
    <row r="287" spans="2:10">
      <c r="B287" s="408"/>
      <c r="C287" s="409"/>
      <c r="D287" s="410"/>
      <c r="E287" s="409"/>
      <c r="F287" s="409"/>
      <c r="G287" s="409"/>
      <c r="H287" s="409"/>
      <c r="I287" s="409"/>
      <c r="J287" s="409"/>
    </row>
    <row r="288" spans="2:10">
      <c r="B288" s="408"/>
      <c r="C288" s="409"/>
      <c r="D288" s="410"/>
      <c r="E288" s="409"/>
      <c r="F288" s="409"/>
      <c r="G288" s="409"/>
      <c r="H288" s="409"/>
      <c r="I288" s="409"/>
      <c r="J288" s="409"/>
    </row>
    <row r="289" spans="2:10">
      <c r="B289" s="408"/>
      <c r="C289" s="409"/>
      <c r="D289" s="410"/>
      <c r="E289" s="409"/>
      <c r="F289" s="409"/>
      <c r="G289" s="409"/>
      <c r="H289" s="409"/>
      <c r="I289" s="409"/>
      <c r="J289" s="409"/>
    </row>
    <row r="290" spans="2:10">
      <c r="B290" s="408"/>
      <c r="C290" s="409"/>
      <c r="D290" s="410"/>
      <c r="E290" s="409"/>
      <c r="F290" s="409"/>
      <c r="G290" s="409"/>
      <c r="H290" s="409"/>
      <c r="I290" s="409"/>
      <c r="J290" s="409"/>
    </row>
    <row r="291" spans="2:10">
      <c r="B291" s="408"/>
      <c r="C291" s="409"/>
      <c r="D291" s="410"/>
      <c r="E291" s="409"/>
      <c r="F291" s="409"/>
      <c r="G291" s="409"/>
      <c r="H291" s="409"/>
      <c r="I291" s="409"/>
      <c r="J291" s="409"/>
    </row>
    <row r="292" spans="2:10">
      <c r="B292" s="408"/>
      <c r="C292" s="409"/>
      <c r="D292" s="410"/>
      <c r="E292" s="409"/>
      <c r="F292" s="409"/>
      <c r="G292" s="409"/>
      <c r="H292" s="409"/>
      <c r="I292" s="409"/>
      <c r="J292" s="409"/>
    </row>
    <row r="293" spans="2:10">
      <c r="B293" s="408"/>
      <c r="C293" s="409"/>
      <c r="D293" s="410"/>
      <c r="E293" s="409"/>
      <c r="F293" s="409"/>
      <c r="G293" s="409"/>
      <c r="H293" s="409"/>
      <c r="I293" s="409"/>
      <c r="J293" s="409"/>
    </row>
    <row r="294" spans="2:10">
      <c r="B294" s="408"/>
      <c r="C294" s="409"/>
      <c r="D294" s="410"/>
      <c r="E294" s="409"/>
      <c r="F294" s="409"/>
      <c r="G294" s="409"/>
      <c r="H294" s="409"/>
      <c r="I294" s="409"/>
      <c r="J294" s="409"/>
    </row>
    <row r="295" spans="2:10">
      <c r="B295" s="408"/>
      <c r="C295" s="409"/>
      <c r="D295" s="410"/>
      <c r="E295" s="409"/>
      <c r="F295" s="409"/>
      <c r="G295" s="409"/>
      <c r="H295" s="409"/>
      <c r="I295" s="409"/>
      <c r="J295" s="409"/>
    </row>
    <row r="296" spans="2:10">
      <c r="B296" s="408"/>
      <c r="C296" s="409"/>
      <c r="D296" s="410"/>
      <c r="E296" s="409"/>
      <c r="F296" s="409"/>
      <c r="G296" s="409"/>
      <c r="H296" s="409"/>
      <c r="I296" s="409"/>
      <c r="J296" s="409"/>
    </row>
    <row r="297" spans="2:10">
      <c r="B297" s="408"/>
      <c r="C297" s="409"/>
      <c r="D297" s="410"/>
      <c r="E297" s="409"/>
      <c r="F297" s="409"/>
      <c r="G297" s="409"/>
      <c r="H297" s="409"/>
      <c r="I297" s="409"/>
      <c r="J297" s="409"/>
    </row>
    <row r="298" spans="2:10">
      <c r="B298" s="408"/>
      <c r="C298" s="409"/>
      <c r="D298" s="410"/>
      <c r="E298" s="409"/>
      <c r="F298" s="409"/>
      <c r="G298" s="409"/>
      <c r="H298" s="409"/>
      <c r="I298" s="409"/>
      <c r="J298" s="409"/>
    </row>
    <row r="299" spans="2:10">
      <c r="B299" s="408"/>
      <c r="C299" s="409"/>
      <c r="D299" s="410"/>
      <c r="E299" s="409"/>
      <c r="F299" s="409"/>
      <c r="G299" s="409"/>
      <c r="H299" s="409"/>
      <c r="I299" s="409"/>
      <c r="J299" s="409"/>
    </row>
    <row r="300" spans="2:10">
      <c r="B300" s="408"/>
      <c r="C300" s="409"/>
      <c r="D300" s="410"/>
      <c r="E300" s="409"/>
      <c r="F300" s="409"/>
      <c r="G300" s="409"/>
      <c r="H300" s="409"/>
      <c r="I300" s="409"/>
      <c r="J300" s="409"/>
    </row>
    <row r="301" spans="2:10">
      <c r="B301" s="408"/>
      <c r="C301" s="409"/>
      <c r="D301" s="410"/>
      <c r="E301" s="409"/>
      <c r="F301" s="409"/>
      <c r="G301" s="409"/>
      <c r="H301" s="409"/>
      <c r="I301" s="409"/>
      <c r="J301" s="409"/>
    </row>
    <row r="302" spans="2:10">
      <c r="B302" s="408"/>
      <c r="C302" s="409"/>
      <c r="D302" s="410"/>
      <c r="E302" s="409"/>
      <c r="F302" s="409"/>
      <c r="G302" s="409"/>
      <c r="H302" s="409"/>
      <c r="I302" s="409"/>
      <c r="J302" s="409"/>
    </row>
    <row r="303" spans="2:10">
      <c r="B303" s="408"/>
      <c r="C303" s="409"/>
      <c r="D303" s="410"/>
      <c r="E303" s="409"/>
      <c r="F303" s="409"/>
      <c r="G303" s="409"/>
      <c r="H303" s="409"/>
      <c r="I303" s="409"/>
      <c r="J303" s="409"/>
    </row>
    <row r="304" spans="2:10">
      <c r="B304" s="408"/>
      <c r="C304" s="409"/>
      <c r="D304" s="410"/>
      <c r="E304" s="409"/>
      <c r="F304" s="409"/>
      <c r="G304" s="409"/>
      <c r="H304" s="409"/>
      <c r="I304" s="409"/>
      <c r="J304" s="409"/>
    </row>
    <row r="305" spans="2:10">
      <c r="B305" s="408"/>
      <c r="C305" s="409"/>
      <c r="D305" s="410"/>
      <c r="E305" s="409"/>
      <c r="F305" s="409"/>
      <c r="G305" s="409"/>
      <c r="H305" s="409"/>
      <c r="I305" s="409"/>
      <c r="J305" s="409"/>
    </row>
    <row r="306" spans="2:10">
      <c r="B306" s="408"/>
      <c r="C306" s="409"/>
      <c r="D306" s="410"/>
      <c r="E306" s="409"/>
      <c r="F306" s="409"/>
      <c r="G306" s="409"/>
      <c r="H306" s="409"/>
      <c r="I306" s="409"/>
      <c r="J306" s="409"/>
    </row>
    <row r="307" spans="2:10">
      <c r="B307" s="408"/>
      <c r="C307" s="409"/>
      <c r="D307" s="410"/>
      <c r="E307" s="409"/>
      <c r="F307" s="409"/>
      <c r="G307" s="409"/>
      <c r="H307" s="409"/>
      <c r="I307" s="409"/>
      <c r="J307" s="409"/>
    </row>
    <row r="308" spans="2:10">
      <c r="B308" s="404"/>
      <c r="C308" s="405"/>
      <c r="D308" s="411"/>
      <c r="E308" s="405"/>
      <c r="F308" s="405"/>
      <c r="G308" s="405"/>
      <c r="H308" s="405"/>
      <c r="I308" s="405"/>
      <c r="J308" s="405"/>
    </row>
    <row r="309" spans="2:10">
      <c r="B309" s="404"/>
      <c r="C309" s="405"/>
      <c r="D309" s="411"/>
      <c r="E309" s="405"/>
      <c r="F309" s="405"/>
      <c r="G309" s="405"/>
      <c r="H309" s="405"/>
      <c r="I309" s="405"/>
      <c r="J309" s="405"/>
    </row>
    <row r="310" spans="2:10">
      <c r="B310" s="404"/>
      <c r="C310" s="405"/>
      <c r="D310" s="411"/>
      <c r="E310" s="405"/>
      <c r="F310" s="405"/>
      <c r="G310" s="405"/>
      <c r="H310" s="405"/>
      <c r="I310" s="405"/>
      <c r="J310" s="405"/>
    </row>
    <row r="311" spans="2:10">
      <c r="B311" s="404"/>
      <c r="C311" s="405"/>
      <c r="D311" s="411"/>
      <c r="E311" s="405"/>
      <c r="F311" s="405"/>
      <c r="G311" s="405"/>
      <c r="H311" s="405"/>
      <c r="I311" s="405"/>
      <c r="J311" s="405"/>
    </row>
    <row r="312" spans="2:10">
      <c r="B312" s="404"/>
      <c r="C312" s="405"/>
      <c r="D312" s="411"/>
      <c r="E312" s="405"/>
      <c r="F312" s="405"/>
      <c r="G312" s="405"/>
      <c r="H312" s="405"/>
      <c r="I312" s="405"/>
      <c r="J312" s="405"/>
    </row>
    <row r="313" spans="2:10">
      <c r="B313" s="404"/>
      <c r="C313" s="405"/>
      <c r="D313" s="411"/>
      <c r="E313" s="405"/>
      <c r="F313" s="405"/>
      <c r="G313" s="405"/>
      <c r="H313" s="405"/>
      <c r="I313" s="405"/>
      <c r="J313" s="405"/>
    </row>
    <row r="314" spans="2:10">
      <c r="B314" s="404"/>
      <c r="C314" s="405"/>
      <c r="D314" s="411"/>
      <c r="E314" s="405"/>
      <c r="F314" s="405"/>
      <c r="G314" s="405"/>
      <c r="H314" s="405"/>
      <c r="I314" s="405"/>
      <c r="J314" s="405"/>
    </row>
    <row r="315" spans="2:10">
      <c r="B315" s="404"/>
      <c r="C315" s="405"/>
      <c r="D315" s="411"/>
      <c r="E315" s="405"/>
      <c r="F315" s="405"/>
      <c r="G315" s="405"/>
      <c r="H315" s="405"/>
      <c r="I315" s="405"/>
      <c r="J315" s="405"/>
    </row>
    <row r="316" spans="2:10">
      <c r="B316" s="404"/>
      <c r="C316" s="405"/>
      <c r="D316" s="411"/>
      <c r="E316" s="405"/>
      <c r="F316" s="405"/>
      <c r="G316" s="405"/>
      <c r="H316" s="405"/>
      <c r="I316" s="405"/>
      <c r="J316" s="405"/>
    </row>
    <row r="317" spans="2:10">
      <c r="B317" s="404"/>
      <c r="C317" s="405"/>
      <c r="D317" s="411"/>
      <c r="E317" s="405"/>
      <c r="F317" s="405"/>
      <c r="G317" s="405"/>
      <c r="H317" s="405"/>
      <c r="I317" s="405"/>
      <c r="J317" s="405"/>
    </row>
    <row r="318" spans="2:10">
      <c r="B318" s="404"/>
      <c r="C318" s="405"/>
      <c r="D318" s="411"/>
      <c r="E318" s="405"/>
      <c r="F318" s="405"/>
      <c r="G318" s="405"/>
      <c r="H318" s="405"/>
      <c r="I318" s="405"/>
      <c r="J318" s="405"/>
    </row>
    <row r="319" spans="2:10">
      <c r="B319" s="404"/>
      <c r="C319" s="405"/>
      <c r="D319" s="411"/>
      <c r="E319" s="405"/>
      <c r="F319" s="405"/>
      <c r="G319" s="405"/>
      <c r="H319" s="405"/>
      <c r="I319" s="405"/>
      <c r="J319" s="405"/>
    </row>
    <row r="320" spans="2:10">
      <c r="B320" s="404"/>
      <c r="C320" s="405"/>
      <c r="D320" s="411"/>
      <c r="E320" s="405"/>
      <c r="F320" s="405"/>
      <c r="G320" s="405"/>
      <c r="H320" s="405"/>
      <c r="I320" s="405"/>
      <c r="J320" s="405"/>
    </row>
    <row r="321" spans="2:10">
      <c r="B321" s="404"/>
      <c r="C321" s="405"/>
      <c r="D321" s="411"/>
      <c r="E321" s="405"/>
      <c r="F321" s="405"/>
      <c r="G321" s="405"/>
      <c r="H321" s="405"/>
      <c r="I321" s="405"/>
      <c r="J321" s="405"/>
    </row>
    <row r="322" spans="2:10">
      <c r="B322" s="404"/>
      <c r="C322" s="405"/>
      <c r="D322" s="411"/>
      <c r="E322" s="405"/>
      <c r="F322" s="405"/>
      <c r="G322" s="405"/>
      <c r="H322" s="405"/>
      <c r="I322" s="405"/>
      <c r="J322" s="405"/>
    </row>
    <row r="323" spans="2:10">
      <c r="B323" s="404"/>
      <c r="C323" s="405"/>
      <c r="D323" s="411"/>
      <c r="E323" s="405"/>
      <c r="F323" s="405"/>
      <c r="G323" s="405"/>
      <c r="H323" s="405"/>
      <c r="I323" s="405"/>
      <c r="J323" s="405"/>
    </row>
    <row r="324" spans="2:10">
      <c r="B324" s="404"/>
      <c r="C324" s="405"/>
      <c r="D324" s="411"/>
      <c r="E324" s="405"/>
      <c r="F324" s="405"/>
      <c r="G324" s="405"/>
      <c r="H324" s="405"/>
      <c r="I324" s="405"/>
      <c r="J324" s="405"/>
    </row>
    <row r="325" spans="2:10">
      <c r="B325" s="404"/>
      <c r="C325" s="405"/>
      <c r="D325" s="411"/>
      <c r="E325" s="405"/>
      <c r="F325" s="405"/>
      <c r="G325" s="405"/>
      <c r="H325" s="405"/>
      <c r="I325" s="405"/>
      <c r="J325" s="405"/>
    </row>
    <row r="326" spans="2:10">
      <c r="B326" s="404"/>
      <c r="C326" s="405"/>
      <c r="D326" s="411"/>
      <c r="E326" s="405"/>
      <c r="F326" s="405"/>
      <c r="G326" s="405"/>
      <c r="H326" s="405"/>
      <c r="I326" s="405"/>
      <c r="J326" s="405"/>
    </row>
    <row r="327" spans="2:10">
      <c r="B327" s="404"/>
      <c r="C327" s="405"/>
      <c r="D327" s="411"/>
      <c r="E327" s="405"/>
      <c r="F327" s="405"/>
      <c r="G327" s="405"/>
      <c r="H327" s="405"/>
      <c r="I327" s="405"/>
      <c r="J327" s="405"/>
    </row>
    <row r="328" spans="2:10">
      <c r="B328" s="404"/>
      <c r="C328" s="405"/>
      <c r="D328" s="411"/>
      <c r="E328" s="405"/>
      <c r="F328" s="405"/>
      <c r="G328" s="405"/>
      <c r="H328" s="405"/>
      <c r="I328" s="405"/>
      <c r="J328" s="405"/>
    </row>
    <row r="329" spans="2:10">
      <c r="B329" s="404"/>
      <c r="C329" s="405"/>
      <c r="D329" s="411"/>
      <c r="E329" s="405"/>
      <c r="F329" s="405"/>
      <c r="G329" s="405"/>
      <c r="H329" s="405"/>
      <c r="I329" s="405"/>
      <c r="J329" s="405"/>
    </row>
    <row r="330" spans="2:10">
      <c r="B330" s="404"/>
      <c r="C330" s="405"/>
      <c r="D330" s="411"/>
      <c r="E330" s="405"/>
      <c r="F330" s="405"/>
      <c r="G330" s="405"/>
      <c r="H330" s="405"/>
      <c r="I330" s="405"/>
      <c r="J330" s="405"/>
    </row>
    <row r="331" spans="2:10">
      <c r="B331" s="404"/>
      <c r="C331" s="405"/>
      <c r="D331" s="411"/>
      <c r="E331" s="405"/>
      <c r="F331" s="405"/>
      <c r="G331" s="405"/>
      <c r="H331" s="405"/>
      <c r="I331" s="405"/>
      <c r="J331" s="405"/>
    </row>
    <row r="332" spans="2:10">
      <c r="B332" s="404"/>
      <c r="C332" s="405"/>
      <c r="D332" s="411"/>
      <c r="E332" s="405"/>
      <c r="F332" s="405"/>
      <c r="G332" s="405"/>
      <c r="H332" s="405"/>
      <c r="I332" s="405"/>
      <c r="J332" s="405"/>
    </row>
    <row r="333" spans="2:10">
      <c r="B333" s="404"/>
      <c r="C333" s="405"/>
      <c r="D333" s="411"/>
      <c r="E333" s="405"/>
      <c r="F333" s="405"/>
      <c r="G333" s="405"/>
      <c r="H333" s="405"/>
      <c r="I333" s="405"/>
      <c r="J333" s="405"/>
    </row>
    <row r="334" spans="2:10">
      <c r="B334" s="404"/>
      <c r="C334" s="405"/>
      <c r="D334" s="411"/>
      <c r="E334" s="405"/>
      <c r="F334" s="405"/>
      <c r="G334" s="405"/>
      <c r="H334" s="405"/>
      <c r="I334" s="405"/>
      <c r="J334" s="405"/>
    </row>
    <row r="335" spans="2:10">
      <c r="B335" s="404"/>
      <c r="C335" s="405"/>
      <c r="D335" s="411"/>
      <c r="E335" s="405"/>
      <c r="F335" s="405"/>
      <c r="G335" s="405"/>
      <c r="H335" s="405"/>
      <c r="I335" s="405"/>
      <c r="J335" s="405"/>
    </row>
    <row r="336" spans="2:10">
      <c r="B336" s="404"/>
      <c r="C336" s="405"/>
      <c r="D336" s="411"/>
      <c r="E336" s="405"/>
      <c r="F336" s="405"/>
      <c r="G336" s="405"/>
      <c r="H336" s="405"/>
      <c r="I336" s="405"/>
      <c r="J336" s="405"/>
    </row>
    <row r="337" spans="2:10">
      <c r="B337" s="404"/>
      <c r="C337" s="405"/>
      <c r="D337" s="411"/>
      <c r="E337" s="405"/>
      <c r="F337" s="405"/>
      <c r="G337" s="405"/>
      <c r="H337" s="405"/>
      <c r="I337" s="405"/>
      <c r="J337" s="405"/>
    </row>
    <row r="338" spans="2:10">
      <c r="B338" s="404"/>
      <c r="C338" s="405"/>
      <c r="D338" s="411"/>
      <c r="E338" s="405"/>
      <c r="F338" s="405"/>
      <c r="G338" s="405"/>
      <c r="H338" s="405"/>
      <c r="I338" s="405"/>
      <c r="J338" s="405"/>
    </row>
    <row r="339" spans="2:10">
      <c r="B339" s="404"/>
      <c r="C339" s="405"/>
      <c r="D339" s="411"/>
      <c r="E339" s="405"/>
      <c r="F339" s="405"/>
      <c r="G339" s="405"/>
      <c r="H339" s="405"/>
      <c r="I339" s="405"/>
      <c r="J339" s="405"/>
    </row>
    <row r="340" spans="2:10">
      <c r="B340" s="404"/>
      <c r="C340" s="405"/>
      <c r="D340" s="411"/>
      <c r="E340" s="405"/>
      <c r="F340" s="405"/>
      <c r="G340" s="405"/>
      <c r="H340" s="405"/>
      <c r="I340" s="405"/>
      <c r="J340" s="405"/>
    </row>
    <row r="341" spans="2:10">
      <c r="B341" s="404"/>
      <c r="C341" s="405"/>
      <c r="D341" s="411"/>
      <c r="E341" s="405"/>
      <c r="F341" s="405"/>
      <c r="G341" s="405"/>
      <c r="H341" s="405"/>
      <c r="I341" s="405"/>
      <c r="J341" s="405"/>
    </row>
    <row r="342" spans="2:10">
      <c r="B342" s="404"/>
      <c r="C342" s="405"/>
      <c r="D342" s="411"/>
      <c r="E342" s="405"/>
      <c r="F342" s="405"/>
      <c r="G342" s="405"/>
      <c r="H342" s="405"/>
      <c r="I342" s="405"/>
      <c r="J342" s="405"/>
    </row>
    <row r="343" spans="2:10">
      <c r="B343" s="404"/>
      <c r="C343" s="405"/>
      <c r="D343" s="411"/>
      <c r="E343" s="405"/>
      <c r="F343" s="405"/>
      <c r="G343" s="405"/>
      <c r="H343" s="405"/>
      <c r="I343" s="405"/>
      <c r="J343" s="405"/>
    </row>
    <row r="344" spans="2:10">
      <c r="B344" s="404"/>
      <c r="C344" s="405"/>
      <c r="D344" s="411"/>
      <c r="E344" s="405"/>
      <c r="F344" s="405"/>
      <c r="G344" s="405"/>
      <c r="H344" s="405"/>
      <c r="I344" s="405"/>
      <c r="J344" s="405"/>
    </row>
    <row r="345" spans="2:10">
      <c r="B345" s="404"/>
      <c r="C345" s="405"/>
      <c r="D345" s="411"/>
      <c r="E345" s="405"/>
      <c r="F345" s="405"/>
      <c r="G345" s="405"/>
      <c r="H345" s="405"/>
      <c r="I345" s="405"/>
      <c r="J345" s="405"/>
    </row>
    <row r="346" spans="2:10">
      <c r="B346" s="404"/>
      <c r="C346" s="405"/>
      <c r="D346" s="411"/>
      <c r="E346" s="405"/>
      <c r="F346" s="405"/>
      <c r="G346" s="405"/>
      <c r="H346" s="405"/>
      <c r="I346" s="405"/>
      <c r="J346" s="405"/>
    </row>
    <row r="347" spans="2:10">
      <c r="B347" s="404"/>
      <c r="C347" s="405"/>
      <c r="D347" s="411"/>
      <c r="E347" s="405"/>
      <c r="F347" s="405"/>
      <c r="G347" s="405"/>
      <c r="H347" s="405"/>
      <c r="I347" s="405"/>
      <c r="J347" s="405"/>
    </row>
  </sheetData>
  <mergeCells count="42">
    <mergeCell ref="B10:D10"/>
    <mergeCell ref="E10:F10"/>
    <mergeCell ref="H10:I10"/>
    <mergeCell ref="A1:J1"/>
    <mergeCell ref="B2:D2"/>
    <mergeCell ref="G2:J2"/>
    <mergeCell ref="B3:D3"/>
    <mergeCell ref="G3:J3"/>
    <mergeCell ref="B4:J4"/>
    <mergeCell ref="B5:J5"/>
    <mergeCell ref="B6:J6"/>
    <mergeCell ref="B7:J7"/>
    <mergeCell ref="B8:J8"/>
    <mergeCell ref="B9:J9"/>
    <mergeCell ref="B11:D11"/>
    <mergeCell ref="E11:F11"/>
    <mergeCell ref="H11:I11"/>
    <mergeCell ref="A13:A14"/>
    <mergeCell ref="B13:D13"/>
    <mergeCell ref="E13:E14"/>
    <mergeCell ref="F13:F14"/>
    <mergeCell ref="G13:G14"/>
    <mergeCell ref="H13:I13"/>
    <mergeCell ref="D85:E85"/>
    <mergeCell ref="F85:J85"/>
    <mergeCell ref="J13:J14"/>
    <mergeCell ref="B14:C14"/>
    <mergeCell ref="E79:F79"/>
    <mergeCell ref="E80:F80"/>
    <mergeCell ref="E81:F81"/>
    <mergeCell ref="I81:J81"/>
    <mergeCell ref="B82:E82"/>
    <mergeCell ref="H82:J82"/>
    <mergeCell ref="D83:E83"/>
    <mergeCell ref="F83:J83"/>
    <mergeCell ref="D84:E84"/>
    <mergeCell ref="D86:E86"/>
    <mergeCell ref="F86:H86"/>
    <mergeCell ref="I86:J86"/>
    <mergeCell ref="D87:E87"/>
    <mergeCell ref="F87:G87"/>
    <mergeCell ref="H87:J87"/>
  </mergeCells>
  <printOptions horizontalCentered="1"/>
  <pageMargins left="0.24" right="0.21" top="0.27" bottom="0.27559055118110198" header="0.23" footer="0.27559055118110198"/>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sheetPr>
  <dimension ref="A1:K315"/>
  <sheetViews>
    <sheetView topLeftCell="A16" workbookViewId="0">
      <selection activeCell="E22" sqref="E22:G22"/>
    </sheetView>
  </sheetViews>
  <sheetFormatPr defaultRowHeight="12.75"/>
  <cols>
    <col min="1" max="1" width="2.85546875" style="322" customWidth="1"/>
    <col min="2" max="2" width="9.7109375" style="322" customWidth="1"/>
    <col min="3" max="3" width="9.5703125" style="322" customWidth="1"/>
    <col min="4" max="4" width="25.5703125" style="322" customWidth="1"/>
    <col min="5" max="5" width="4.42578125" style="322" hidden="1" customWidth="1"/>
    <col min="6" max="6" width="5.5703125" style="322" hidden="1" customWidth="1"/>
    <col min="7" max="7" width="7.42578125" style="322" customWidth="1"/>
    <col min="8" max="8" width="4.85546875" style="322" customWidth="1"/>
    <col min="9" max="9" width="8.5703125" style="322" customWidth="1"/>
    <col min="10" max="10" width="10.140625" style="322" customWidth="1"/>
    <col min="11" max="11" width="7.5703125" style="322" customWidth="1"/>
    <col min="12" max="16384" width="9.140625" style="322"/>
  </cols>
  <sheetData>
    <row r="1" spans="1:11" ht="18" customHeight="1">
      <c r="A1" s="983" t="s">
        <v>1990</v>
      </c>
      <c r="B1" s="983"/>
      <c r="C1" s="983"/>
      <c r="D1" s="983"/>
      <c r="E1" s="317"/>
      <c r="F1" s="317"/>
      <c r="G1" s="318" t="s">
        <v>1991</v>
      </c>
      <c r="H1" s="319" t="s">
        <v>1992</v>
      </c>
      <c r="I1" s="320" t="s">
        <v>1991</v>
      </c>
      <c r="J1" s="321" t="s">
        <v>1992</v>
      </c>
      <c r="K1" s="321"/>
    </row>
    <row r="2" spans="1:11">
      <c r="B2" s="982" t="s">
        <v>1993</v>
      </c>
      <c r="C2" s="982"/>
      <c r="D2" s="982"/>
      <c r="E2" s="323"/>
      <c r="F2" s="323"/>
      <c r="G2" s="318"/>
      <c r="H2" s="324"/>
      <c r="I2" s="321"/>
      <c r="J2" s="321"/>
      <c r="K2" s="321"/>
    </row>
    <row r="3" spans="1:11" ht="21" customHeight="1">
      <c r="B3" s="982" t="s">
        <v>1994</v>
      </c>
      <c r="C3" s="982"/>
      <c r="D3" s="982"/>
      <c r="E3" s="982"/>
      <c r="F3" s="982"/>
      <c r="G3" s="984"/>
      <c r="H3" s="324"/>
      <c r="I3" s="321"/>
      <c r="J3" s="321"/>
      <c r="K3" s="321"/>
    </row>
    <row r="4" spans="1:11">
      <c r="B4" s="321"/>
      <c r="C4" s="321" t="s">
        <v>1995</v>
      </c>
      <c r="D4" s="321" t="s">
        <v>1996</v>
      </c>
      <c r="E4" s="321"/>
      <c r="F4" s="321"/>
      <c r="G4" s="318"/>
      <c r="H4" s="324"/>
      <c r="I4" s="321"/>
      <c r="J4" s="321"/>
      <c r="K4" s="321"/>
    </row>
    <row r="5" spans="1:11" ht="15" customHeight="1">
      <c r="B5" s="321"/>
      <c r="C5" s="982" t="s">
        <v>1997</v>
      </c>
      <c r="D5" s="982"/>
      <c r="E5" s="323"/>
      <c r="F5" s="323"/>
      <c r="G5" s="318"/>
      <c r="H5" s="324"/>
      <c r="I5" s="321"/>
      <c r="J5" s="321"/>
      <c r="K5" s="321"/>
    </row>
    <row r="6" spans="1:11" ht="15.75" customHeight="1">
      <c r="B6" s="321"/>
      <c r="C6" s="982" t="s">
        <v>1998</v>
      </c>
      <c r="D6" s="982"/>
      <c r="E6" s="323"/>
      <c r="F6" s="323"/>
      <c r="G6" s="318"/>
      <c r="H6" s="324"/>
      <c r="I6" s="321"/>
      <c r="J6" s="321"/>
      <c r="K6" s="321"/>
    </row>
    <row r="7" spans="1:11">
      <c r="B7" s="321"/>
      <c r="C7" s="321"/>
      <c r="D7" s="321"/>
      <c r="E7" s="321"/>
      <c r="F7" s="321"/>
      <c r="G7" s="318"/>
      <c r="H7" s="324"/>
      <c r="I7" s="321"/>
      <c r="J7" s="321"/>
      <c r="K7" s="321"/>
    </row>
    <row r="8" spans="1:11" ht="18" customHeight="1">
      <c r="A8" s="985" t="s">
        <v>1999</v>
      </c>
      <c r="B8" s="985"/>
      <c r="C8" s="325" t="s">
        <v>2000</v>
      </c>
      <c r="D8" s="325"/>
      <c r="E8" s="321"/>
      <c r="F8" s="321"/>
      <c r="G8" s="321"/>
      <c r="H8" s="324"/>
      <c r="I8" s="321"/>
      <c r="J8" s="321"/>
      <c r="K8" s="321"/>
    </row>
    <row r="9" spans="1:11" ht="13.5" customHeight="1">
      <c r="A9" s="985"/>
      <c r="B9" s="985"/>
      <c r="C9" s="986" t="s">
        <v>2001</v>
      </c>
      <c r="D9" s="986"/>
      <c r="E9" s="323"/>
      <c r="F9" s="323"/>
      <c r="G9" s="321"/>
      <c r="H9" s="324"/>
      <c r="I9" s="321"/>
      <c r="J9" s="321"/>
      <c r="K9" s="321"/>
    </row>
    <row r="10" spans="1:11" ht="12.75" customHeight="1">
      <c r="A10" s="985"/>
      <c r="B10" s="985"/>
      <c r="C10" s="986" t="s">
        <v>2002</v>
      </c>
      <c r="D10" s="986"/>
      <c r="E10" s="323"/>
      <c r="F10" s="323"/>
      <c r="G10" s="321"/>
      <c r="H10" s="324"/>
      <c r="I10" s="321"/>
      <c r="J10" s="321"/>
      <c r="K10" s="321"/>
    </row>
    <row r="11" spans="1:11">
      <c r="A11" s="326"/>
      <c r="B11" s="327"/>
      <c r="C11" s="328" t="s">
        <v>2003</v>
      </c>
      <c r="D11" s="328"/>
      <c r="E11" s="320"/>
      <c r="F11" s="320"/>
      <c r="G11" s="320"/>
      <c r="H11" s="319"/>
      <c r="I11" s="320"/>
      <c r="J11" s="320"/>
      <c r="K11" s="320"/>
    </row>
    <row r="12" spans="1:11" ht="14.25" customHeight="1">
      <c r="A12" s="329" t="s">
        <v>2004</v>
      </c>
      <c r="B12" s="321"/>
      <c r="C12" s="321"/>
      <c r="D12" s="321" t="s">
        <v>2005</v>
      </c>
      <c r="E12" s="321"/>
      <c r="F12" s="321"/>
      <c r="G12" s="321"/>
      <c r="H12" s="321"/>
      <c r="I12" s="321"/>
      <c r="J12" s="321"/>
      <c r="K12" s="321"/>
    </row>
    <row r="13" spans="1:11" ht="12" customHeight="1">
      <c r="A13" s="329" t="s">
        <v>2006</v>
      </c>
      <c r="B13" s="321"/>
      <c r="C13" s="321"/>
      <c r="D13" s="321"/>
      <c r="E13" s="321"/>
      <c r="F13" s="321"/>
      <c r="G13" s="321"/>
      <c r="H13" s="321"/>
      <c r="I13" s="321"/>
      <c r="J13" s="321"/>
      <c r="K13" s="321"/>
    </row>
    <row r="14" spans="1:11">
      <c r="B14" s="321"/>
      <c r="C14" s="321"/>
      <c r="D14" s="321"/>
      <c r="E14" s="321"/>
      <c r="F14" s="321"/>
      <c r="G14" s="321"/>
      <c r="H14" s="321"/>
      <c r="I14" s="321"/>
      <c r="J14" s="321"/>
      <c r="K14" s="321"/>
    </row>
    <row r="15" spans="1:11" ht="22.5" customHeight="1">
      <c r="B15" s="321"/>
      <c r="C15" s="982" t="s">
        <v>2007</v>
      </c>
      <c r="D15" s="982"/>
      <c r="E15" s="323"/>
      <c r="F15" s="323"/>
      <c r="G15" s="321"/>
      <c r="H15" s="321"/>
      <c r="I15" s="321"/>
      <c r="J15" s="321"/>
      <c r="K15" s="321"/>
    </row>
    <row r="16" spans="1:11">
      <c r="B16" s="321"/>
      <c r="C16" s="321"/>
      <c r="D16" s="321"/>
      <c r="E16" s="321"/>
      <c r="F16" s="321"/>
      <c r="G16" s="321"/>
      <c r="H16" s="321"/>
      <c r="I16" s="321"/>
      <c r="J16" s="321"/>
      <c r="K16" s="321"/>
    </row>
    <row r="17" spans="1:11">
      <c r="A17" s="322" t="s">
        <v>2008</v>
      </c>
      <c r="B17" s="321"/>
      <c r="C17" s="321"/>
      <c r="D17" s="321"/>
      <c r="E17" s="321"/>
      <c r="F17" s="321"/>
      <c r="G17" s="321"/>
      <c r="H17" s="321"/>
      <c r="I17" s="321"/>
      <c r="J17" s="321"/>
      <c r="K17" s="321"/>
    </row>
    <row r="18" spans="1:11" ht="27" customHeight="1">
      <c r="B18" s="321"/>
      <c r="C18" s="321"/>
      <c r="E18" s="982" t="s">
        <v>2009</v>
      </c>
      <c r="F18" s="982"/>
      <c r="G18" s="982"/>
      <c r="H18" s="982"/>
      <c r="I18" s="982"/>
      <c r="J18" s="982"/>
      <c r="K18" s="321"/>
    </row>
    <row r="19" spans="1:11" ht="12" customHeight="1">
      <c r="B19" s="321"/>
      <c r="C19" s="321"/>
      <c r="D19" s="321"/>
      <c r="E19" s="982" t="s">
        <v>2010</v>
      </c>
      <c r="F19" s="982"/>
      <c r="G19" s="982"/>
      <c r="H19" s="982"/>
      <c r="I19" s="982"/>
      <c r="J19" s="982"/>
      <c r="K19" s="982"/>
    </row>
    <row r="20" spans="1:11" ht="6.75" customHeight="1">
      <c r="B20" s="321"/>
      <c r="C20" s="321"/>
      <c r="E20" s="330"/>
      <c r="F20" s="330"/>
      <c r="G20" s="330"/>
      <c r="H20" s="330"/>
      <c r="I20" s="330"/>
      <c r="J20" s="330"/>
      <c r="K20" s="323"/>
    </row>
    <row r="21" spans="1:11" ht="16.5" customHeight="1">
      <c r="B21" s="321"/>
      <c r="C21" s="321"/>
      <c r="D21" s="323"/>
      <c r="E21" s="982" t="s">
        <v>2010</v>
      </c>
      <c r="F21" s="982"/>
      <c r="G21" s="982"/>
      <c r="H21" s="982"/>
      <c r="I21" s="982"/>
      <c r="J21" s="982"/>
      <c r="K21" s="982"/>
    </row>
    <row r="22" spans="1:11">
      <c r="A22" s="987"/>
      <c r="B22" s="987"/>
      <c r="C22" s="321"/>
      <c r="D22" s="321"/>
      <c r="E22" s="321"/>
      <c r="F22" s="321"/>
      <c r="G22" s="321"/>
      <c r="H22" s="321"/>
      <c r="I22" s="321"/>
      <c r="J22" s="321"/>
      <c r="K22" s="321"/>
    </row>
    <row r="23" spans="1:11" ht="15" customHeight="1">
      <c r="A23" s="331"/>
      <c r="B23" s="331"/>
      <c r="C23" s="321"/>
      <c r="D23" s="321"/>
      <c r="E23" s="982" t="s">
        <v>2011</v>
      </c>
      <c r="F23" s="982"/>
      <c r="G23" s="321"/>
      <c r="H23" s="321"/>
      <c r="I23" s="321"/>
      <c r="J23" s="321"/>
      <c r="K23" s="321"/>
    </row>
    <row r="24" spans="1:11">
      <c r="A24" s="331"/>
      <c r="B24" s="331"/>
      <c r="C24" s="321"/>
      <c r="D24" s="321"/>
      <c r="E24" s="321"/>
      <c r="F24" s="321"/>
      <c r="G24" s="321"/>
      <c r="H24" s="321"/>
      <c r="I24" s="321"/>
      <c r="J24" s="321"/>
      <c r="K24" s="321"/>
    </row>
    <row r="25" spans="1:11">
      <c r="A25" s="988" t="s">
        <v>2012</v>
      </c>
      <c r="B25" s="988"/>
      <c r="C25" s="321"/>
      <c r="D25" s="323" t="s">
        <v>2013</v>
      </c>
      <c r="E25" s="982" t="s">
        <v>2010</v>
      </c>
      <c r="F25" s="982"/>
      <c r="G25" s="982"/>
      <c r="H25" s="982"/>
      <c r="I25" s="982"/>
      <c r="J25" s="982"/>
      <c r="K25" s="982"/>
    </row>
    <row r="26" spans="1:11" ht="8.25" customHeight="1">
      <c r="A26" s="331"/>
      <c r="B26" s="331"/>
      <c r="C26" s="321"/>
      <c r="D26" s="321"/>
      <c r="E26" s="321"/>
      <c r="F26" s="321"/>
      <c r="G26" s="321"/>
      <c r="H26" s="321"/>
      <c r="I26" s="321"/>
      <c r="J26" s="321"/>
      <c r="K26" s="321"/>
    </row>
    <row r="27" spans="1:11">
      <c r="A27" s="331"/>
      <c r="B27" s="331"/>
      <c r="C27" s="321"/>
      <c r="D27" s="321"/>
      <c r="E27" s="982" t="s">
        <v>2010</v>
      </c>
      <c r="F27" s="982"/>
      <c r="G27" s="982"/>
      <c r="H27" s="982"/>
      <c r="I27" s="982"/>
      <c r="J27" s="982"/>
      <c r="K27" s="982"/>
    </row>
    <row r="28" spans="1:11">
      <c r="A28" s="331"/>
      <c r="B28" s="331"/>
      <c r="C28" s="321"/>
      <c r="D28" s="321"/>
      <c r="E28" s="321"/>
      <c r="F28" s="321"/>
      <c r="G28" s="321"/>
      <c r="H28" s="321"/>
      <c r="I28" s="321"/>
      <c r="J28" s="321"/>
      <c r="K28" s="321"/>
    </row>
    <row r="29" spans="1:11">
      <c r="A29" s="988" t="s">
        <v>2014</v>
      </c>
      <c r="B29" s="988"/>
      <c r="C29" s="321"/>
      <c r="D29" s="323" t="s">
        <v>2015</v>
      </c>
      <c r="E29" s="982" t="s">
        <v>2010</v>
      </c>
      <c r="F29" s="982"/>
      <c r="G29" s="982"/>
      <c r="H29" s="982"/>
      <c r="I29" s="982"/>
      <c r="J29" s="982"/>
      <c r="K29" s="982"/>
    </row>
    <row r="30" spans="1:11" ht="6.75" customHeight="1">
      <c r="B30" s="321"/>
      <c r="C30" s="321"/>
      <c r="D30" s="321"/>
      <c r="E30" s="321"/>
      <c r="F30" s="321"/>
      <c r="G30" s="321"/>
      <c r="H30" s="321"/>
      <c r="I30" s="321"/>
      <c r="J30" s="321"/>
      <c r="K30" s="321"/>
    </row>
    <row r="31" spans="1:11">
      <c r="B31" s="321"/>
      <c r="C31" s="321"/>
      <c r="D31" s="323"/>
      <c r="E31" s="982" t="s">
        <v>2010</v>
      </c>
      <c r="F31" s="982"/>
      <c r="G31" s="982"/>
      <c r="H31" s="982"/>
      <c r="I31" s="982"/>
      <c r="J31" s="982"/>
      <c r="K31" s="982"/>
    </row>
    <row r="32" spans="1:11" ht="23.25" customHeight="1">
      <c r="B32" s="321"/>
      <c r="C32" s="321"/>
      <c r="D32" s="321"/>
      <c r="E32" s="323"/>
      <c r="F32" s="323"/>
      <c r="G32" s="982" t="s">
        <v>2016</v>
      </c>
      <c r="H32" s="982"/>
      <c r="I32" s="982"/>
      <c r="J32" s="982" t="s">
        <v>2017</v>
      </c>
      <c r="K32" s="982"/>
    </row>
    <row r="33" spans="1:11" ht="11.25" customHeight="1">
      <c r="A33" s="326"/>
      <c r="B33" s="989"/>
      <c r="C33" s="990"/>
      <c r="D33" s="990"/>
      <c r="E33" s="990"/>
      <c r="F33" s="990"/>
      <c r="G33" s="990"/>
      <c r="H33" s="990"/>
      <c r="I33" s="990"/>
      <c r="J33" s="990"/>
      <c r="K33" s="320"/>
    </row>
    <row r="34" spans="1:11" ht="17.25" customHeight="1">
      <c r="B34" s="321"/>
      <c r="C34" s="321"/>
      <c r="D34" s="321"/>
      <c r="E34" s="321"/>
      <c r="F34" s="321"/>
      <c r="G34" s="321"/>
      <c r="H34" s="321"/>
      <c r="I34" s="982" t="s">
        <v>2018</v>
      </c>
      <c r="J34" s="982"/>
      <c r="K34" s="323"/>
    </row>
    <row r="35" spans="1:11">
      <c r="B35" s="321"/>
      <c r="C35" s="321"/>
      <c r="D35" s="321"/>
      <c r="E35" s="321"/>
      <c r="F35" s="321"/>
      <c r="G35" s="321"/>
      <c r="H35" s="321"/>
      <c r="I35" s="982" t="s">
        <v>2019</v>
      </c>
      <c r="J35" s="982"/>
      <c r="K35" s="982"/>
    </row>
    <row r="36" spans="1:11">
      <c r="B36" s="321"/>
      <c r="C36" s="321"/>
      <c r="D36" s="321"/>
      <c r="E36" s="321"/>
      <c r="F36" s="321"/>
      <c r="G36" s="321"/>
      <c r="H36" s="321"/>
      <c r="I36" s="982" t="s">
        <v>2020</v>
      </c>
      <c r="J36" s="982"/>
      <c r="K36" s="982"/>
    </row>
    <row r="37" spans="1:11">
      <c r="B37" s="321"/>
      <c r="C37" s="321"/>
      <c r="D37" s="321"/>
      <c r="E37" s="321"/>
      <c r="F37" s="321"/>
      <c r="G37" s="321"/>
      <c r="H37" s="321"/>
      <c r="I37" s="982" t="s">
        <v>2021</v>
      </c>
      <c r="J37" s="982"/>
      <c r="K37" s="982"/>
    </row>
    <row r="38" spans="1:11" ht="23.25" customHeight="1">
      <c r="B38" s="321"/>
      <c r="C38" s="321"/>
      <c r="D38" s="982" t="s">
        <v>2022</v>
      </c>
      <c r="E38" s="982"/>
      <c r="F38" s="325"/>
      <c r="G38" s="323" t="s">
        <v>2023</v>
      </c>
      <c r="H38" s="321"/>
      <c r="I38" s="321"/>
      <c r="J38" s="991" t="s">
        <v>2024</v>
      </c>
      <c r="K38" s="991"/>
    </row>
    <row r="39" spans="1:11" ht="13.5" customHeight="1">
      <c r="A39" s="326"/>
      <c r="B39" s="320"/>
      <c r="C39" s="320"/>
      <c r="D39" s="992" t="s">
        <v>2025</v>
      </c>
      <c r="E39" s="992"/>
      <c r="F39" s="992"/>
      <c r="G39" s="992"/>
      <c r="H39" s="992"/>
      <c r="I39" s="992"/>
      <c r="J39" s="320"/>
      <c r="K39" s="320"/>
    </row>
    <row r="40" spans="1:11" ht="22.5" customHeight="1">
      <c r="A40" s="332"/>
      <c r="B40" s="993" t="s">
        <v>2026</v>
      </c>
      <c r="C40" s="993"/>
      <c r="D40" s="993"/>
      <c r="E40" s="993"/>
      <c r="F40" s="993"/>
      <c r="G40" s="993"/>
      <c r="H40" s="993"/>
      <c r="I40" s="993"/>
      <c r="J40" s="993"/>
      <c r="K40" s="333"/>
    </row>
    <row r="41" spans="1:11" ht="18" customHeight="1">
      <c r="B41" s="321"/>
      <c r="C41" s="994" t="s">
        <v>2027</v>
      </c>
      <c r="D41" s="994"/>
      <c r="E41" s="994"/>
      <c r="F41" s="994"/>
      <c r="G41" s="994"/>
      <c r="H41" s="321"/>
      <c r="I41" s="321"/>
      <c r="J41" s="321"/>
      <c r="K41" s="321"/>
    </row>
    <row r="42" spans="1:11" ht="14.25" customHeight="1">
      <c r="B42" s="323"/>
      <c r="C42" s="982" t="s">
        <v>2028</v>
      </c>
      <c r="D42" s="982"/>
      <c r="E42" s="982"/>
      <c r="F42" s="982"/>
      <c r="G42" s="982"/>
      <c r="H42" s="982"/>
      <c r="I42" s="982"/>
      <c r="J42" s="982"/>
      <c r="K42" s="321"/>
    </row>
    <row r="43" spans="1:11" ht="12.75" customHeight="1">
      <c r="B43" s="982" t="s">
        <v>2029</v>
      </c>
      <c r="C43" s="982"/>
      <c r="D43" s="982"/>
      <c r="E43" s="982"/>
      <c r="F43" s="982"/>
      <c r="G43" s="982"/>
      <c r="H43" s="982"/>
      <c r="I43" s="982"/>
      <c r="J43" s="982"/>
      <c r="K43" s="321"/>
    </row>
    <row r="44" spans="1:11" ht="20.25" customHeight="1">
      <c r="B44" s="323"/>
      <c r="C44" s="982" t="s">
        <v>2030</v>
      </c>
      <c r="D44" s="982"/>
      <c r="E44" s="982"/>
      <c r="F44" s="982"/>
      <c r="G44" s="982"/>
      <c r="H44" s="982"/>
      <c r="I44" s="982"/>
      <c r="J44" s="982"/>
      <c r="K44" s="321"/>
    </row>
    <row r="45" spans="1:11" ht="23.25" customHeight="1">
      <c r="B45" s="995" t="s">
        <v>2031</v>
      </c>
      <c r="C45" s="995"/>
      <c r="D45" s="995"/>
      <c r="E45" s="995"/>
      <c r="F45" s="995"/>
      <c r="G45" s="995"/>
      <c r="H45" s="995"/>
      <c r="I45" s="995"/>
      <c r="J45" s="995"/>
      <c r="K45" s="321"/>
    </row>
    <row r="46" spans="1:11" ht="12.75" customHeight="1">
      <c r="B46" s="982" t="s">
        <v>2032</v>
      </c>
      <c r="C46" s="982"/>
      <c r="D46" s="982"/>
      <c r="E46" s="982"/>
      <c r="F46" s="982"/>
      <c r="G46" s="982"/>
      <c r="H46" s="982"/>
      <c r="I46" s="982"/>
      <c r="J46" s="982"/>
      <c r="K46" s="321"/>
    </row>
    <row r="47" spans="1:11" ht="18" customHeight="1">
      <c r="B47" s="323"/>
      <c r="C47" s="982" t="s">
        <v>2033</v>
      </c>
      <c r="D47" s="982"/>
      <c r="E47" s="982"/>
      <c r="F47" s="982"/>
      <c r="G47" s="982"/>
      <c r="H47" s="982"/>
      <c r="I47" s="982"/>
      <c r="J47" s="982"/>
      <c r="K47" s="321"/>
    </row>
    <row r="48" spans="1:11">
      <c r="B48" s="982" t="s">
        <v>2034</v>
      </c>
      <c r="C48" s="982"/>
      <c r="D48" s="982"/>
      <c r="E48" s="982"/>
      <c r="F48" s="982"/>
      <c r="G48" s="982"/>
      <c r="H48" s="982"/>
      <c r="I48" s="982"/>
      <c r="J48" s="982"/>
      <c r="K48" s="321"/>
    </row>
    <row r="49" spans="2:11" ht="18.75" customHeight="1">
      <c r="B49" s="323"/>
      <c r="C49" s="982" t="s">
        <v>2035</v>
      </c>
      <c r="D49" s="982"/>
      <c r="E49" s="982"/>
      <c r="F49" s="982"/>
      <c r="G49" s="982"/>
      <c r="H49" s="982"/>
      <c r="I49" s="982"/>
      <c r="J49" s="982"/>
      <c r="K49" s="321"/>
    </row>
    <row r="50" spans="2:11">
      <c r="B50" s="982" t="s">
        <v>2036</v>
      </c>
      <c r="C50" s="982"/>
      <c r="D50" s="982"/>
      <c r="E50" s="982"/>
      <c r="F50" s="982"/>
      <c r="G50" s="982"/>
      <c r="H50" s="982"/>
      <c r="I50" s="982"/>
      <c r="J50" s="982"/>
      <c r="K50" s="321"/>
    </row>
    <row r="51" spans="2:11" ht="19.5" customHeight="1">
      <c r="B51" s="323"/>
      <c r="C51" s="982" t="s">
        <v>2037</v>
      </c>
      <c r="D51" s="982"/>
      <c r="E51" s="982"/>
      <c r="F51" s="982"/>
      <c r="G51" s="982"/>
      <c r="H51" s="982"/>
      <c r="I51" s="982"/>
      <c r="J51" s="982"/>
      <c r="K51" s="321"/>
    </row>
    <row r="52" spans="2:11">
      <c r="B52" s="982" t="s">
        <v>2038</v>
      </c>
      <c r="C52" s="982"/>
      <c r="D52" s="982"/>
      <c r="E52" s="982"/>
      <c r="F52" s="982"/>
      <c r="G52" s="982"/>
      <c r="H52" s="982"/>
      <c r="I52" s="982"/>
      <c r="J52" s="982"/>
      <c r="K52" s="321"/>
    </row>
    <row r="53" spans="2:11" ht="19.5" customHeight="1">
      <c r="B53" s="323"/>
      <c r="C53" s="982" t="s">
        <v>2039</v>
      </c>
      <c r="D53" s="982"/>
      <c r="E53" s="982"/>
      <c r="F53" s="982"/>
      <c r="G53" s="982"/>
      <c r="H53" s="982"/>
      <c r="I53" s="982"/>
      <c r="J53" s="982"/>
      <c r="K53" s="321"/>
    </row>
    <row r="54" spans="2:11" ht="19.5" customHeight="1">
      <c r="B54" s="982" t="s">
        <v>2040</v>
      </c>
      <c r="C54" s="982"/>
      <c r="D54" s="982"/>
      <c r="E54" s="982"/>
      <c r="F54" s="982"/>
      <c r="G54" s="982"/>
      <c r="H54" s="982"/>
      <c r="I54" s="982"/>
      <c r="J54" s="982"/>
      <c r="K54" s="321"/>
    </row>
    <row r="55" spans="2:11" ht="14.25" customHeight="1">
      <c r="B55" s="323"/>
      <c r="C55" s="982" t="s">
        <v>2041</v>
      </c>
      <c r="D55" s="982"/>
      <c r="E55" s="982"/>
      <c r="F55" s="982"/>
      <c r="G55" s="982"/>
      <c r="H55" s="982"/>
      <c r="I55" s="982"/>
      <c r="J55" s="982"/>
      <c r="K55" s="321"/>
    </row>
    <row r="56" spans="2:11" ht="21" customHeight="1">
      <c r="B56" s="986" t="s">
        <v>2042</v>
      </c>
      <c r="C56" s="986"/>
      <c r="D56" s="986"/>
      <c r="E56" s="986"/>
      <c r="F56" s="986"/>
      <c r="G56" s="986"/>
      <c r="H56" s="986"/>
      <c r="I56" s="986"/>
      <c r="J56" s="986"/>
      <c r="K56" s="321"/>
    </row>
    <row r="57" spans="2:11" ht="21.75" customHeight="1">
      <c r="B57" s="982" t="s">
        <v>2043</v>
      </c>
      <c r="C57" s="982"/>
      <c r="D57" s="982"/>
      <c r="E57" s="982"/>
      <c r="F57" s="982"/>
      <c r="G57" s="982"/>
      <c r="H57" s="982"/>
      <c r="I57" s="982"/>
      <c r="J57" s="982"/>
      <c r="K57" s="321"/>
    </row>
    <row r="58" spans="2:11">
      <c r="B58" s="323"/>
      <c r="C58" s="982" t="s">
        <v>2044</v>
      </c>
      <c r="D58" s="982"/>
      <c r="E58" s="982"/>
      <c r="F58" s="982"/>
      <c r="G58" s="982"/>
      <c r="H58" s="982"/>
      <c r="I58" s="982"/>
      <c r="J58" s="982"/>
      <c r="K58" s="321"/>
    </row>
    <row r="59" spans="2:11" ht="21.75" customHeight="1">
      <c r="B59" s="986" t="s">
        <v>2045</v>
      </c>
      <c r="C59" s="986"/>
      <c r="D59" s="986"/>
      <c r="E59" s="986"/>
      <c r="F59" s="986"/>
      <c r="G59" s="986"/>
      <c r="H59" s="986"/>
      <c r="I59" s="986"/>
      <c r="J59" s="986"/>
      <c r="K59" s="321"/>
    </row>
    <row r="60" spans="2:11">
      <c r="B60" s="321"/>
      <c r="C60" s="321"/>
      <c r="D60" s="321"/>
      <c r="E60" s="321"/>
      <c r="F60" s="321"/>
      <c r="G60" s="321"/>
      <c r="H60" s="321"/>
      <c r="I60" s="321"/>
      <c r="J60" s="321"/>
      <c r="K60" s="321"/>
    </row>
    <row r="61" spans="2:11">
      <c r="B61" s="321"/>
      <c r="C61" s="321"/>
      <c r="D61" s="321"/>
      <c r="E61" s="321"/>
      <c r="F61" s="321"/>
      <c r="G61" s="321"/>
      <c r="H61" s="321"/>
      <c r="I61" s="321"/>
      <c r="J61" s="321"/>
      <c r="K61" s="321"/>
    </row>
    <row r="62" spans="2:11">
      <c r="B62" s="321"/>
      <c r="C62" s="321"/>
      <c r="D62" s="321"/>
      <c r="E62" s="321"/>
      <c r="F62" s="321"/>
      <c r="G62" s="321"/>
      <c r="H62" s="321"/>
      <c r="I62" s="321"/>
      <c r="J62" s="321"/>
      <c r="K62" s="321"/>
    </row>
    <row r="63" spans="2:11">
      <c r="B63" s="321"/>
      <c r="C63" s="321"/>
      <c r="D63" s="321"/>
      <c r="E63" s="321"/>
      <c r="F63" s="321"/>
      <c r="G63" s="321"/>
      <c r="H63" s="321"/>
      <c r="I63" s="321"/>
      <c r="J63" s="321"/>
      <c r="K63" s="321"/>
    </row>
    <row r="64" spans="2:11">
      <c r="B64" s="321"/>
      <c r="C64" s="321"/>
      <c r="D64" s="321"/>
      <c r="E64" s="321"/>
      <c r="F64" s="321"/>
      <c r="G64" s="321"/>
      <c r="H64" s="321"/>
      <c r="I64" s="321"/>
      <c r="J64" s="321"/>
      <c r="K64" s="321"/>
    </row>
    <row r="65" spans="2:11">
      <c r="B65" s="321"/>
      <c r="C65" s="321"/>
      <c r="D65" s="321"/>
      <c r="E65" s="321"/>
      <c r="F65" s="321"/>
      <c r="G65" s="321"/>
      <c r="H65" s="321"/>
      <c r="I65" s="321"/>
      <c r="J65" s="321"/>
      <c r="K65" s="321"/>
    </row>
    <row r="66" spans="2:11">
      <c r="B66" s="321"/>
      <c r="C66" s="321"/>
      <c r="D66" s="321"/>
      <c r="E66" s="321"/>
      <c r="F66" s="321"/>
      <c r="G66" s="321"/>
      <c r="H66" s="321"/>
      <c r="I66" s="321"/>
      <c r="J66" s="321"/>
      <c r="K66" s="321"/>
    </row>
    <row r="67" spans="2:11">
      <c r="B67" s="321"/>
      <c r="C67" s="321"/>
      <c r="D67" s="321"/>
      <c r="E67" s="321"/>
      <c r="F67" s="321"/>
      <c r="G67" s="321"/>
      <c r="H67" s="321"/>
      <c r="I67" s="321"/>
      <c r="J67" s="321"/>
      <c r="K67" s="321"/>
    </row>
    <row r="68" spans="2:11">
      <c r="B68" s="321"/>
      <c r="C68" s="321"/>
      <c r="D68" s="321"/>
      <c r="E68" s="321"/>
      <c r="F68" s="321"/>
      <c r="G68" s="321"/>
      <c r="H68" s="321"/>
      <c r="I68" s="321"/>
      <c r="J68" s="321"/>
      <c r="K68" s="321"/>
    </row>
    <row r="69" spans="2:11">
      <c r="B69" s="321"/>
      <c r="C69" s="321"/>
      <c r="D69" s="321"/>
      <c r="E69" s="321"/>
      <c r="F69" s="321"/>
      <c r="G69" s="321"/>
      <c r="H69" s="321"/>
      <c r="I69" s="321"/>
      <c r="J69" s="321"/>
      <c r="K69" s="321"/>
    </row>
    <row r="70" spans="2:11">
      <c r="B70" s="321"/>
      <c r="C70" s="321"/>
      <c r="D70" s="321"/>
      <c r="E70" s="321"/>
      <c r="F70" s="321"/>
      <c r="G70" s="321"/>
      <c r="H70" s="321"/>
      <c r="I70" s="321"/>
      <c r="J70" s="321"/>
      <c r="K70" s="321"/>
    </row>
    <row r="71" spans="2:11">
      <c r="B71" s="321"/>
      <c r="C71" s="321"/>
      <c r="D71" s="321"/>
      <c r="E71" s="321"/>
      <c r="F71" s="321"/>
      <c r="G71" s="321"/>
      <c r="H71" s="321"/>
      <c r="I71" s="321"/>
      <c r="J71" s="321"/>
      <c r="K71" s="321"/>
    </row>
    <row r="72" spans="2:11">
      <c r="B72" s="321"/>
      <c r="C72" s="321"/>
      <c r="D72" s="321"/>
      <c r="E72" s="321"/>
      <c r="F72" s="321"/>
      <c r="G72" s="321"/>
      <c r="H72" s="321"/>
      <c r="I72" s="321"/>
      <c r="J72" s="321"/>
      <c r="K72" s="321"/>
    </row>
    <row r="73" spans="2:11">
      <c r="B73" s="321"/>
      <c r="C73" s="321"/>
      <c r="D73" s="321"/>
      <c r="E73" s="321"/>
      <c r="F73" s="321"/>
      <c r="G73" s="321"/>
      <c r="H73" s="321"/>
      <c r="I73" s="321"/>
      <c r="J73" s="321"/>
      <c r="K73" s="321"/>
    </row>
    <row r="74" spans="2:11">
      <c r="B74" s="321"/>
      <c r="C74" s="321"/>
      <c r="D74" s="321"/>
      <c r="E74" s="321"/>
      <c r="F74" s="321"/>
      <c r="G74" s="321"/>
      <c r="H74" s="321"/>
      <c r="I74" s="321"/>
      <c r="J74" s="321"/>
      <c r="K74" s="321"/>
    </row>
    <row r="75" spans="2:11">
      <c r="B75" s="321"/>
      <c r="C75" s="321"/>
      <c r="D75" s="321"/>
      <c r="E75" s="321"/>
      <c r="F75" s="321"/>
      <c r="G75" s="321"/>
      <c r="H75" s="321"/>
      <c r="I75" s="321"/>
      <c r="J75" s="321"/>
      <c r="K75" s="321"/>
    </row>
    <row r="76" spans="2:11">
      <c r="B76" s="321"/>
      <c r="C76" s="321"/>
      <c r="D76" s="321"/>
      <c r="E76" s="321"/>
      <c r="F76" s="321"/>
      <c r="G76" s="321"/>
      <c r="H76" s="321"/>
      <c r="I76" s="321"/>
      <c r="J76" s="321"/>
      <c r="K76" s="321"/>
    </row>
    <row r="77" spans="2:11">
      <c r="B77" s="321"/>
      <c r="C77" s="321"/>
      <c r="D77" s="321"/>
      <c r="E77" s="321"/>
      <c r="F77" s="321"/>
      <c r="G77" s="321"/>
      <c r="H77" s="321"/>
      <c r="I77" s="321"/>
      <c r="J77" s="321"/>
      <c r="K77" s="321"/>
    </row>
    <row r="78" spans="2:11">
      <c r="B78" s="321"/>
      <c r="C78" s="321"/>
      <c r="D78" s="321"/>
      <c r="E78" s="321"/>
      <c r="F78" s="321"/>
      <c r="G78" s="321"/>
      <c r="H78" s="321"/>
      <c r="I78" s="321"/>
      <c r="J78" s="321"/>
      <c r="K78" s="321"/>
    </row>
    <row r="79" spans="2:11">
      <c r="B79" s="321"/>
      <c r="C79" s="321"/>
      <c r="D79" s="321"/>
      <c r="E79" s="321"/>
      <c r="F79" s="321"/>
      <c r="G79" s="321"/>
      <c r="H79" s="321"/>
      <c r="I79" s="321"/>
      <c r="J79" s="321"/>
      <c r="K79" s="321"/>
    </row>
    <row r="80" spans="2:11">
      <c r="B80" s="321"/>
      <c r="C80" s="321"/>
      <c r="D80" s="321"/>
      <c r="E80" s="321"/>
      <c r="F80" s="321"/>
      <c r="G80" s="321"/>
      <c r="H80" s="321"/>
      <c r="I80" s="321"/>
      <c r="J80" s="321"/>
      <c r="K80" s="321"/>
    </row>
    <row r="81" spans="2:11">
      <c r="B81" s="321"/>
      <c r="C81" s="321"/>
      <c r="D81" s="321"/>
      <c r="E81" s="321"/>
      <c r="F81" s="321"/>
      <c r="G81" s="321"/>
      <c r="H81" s="321"/>
      <c r="I81" s="321"/>
      <c r="J81" s="321"/>
      <c r="K81" s="321"/>
    </row>
    <row r="82" spans="2:11">
      <c r="B82" s="321"/>
      <c r="C82" s="321"/>
      <c r="D82" s="321"/>
      <c r="E82" s="321"/>
      <c r="F82" s="321"/>
      <c r="G82" s="321"/>
      <c r="H82" s="321"/>
      <c r="I82" s="321"/>
      <c r="J82" s="321"/>
      <c r="K82" s="321"/>
    </row>
    <row r="83" spans="2:11">
      <c r="B83" s="321"/>
      <c r="C83" s="321"/>
      <c r="D83" s="321"/>
      <c r="E83" s="321"/>
      <c r="F83" s="321"/>
      <c r="G83" s="321"/>
      <c r="H83" s="321"/>
      <c r="I83" s="321"/>
      <c r="J83" s="321"/>
      <c r="K83" s="321"/>
    </row>
    <row r="84" spans="2:11">
      <c r="B84" s="321"/>
      <c r="C84" s="321"/>
      <c r="D84" s="321"/>
      <c r="E84" s="321"/>
      <c r="F84" s="321"/>
      <c r="G84" s="321"/>
      <c r="H84" s="321"/>
      <c r="I84" s="321"/>
      <c r="J84" s="321"/>
      <c r="K84" s="321"/>
    </row>
    <row r="85" spans="2:11">
      <c r="B85" s="321"/>
      <c r="C85" s="321"/>
      <c r="D85" s="321"/>
      <c r="E85" s="321"/>
      <c r="F85" s="321"/>
      <c r="G85" s="321"/>
      <c r="H85" s="321"/>
      <c r="I85" s="321"/>
      <c r="J85" s="321"/>
      <c r="K85" s="321"/>
    </row>
    <row r="86" spans="2:11">
      <c r="B86" s="321"/>
      <c r="C86" s="321"/>
      <c r="D86" s="321"/>
      <c r="E86" s="321"/>
      <c r="F86" s="321"/>
      <c r="G86" s="321"/>
      <c r="H86" s="321"/>
      <c r="I86" s="321"/>
      <c r="J86" s="321"/>
      <c r="K86" s="321"/>
    </row>
    <row r="87" spans="2:11">
      <c r="B87" s="321"/>
      <c r="C87" s="321"/>
      <c r="D87" s="321"/>
      <c r="E87" s="321"/>
      <c r="F87" s="321"/>
      <c r="G87" s="321"/>
      <c r="H87" s="321"/>
      <c r="I87" s="321"/>
      <c r="J87" s="321"/>
      <c r="K87" s="321"/>
    </row>
    <row r="88" spans="2:11">
      <c r="B88" s="321"/>
      <c r="C88" s="321"/>
      <c r="D88" s="321"/>
      <c r="E88" s="321"/>
      <c r="F88" s="321"/>
      <c r="G88" s="321"/>
      <c r="H88" s="321"/>
      <c r="I88" s="321"/>
      <c r="J88" s="321"/>
      <c r="K88" s="321"/>
    </row>
    <row r="89" spans="2:11">
      <c r="B89" s="321"/>
      <c r="C89" s="321"/>
      <c r="D89" s="321"/>
      <c r="E89" s="321"/>
      <c r="F89" s="321"/>
      <c r="G89" s="321"/>
      <c r="H89" s="321"/>
      <c r="I89" s="321"/>
      <c r="J89" s="321"/>
      <c r="K89" s="321"/>
    </row>
    <row r="90" spans="2:11">
      <c r="B90" s="321"/>
      <c r="C90" s="321"/>
      <c r="D90" s="321"/>
      <c r="E90" s="321"/>
      <c r="F90" s="321"/>
      <c r="G90" s="321"/>
      <c r="H90" s="321"/>
      <c r="I90" s="321"/>
      <c r="J90" s="321"/>
      <c r="K90" s="321"/>
    </row>
    <row r="91" spans="2:11">
      <c r="B91" s="321"/>
      <c r="C91" s="321"/>
      <c r="D91" s="321"/>
      <c r="E91" s="321"/>
      <c r="F91" s="321"/>
      <c r="G91" s="321"/>
      <c r="H91" s="321"/>
      <c r="I91" s="321"/>
      <c r="J91" s="321"/>
      <c r="K91" s="321"/>
    </row>
    <row r="92" spans="2:11">
      <c r="B92" s="321"/>
      <c r="C92" s="321"/>
      <c r="D92" s="321"/>
      <c r="E92" s="321"/>
      <c r="F92" s="321"/>
      <c r="G92" s="321"/>
      <c r="H92" s="321"/>
      <c r="I92" s="321"/>
      <c r="J92" s="321"/>
      <c r="K92" s="321"/>
    </row>
    <row r="93" spans="2:11">
      <c r="B93" s="321"/>
      <c r="C93" s="321"/>
      <c r="D93" s="321"/>
      <c r="E93" s="321"/>
      <c r="F93" s="321"/>
      <c r="G93" s="321"/>
      <c r="H93" s="321"/>
      <c r="I93" s="321"/>
      <c r="J93" s="321"/>
      <c r="K93" s="321"/>
    </row>
    <row r="94" spans="2:11">
      <c r="B94" s="321"/>
      <c r="C94" s="321"/>
      <c r="D94" s="321"/>
      <c r="E94" s="321"/>
      <c r="F94" s="321"/>
      <c r="G94" s="321"/>
      <c r="H94" s="321"/>
      <c r="I94" s="321"/>
      <c r="J94" s="321"/>
      <c r="K94" s="321"/>
    </row>
    <row r="95" spans="2:11">
      <c r="B95" s="321"/>
      <c r="C95" s="321"/>
      <c r="D95" s="321"/>
      <c r="E95" s="321"/>
      <c r="F95" s="321"/>
      <c r="G95" s="321"/>
      <c r="H95" s="321"/>
      <c r="I95" s="321"/>
      <c r="J95" s="321"/>
      <c r="K95" s="321"/>
    </row>
    <row r="96" spans="2:11">
      <c r="B96" s="321"/>
      <c r="C96" s="321"/>
      <c r="D96" s="321"/>
      <c r="E96" s="321"/>
      <c r="F96" s="321"/>
      <c r="G96" s="321"/>
      <c r="H96" s="321"/>
      <c r="I96" s="321"/>
      <c r="J96" s="321"/>
      <c r="K96" s="321"/>
    </row>
    <row r="97" spans="2:11">
      <c r="B97" s="321"/>
      <c r="C97" s="321"/>
      <c r="D97" s="321"/>
      <c r="E97" s="321"/>
      <c r="F97" s="321"/>
      <c r="G97" s="321"/>
      <c r="H97" s="321"/>
      <c r="I97" s="321"/>
      <c r="J97" s="321"/>
      <c r="K97" s="321"/>
    </row>
    <row r="98" spans="2:11">
      <c r="B98" s="321"/>
      <c r="C98" s="321"/>
      <c r="D98" s="321"/>
      <c r="E98" s="321"/>
      <c r="F98" s="321"/>
      <c r="G98" s="321"/>
      <c r="H98" s="321"/>
      <c r="I98" s="321"/>
      <c r="J98" s="321"/>
      <c r="K98" s="321"/>
    </row>
    <row r="99" spans="2:11">
      <c r="B99" s="321"/>
      <c r="C99" s="321"/>
      <c r="D99" s="321"/>
      <c r="E99" s="321"/>
      <c r="F99" s="321"/>
      <c r="G99" s="321"/>
      <c r="H99" s="321"/>
      <c r="I99" s="321"/>
      <c r="J99" s="321"/>
      <c r="K99" s="321"/>
    </row>
    <row r="100" spans="2:11">
      <c r="B100" s="321"/>
      <c r="C100" s="321"/>
      <c r="D100" s="321"/>
      <c r="E100" s="321"/>
      <c r="F100" s="321"/>
      <c r="G100" s="321"/>
      <c r="H100" s="321"/>
      <c r="I100" s="321"/>
      <c r="J100" s="321"/>
      <c r="K100" s="321"/>
    </row>
    <row r="101" spans="2:11">
      <c r="B101" s="321"/>
      <c r="C101" s="321"/>
      <c r="D101" s="321"/>
      <c r="E101" s="321"/>
      <c r="F101" s="321"/>
      <c r="G101" s="321"/>
      <c r="H101" s="321"/>
      <c r="I101" s="321"/>
      <c r="J101" s="321"/>
      <c r="K101" s="321"/>
    </row>
    <row r="102" spans="2:11">
      <c r="B102" s="321"/>
      <c r="C102" s="321"/>
      <c r="D102" s="321"/>
      <c r="E102" s="321"/>
      <c r="F102" s="321"/>
      <c r="G102" s="321"/>
      <c r="H102" s="321"/>
      <c r="I102" s="321"/>
      <c r="J102" s="321"/>
      <c r="K102" s="321"/>
    </row>
    <row r="103" spans="2:11">
      <c r="B103" s="321"/>
      <c r="C103" s="321"/>
      <c r="D103" s="321"/>
      <c r="E103" s="321"/>
      <c r="F103" s="321"/>
      <c r="G103" s="321"/>
      <c r="H103" s="321"/>
      <c r="I103" s="321"/>
      <c r="J103" s="321"/>
      <c r="K103" s="321"/>
    </row>
    <row r="104" spans="2:11">
      <c r="B104" s="321"/>
      <c r="C104" s="321"/>
      <c r="D104" s="321"/>
      <c r="E104" s="321"/>
      <c r="F104" s="321"/>
      <c r="G104" s="321"/>
      <c r="H104" s="321"/>
      <c r="I104" s="321"/>
      <c r="J104" s="321"/>
      <c r="K104" s="321"/>
    </row>
    <row r="105" spans="2:11">
      <c r="B105" s="321"/>
      <c r="C105" s="321"/>
      <c r="D105" s="321"/>
      <c r="E105" s="321"/>
      <c r="F105" s="321"/>
      <c r="G105" s="321"/>
      <c r="H105" s="321"/>
      <c r="I105" s="321"/>
      <c r="J105" s="321"/>
      <c r="K105" s="321"/>
    </row>
    <row r="106" spans="2:11">
      <c r="B106" s="321"/>
      <c r="C106" s="321"/>
      <c r="D106" s="321"/>
      <c r="E106" s="321"/>
      <c r="F106" s="321"/>
      <c r="G106" s="321"/>
      <c r="H106" s="321"/>
      <c r="I106" s="321"/>
      <c r="J106" s="321"/>
      <c r="K106" s="321"/>
    </row>
    <row r="107" spans="2:11">
      <c r="B107" s="321"/>
      <c r="C107" s="321"/>
      <c r="D107" s="321"/>
      <c r="E107" s="321"/>
      <c r="F107" s="321"/>
      <c r="G107" s="321"/>
      <c r="H107" s="321"/>
      <c r="I107" s="321"/>
      <c r="J107" s="321"/>
      <c r="K107" s="321"/>
    </row>
    <row r="108" spans="2:11">
      <c r="B108" s="321"/>
      <c r="C108" s="321"/>
      <c r="D108" s="321"/>
      <c r="E108" s="321"/>
      <c r="F108" s="321"/>
      <c r="G108" s="321"/>
      <c r="H108" s="321"/>
      <c r="I108" s="321"/>
      <c r="J108" s="321"/>
      <c r="K108" s="321"/>
    </row>
    <row r="109" spans="2:11">
      <c r="B109" s="321"/>
      <c r="C109" s="321"/>
      <c r="D109" s="321"/>
      <c r="E109" s="321"/>
      <c r="F109" s="321"/>
      <c r="G109" s="321"/>
      <c r="H109" s="321"/>
      <c r="I109" s="321"/>
      <c r="J109" s="321"/>
      <c r="K109" s="321"/>
    </row>
    <row r="110" spans="2:11">
      <c r="B110" s="321"/>
      <c r="C110" s="321"/>
      <c r="D110" s="321"/>
      <c r="E110" s="321"/>
      <c r="F110" s="321"/>
      <c r="G110" s="321"/>
      <c r="H110" s="321"/>
      <c r="I110" s="321"/>
      <c r="J110" s="321"/>
      <c r="K110" s="321"/>
    </row>
    <row r="111" spans="2:11">
      <c r="B111" s="321"/>
      <c r="C111" s="321"/>
      <c r="D111" s="321"/>
      <c r="E111" s="321"/>
      <c r="F111" s="321"/>
      <c r="G111" s="321"/>
      <c r="H111" s="321"/>
      <c r="I111" s="321"/>
      <c r="J111" s="321"/>
      <c r="K111" s="321"/>
    </row>
    <row r="112" spans="2:11">
      <c r="B112" s="321"/>
      <c r="C112" s="321"/>
      <c r="D112" s="321"/>
      <c r="E112" s="321"/>
      <c r="F112" s="321"/>
      <c r="G112" s="321"/>
      <c r="H112" s="321"/>
      <c r="I112" s="321"/>
      <c r="J112" s="321"/>
      <c r="K112" s="321"/>
    </row>
    <row r="113" spans="2:11">
      <c r="B113" s="321"/>
      <c r="C113" s="321"/>
      <c r="D113" s="321"/>
      <c r="E113" s="321"/>
      <c r="F113" s="321"/>
      <c r="G113" s="321"/>
      <c r="H113" s="321"/>
      <c r="I113" s="321"/>
      <c r="J113" s="321"/>
      <c r="K113" s="321"/>
    </row>
    <row r="114" spans="2:11">
      <c r="B114" s="321"/>
      <c r="C114" s="321"/>
      <c r="D114" s="321"/>
      <c r="E114" s="321"/>
      <c r="F114" s="321"/>
      <c r="G114" s="321"/>
      <c r="H114" s="321"/>
      <c r="I114" s="321"/>
      <c r="J114" s="321"/>
      <c r="K114" s="321"/>
    </row>
    <row r="115" spans="2:11">
      <c r="B115" s="321"/>
      <c r="C115" s="321"/>
      <c r="D115" s="321"/>
      <c r="E115" s="321"/>
      <c r="F115" s="321"/>
      <c r="G115" s="321"/>
      <c r="H115" s="321"/>
      <c r="I115" s="321"/>
      <c r="J115" s="321"/>
      <c r="K115" s="321"/>
    </row>
    <row r="116" spans="2:11">
      <c r="B116" s="321"/>
      <c r="C116" s="321"/>
      <c r="D116" s="321"/>
      <c r="E116" s="321"/>
      <c r="F116" s="321"/>
      <c r="G116" s="321"/>
      <c r="H116" s="321"/>
      <c r="I116" s="321"/>
      <c r="J116" s="321"/>
      <c r="K116" s="321"/>
    </row>
    <row r="117" spans="2:11">
      <c r="B117" s="321"/>
      <c r="C117" s="321"/>
      <c r="D117" s="321"/>
      <c r="E117" s="321"/>
      <c r="F117" s="321"/>
      <c r="G117" s="321"/>
      <c r="H117" s="321"/>
      <c r="I117" s="321"/>
      <c r="J117" s="321"/>
      <c r="K117" s="321"/>
    </row>
    <row r="118" spans="2:11">
      <c r="B118" s="321"/>
      <c r="C118" s="321"/>
      <c r="D118" s="321"/>
      <c r="E118" s="321"/>
      <c r="F118" s="321"/>
      <c r="G118" s="321"/>
      <c r="H118" s="321"/>
      <c r="I118" s="321"/>
      <c r="J118" s="321"/>
      <c r="K118" s="321"/>
    </row>
    <row r="119" spans="2:11">
      <c r="B119" s="321"/>
      <c r="C119" s="321"/>
      <c r="D119" s="321"/>
      <c r="E119" s="321"/>
      <c r="F119" s="321"/>
      <c r="G119" s="321"/>
      <c r="H119" s="321"/>
      <c r="I119" s="321"/>
      <c r="J119" s="321"/>
      <c r="K119" s="321"/>
    </row>
    <row r="120" spans="2:11">
      <c r="B120" s="321"/>
      <c r="C120" s="321"/>
      <c r="D120" s="321"/>
      <c r="E120" s="321"/>
      <c r="F120" s="321"/>
      <c r="G120" s="321"/>
      <c r="H120" s="321"/>
      <c r="I120" s="321"/>
      <c r="J120" s="321"/>
      <c r="K120" s="321"/>
    </row>
    <row r="121" spans="2:11">
      <c r="B121" s="321"/>
      <c r="C121" s="321"/>
      <c r="D121" s="321"/>
      <c r="E121" s="321"/>
      <c r="F121" s="321"/>
      <c r="G121" s="321"/>
      <c r="H121" s="321"/>
      <c r="I121" s="321"/>
      <c r="J121" s="321"/>
      <c r="K121" s="321"/>
    </row>
    <row r="122" spans="2:11">
      <c r="B122" s="321"/>
      <c r="C122" s="321"/>
      <c r="D122" s="321"/>
      <c r="E122" s="321"/>
      <c r="F122" s="321"/>
      <c r="G122" s="321"/>
      <c r="H122" s="321"/>
      <c r="I122" s="321"/>
      <c r="J122" s="321"/>
      <c r="K122" s="321"/>
    </row>
    <row r="123" spans="2:11">
      <c r="B123" s="321"/>
      <c r="C123" s="321"/>
      <c r="D123" s="321"/>
      <c r="E123" s="321"/>
      <c r="F123" s="321"/>
      <c r="G123" s="321"/>
      <c r="H123" s="321"/>
      <c r="I123" s="321"/>
      <c r="J123" s="321"/>
      <c r="K123" s="321"/>
    </row>
    <row r="124" spans="2:11">
      <c r="B124" s="321"/>
      <c r="C124" s="321"/>
      <c r="D124" s="321"/>
      <c r="E124" s="321"/>
      <c r="F124" s="321"/>
      <c r="G124" s="321"/>
      <c r="H124" s="321"/>
      <c r="I124" s="321"/>
      <c r="J124" s="321"/>
      <c r="K124" s="321"/>
    </row>
    <row r="125" spans="2:11">
      <c r="B125" s="321"/>
      <c r="C125" s="321"/>
      <c r="D125" s="321"/>
      <c r="E125" s="321"/>
      <c r="F125" s="321"/>
      <c r="G125" s="321"/>
      <c r="H125" s="321"/>
      <c r="I125" s="321"/>
      <c r="J125" s="321"/>
      <c r="K125" s="321"/>
    </row>
    <row r="126" spans="2:11">
      <c r="B126" s="321"/>
      <c r="C126" s="321"/>
      <c r="D126" s="321"/>
      <c r="E126" s="321"/>
      <c r="F126" s="321"/>
      <c r="G126" s="321"/>
      <c r="H126" s="321"/>
      <c r="I126" s="321"/>
      <c r="J126" s="321"/>
      <c r="K126" s="321"/>
    </row>
    <row r="127" spans="2:11">
      <c r="B127" s="321"/>
      <c r="C127" s="321"/>
      <c r="D127" s="321"/>
      <c r="E127" s="321"/>
      <c r="F127" s="321"/>
      <c r="G127" s="321"/>
      <c r="H127" s="321"/>
      <c r="I127" s="321"/>
      <c r="J127" s="321"/>
      <c r="K127" s="321"/>
    </row>
    <row r="128" spans="2:11">
      <c r="B128" s="321"/>
      <c r="C128" s="321"/>
      <c r="D128" s="321"/>
      <c r="E128" s="321"/>
      <c r="F128" s="321"/>
      <c r="G128" s="321"/>
      <c r="H128" s="321"/>
      <c r="I128" s="321"/>
      <c r="J128" s="321"/>
      <c r="K128" s="321"/>
    </row>
    <row r="129" spans="2:11">
      <c r="B129" s="321"/>
      <c r="C129" s="321"/>
      <c r="D129" s="321"/>
      <c r="E129" s="321"/>
      <c r="F129" s="321"/>
      <c r="G129" s="321"/>
      <c r="H129" s="321"/>
      <c r="I129" s="321"/>
      <c r="J129" s="321"/>
      <c r="K129" s="321"/>
    </row>
    <row r="130" spans="2:11">
      <c r="B130" s="321"/>
      <c r="C130" s="321"/>
      <c r="D130" s="321"/>
      <c r="E130" s="321"/>
      <c r="F130" s="321"/>
      <c r="G130" s="321"/>
      <c r="H130" s="321"/>
      <c r="I130" s="321"/>
      <c r="J130" s="321"/>
      <c r="K130" s="321"/>
    </row>
    <row r="131" spans="2:11">
      <c r="B131" s="321"/>
      <c r="C131" s="321"/>
      <c r="D131" s="321"/>
      <c r="E131" s="321"/>
      <c r="F131" s="321"/>
      <c r="G131" s="321"/>
      <c r="H131" s="321"/>
      <c r="I131" s="321"/>
      <c r="J131" s="321"/>
      <c r="K131" s="321"/>
    </row>
    <row r="132" spans="2:11">
      <c r="B132" s="321"/>
      <c r="C132" s="321"/>
      <c r="D132" s="321"/>
      <c r="E132" s="321"/>
      <c r="F132" s="321"/>
      <c r="G132" s="321"/>
      <c r="H132" s="321"/>
      <c r="I132" s="321"/>
      <c r="J132" s="321"/>
      <c r="K132" s="321"/>
    </row>
    <row r="133" spans="2:11">
      <c r="B133" s="321"/>
      <c r="C133" s="321"/>
      <c r="D133" s="321"/>
      <c r="E133" s="321"/>
      <c r="F133" s="321"/>
      <c r="G133" s="321"/>
      <c r="H133" s="321"/>
      <c r="I133" s="321"/>
      <c r="J133" s="321"/>
      <c r="K133" s="321"/>
    </row>
    <row r="134" spans="2:11">
      <c r="B134" s="321"/>
      <c r="C134" s="321"/>
      <c r="D134" s="321"/>
      <c r="E134" s="321"/>
      <c r="F134" s="321"/>
      <c r="G134" s="321"/>
      <c r="H134" s="321"/>
      <c r="I134" s="321"/>
      <c r="J134" s="321"/>
      <c r="K134" s="321"/>
    </row>
    <row r="135" spans="2:11">
      <c r="B135" s="321"/>
      <c r="C135" s="321"/>
      <c r="D135" s="321"/>
      <c r="E135" s="321"/>
      <c r="F135" s="321"/>
      <c r="G135" s="321"/>
      <c r="H135" s="321"/>
      <c r="I135" s="321"/>
      <c r="J135" s="321"/>
      <c r="K135" s="321"/>
    </row>
    <row r="136" spans="2:11">
      <c r="B136" s="321"/>
      <c r="C136" s="321"/>
      <c r="D136" s="321"/>
      <c r="E136" s="321"/>
      <c r="F136" s="321"/>
      <c r="G136" s="321"/>
      <c r="H136" s="321"/>
      <c r="I136" s="321"/>
      <c r="J136" s="321"/>
      <c r="K136" s="321"/>
    </row>
    <row r="137" spans="2:11">
      <c r="B137" s="321"/>
      <c r="C137" s="321"/>
      <c r="D137" s="321"/>
      <c r="E137" s="321"/>
      <c r="F137" s="321"/>
      <c r="G137" s="321"/>
      <c r="H137" s="321"/>
      <c r="I137" s="321"/>
      <c r="J137" s="321"/>
      <c r="K137" s="321"/>
    </row>
    <row r="138" spans="2:11">
      <c r="B138" s="321"/>
      <c r="C138" s="321"/>
      <c r="D138" s="321"/>
      <c r="E138" s="321"/>
      <c r="F138" s="321"/>
      <c r="G138" s="321"/>
      <c r="H138" s="321"/>
      <c r="I138" s="321"/>
      <c r="J138" s="321"/>
      <c r="K138" s="321"/>
    </row>
    <row r="139" spans="2:11">
      <c r="B139" s="321"/>
      <c r="C139" s="321"/>
      <c r="D139" s="321"/>
      <c r="E139" s="321"/>
      <c r="F139" s="321"/>
      <c r="G139" s="321"/>
      <c r="H139" s="321"/>
      <c r="I139" s="321"/>
      <c r="J139" s="321"/>
      <c r="K139" s="321"/>
    </row>
    <row r="140" spans="2:11">
      <c r="B140" s="321"/>
      <c r="C140" s="321"/>
      <c r="D140" s="321"/>
      <c r="E140" s="321"/>
      <c r="F140" s="321"/>
      <c r="G140" s="321"/>
      <c r="H140" s="321"/>
      <c r="I140" s="321"/>
      <c r="J140" s="321"/>
      <c r="K140" s="321"/>
    </row>
    <row r="141" spans="2:11">
      <c r="B141" s="321"/>
      <c r="C141" s="321"/>
      <c r="D141" s="321"/>
      <c r="E141" s="321"/>
      <c r="F141" s="321"/>
      <c r="G141" s="321"/>
      <c r="H141" s="321"/>
      <c r="I141" s="321"/>
      <c r="J141" s="321"/>
      <c r="K141" s="321"/>
    </row>
    <row r="142" spans="2:11">
      <c r="B142" s="321"/>
      <c r="C142" s="321"/>
      <c r="D142" s="321"/>
      <c r="E142" s="321"/>
      <c r="F142" s="321"/>
      <c r="G142" s="321"/>
      <c r="H142" s="321"/>
      <c r="I142" s="321"/>
      <c r="J142" s="321"/>
      <c r="K142" s="321"/>
    </row>
    <row r="143" spans="2:11">
      <c r="B143" s="321"/>
      <c r="C143" s="321"/>
      <c r="D143" s="321"/>
      <c r="E143" s="321"/>
      <c r="F143" s="321"/>
      <c r="G143" s="321"/>
      <c r="H143" s="321"/>
      <c r="I143" s="321"/>
      <c r="J143" s="321"/>
      <c r="K143" s="321"/>
    </row>
    <row r="144" spans="2:11">
      <c r="B144" s="321"/>
      <c r="C144" s="321"/>
      <c r="D144" s="321"/>
      <c r="E144" s="321"/>
      <c r="F144" s="321"/>
      <c r="G144" s="321"/>
      <c r="H144" s="321"/>
      <c r="I144" s="321"/>
      <c r="J144" s="321"/>
      <c r="K144" s="321"/>
    </row>
    <row r="145" spans="2:11">
      <c r="B145" s="321"/>
      <c r="C145" s="321"/>
      <c r="D145" s="321"/>
      <c r="E145" s="321"/>
      <c r="F145" s="321"/>
      <c r="G145" s="321"/>
      <c r="H145" s="321"/>
      <c r="I145" s="321"/>
      <c r="J145" s="321"/>
      <c r="K145" s="321"/>
    </row>
    <row r="146" spans="2:11">
      <c r="B146" s="321"/>
      <c r="C146" s="321"/>
      <c r="D146" s="321"/>
      <c r="E146" s="321"/>
      <c r="F146" s="321"/>
      <c r="G146" s="321"/>
      <c r="H146" s="321"/>
      <c r="I146" s="321"/>
      <c r="J146" s="321"/>
      <c r="K146" s="321"/>
    </row>
    <row r="147" spans="2:11">
      <c r="B147" s="321"/>
      <c r="C147" s="321"/>
      <c r="D147" s="321"/>
      <c r="E147" s="321"/>
      <c r="F147" s="321"/>
      <c r="G147" s="321"/>
      <c r="H147" s="321"/>
      <c r="I147" s="321"/>
      <c r="J147" s="321"/>
      <c r="K147" s="321"/>
    </row>
    <row r="148" spans="2:11">
      <c r="B148" s="321"/>
      <c r="C148" s="321"/>
      <c r="D148" s="321"/>
      <c r="E148" s="321"/>
      <c r="F148" s="321"/>
      <c r="G148" s="321"/>
      <c r="H148" s="321"/>
      <c r="I148" s="321"/>
      <c r="J148" s="321"/>
      <c r="K148" s="321"/>
    </row>
    <row r="149" spans="2:11">
      <c r="B149" s="321"/>
      <c r="C149" s="321"/>
      <c r="D149" s="321"/>
      <c r="E149" s="321"/>
      <c r="F149" s="321"/>
      <c r="G149" s="321"/>
      <c r="H149" s="321"/>
      <c r="I149" s="321"/>
      <c r="J149" s="321"/>
      <c r="K149" s="321"/>
    </row>
    <row r="150" spans="2:11">
      <c r="B150" s="321"/>
      <c r="C150" s="321"/>
      <c r="D150" s="321"/>
      <c r="E150" s="321"/>
      <c r="F150" s="321"/>
      <c r="G150" s="321"/>
      <c r="H150" s="321"/>
      <c r="I150" s="321"/>
      <c r="J150" s="321"/>
      <c r="K150" s="321"/>
    </row>
    <row r="151" spans="2:11">
      <c r="B151" s="321"/>
      <c r="C151" s="321"/>
      <c r="D151" s="321"/>
      <c r="E151" s="321"/>
      <c r="F151" s="321"/>
      <c r="G151" s="321"/>
      <c r="H151" s="321"/>
      <c r="I151" s="321"/>
      <c r="J151" s="321"/>
      <c r="K151" s="321"/>
    </row>
    <row r="152" spans="2:11">
      <c r="B152" s="321"/>
      <c r="C152" s="321"/>
      <c r="D152" s="321"/>
      <c r="E152" s="321"/>
      <c r="F152" s="321"/>
      <c r="G152" s="321"/>
      <c r="H152" s="321"/>
      <c r="I152" s="321"/>
      <c r="J152" s="321"/>
      <c r="K152" s="321"/>
    </row>
    <row r="153" spans="2:11">
      <c r="B153" s="321"/>
      <c r="C153" s="321"/>
      <c r="D153" s="321"/>
      <c r="E153" s="321"/>
      <c r="F153" s="321"/>
      <c r="G153" s="321"/>
      <c r="H153" s="321"/>
      <c r="I153" s="321"/>
      <c r="J153" s="321"/>
      <c r="K153" s="321"/>
    </row>
    <row r="154" spans="2:11">
      <c r="B154" s="321"/>
      <c r="C154" s="321"/>
      <c r="D154" s="321"/>
      <c r="E154" s="321"/>
      <c r="F154" s="321"/>
      <c r="G154" s="321"/>
      <c r="H154" s="321"/>
      <c r="I154" s="321"/>
      <c r="J154" s="321"/>
      <c r="K154" s="321"/>
    </row>
    <row r="155" spans="2:11">
      <c r="B155" s="321"/>
      <c r="C155" s="321"/>
      <c r="D155" s="321"/>
      <c r="E155" s="321"/>
      <c r="F155" s="321"/>
      <c r="G155" s="321"/>
      <c r="H155" s="321"/>
      <c r="I155" s="321"/>
      <c r="J155" s="321"/>
      <c r="K155" s="321"/>
    </row>
    <row r="156" spans="2:11">
      <c r="B156" s="321"/>
      <c r="C156" s="321"/>
      <c r="D156" s="321"/>
      <c r="E156" s="321"/>
      <c r="F156" s="321"/>
      <c r="G156" s="321"/>
      <c r="H156" s="321"/>
      <c r="I156" s="321"/>
      <c r="J156" s="321"/>
      <c r="K156" s="321"/>
    </row>
    <row r="157" spans="2:11">
      <c r="B157" s="321"/>
      <c r="C157" s="321"/>
      <c r="D157" s="321"/>
      <c r="E157" s="321"/>
      <c r="F157" s="321"/>
      <c r="G157" s="321"/>
      <c r="H157" s="321"/>
      <c r="I157" s="321"/>
      <c r="J157" s="321"/>
      <c r="K157" s="321"/>
    </row>
    <row r="158" spans="2:11">
      <c r="B158" s="321"/>
      <c r="C158" s="321"/>
      <c r="D158" s="321"/>
      <c r="E158" s="321"/>
      <c r="F158" s="321"/>
      <c r="G158" s="321"/>
      <c r="H158" s="321"/>
      <c r="I158" s="321"/>
      <c r="J158" s="321"/>
      <c r="K158" s="321"/>
    </row>
    <row r="159" spans="2:11">
      <c r="B159" s="321"/>
      <c r="C159" s="321"/>
      <c r="D159" s="321"/>
      <c r="E159" s="321"/>
      <c r="F159" s="321"/>
      <c r="G159" s="321"/>
      <c r="H159" s="321"/>
      <c r="I159" s="321"/>
      <c r="J159" s="321"/>
      <c r="K159" s="321"/>
    </row>
    <row r="160" spans="2:11">
      <c r="B160" s="321"/>
      <c r="C160" s="321"/>
      <c r="D160" s="321"/>
      <c r="E160" s="321"/>
      <c r="F160" s="321"/>
      <c r="G160" s="321"/>
      <c r="H160" s="321"/>
      <c r="I160" s="321"/>
      <c r="J160" s="321"/>
      <c r="K160" s="321"/>
    </row>
    <row r="161" spans="2:11">
      <c r="B161" s="321"/>
      <c r="C161" s="321"/>
      <c r="D161" s="321"/>
      <c r="E161" s="321"/>
      <c r="F161" s="321"/>
      <c r="G161" s="321"/>
      <c r="H161" s="321"/>
      <c r="I161" s="321"/>
      <c r="J161" s="321"/>
      <c r="K161" s="321"/>
    </row>
    <row r="162" spans="2:11">
      <c r="B162" s="321"/>
      <c r="C162" s="321"/>
      <c r="D162" s="321"/>
      <c r="E162" s="321"/>
      <c r="F162" s="321"/>
      <c r="G162" s="321"/>
      <c r="H162" s="321"/>
      <c r="I162" s="321"/>
      <c r="J162" s="321"/>
      <c r="K162" s="321"/>
    </row>
    <row r="163" spans="2:11">
      <c r="B163" s="321"/>
      <c r="C163" s="321"/>
      <c r="D163" s="321"/>
      <c r="E163" s="321"/>
      <c r="F163" s="321"/>
      <c r="G163" s="321"/>
      <c r="H163" s="321"/>
      <c r="I163" s="321"/>
      <c r="J163" s="321"/>
      <c r="K163" s="321"/>
    </row>
    <row r="164" spans="2:11">
      <c r="B164" s="321"/>
      <c r="C164" s="321"/>
      <c r="D164" s="321"/>
      <c r="E164" s="321"/>
      <c r="F164" s="321"/>
      <c r="G164" s="321"/>
      <c r="H164" s="321"/>
      <c r="I164" s="321"/>
      <c r="J164" s="321"/>
      <c r="K164" s="321"/>
    </row>
    <row r="165" spans="2:11">
      <c r="B165" s="321"/>
      <c r="C165" s="321"/>
      <c r="D165" s="321"/>
      <c r="E165" s="321"/>
      <c r="F165" s="321"/>
      <c r="G165" s="321"/>
      <c r="H165" s="321"/>
      <c r="I165" s="321"/>
      <c r="J165" s="321"/>
      <c r="K165" s="321"/>
    </row>
    <row r="166" spans="2:11">
      <c r="B166" s="321"/>
      <c r="C166" s="321"/>
      <c r="D166" s="321"/>
      <c r="E166" s="321"/>
      <c r="F166" s="321"/>
      <c r="G166" s="321"/>
      <c r="H166" s="321"/>
      <c r="I166" s="321"/>
      <c r="J166" s="321"/>
      <c r="K166" s="321"/>
    </row>
    <row r="167" spans="2:11">
      <c r="B167" s="321"/>
      <c r="C167" s="321"/>
      <c r="D167" s="321"/>
      <c r="E167" s="321"/>
      <c r="F167" s="321"/>
      <c r="G167" s="321"/>
      <c r="H167" s="321"/>
      <c r="I167" s="321"/>
      <c r="J167" s="321"/>
      <c r="K167" s="321"/>
    </row>
    <row r="168" spans="2:11">
      <c r="B168" s="321"/>
      <c r="C168" s="321"/>
      <c r="D168" s="321"/>
      <c r="E168" s="321"/>
      <c r="F168" s="321"/>
      <c r="G168" s="321"/>
      <c r="H168" s="321"/>
      <c r="I168" s="321"/>
      <c r="J168" s="321"/>
      <c r="K168" s="321"/>
    </row>
    <row r="169" spans="2:11">
      <c r="B169" s="321"/>
      <c r="C169" s="321"/>
      <c r="D169" s="321"/>
      <c r="E169" s="321"/>
      <c r="F169" s="321"/>
      <c r="G169" s="321"/>
      <c r="H169" s="321"/>
      <c r="I169" s="321"/>
      <c r="J169" s="321"/>
      <c r="K169" s="321"/>
    </row>
    <row r="170" spans="2:11">
      <c r="B170" s="321"/>
      <c r="C170" s="321"/>
      <c r="D170" s="321"/>
      <c r="E170" s="321"/>
      <c r="F170" s="321"/>
      <c r="G170" s="321"/>
      <c r="H170" s="321"/>
      <c r="I170" s="321"/>
      <c r="J170" s="321"/>
      <c r="K170" s="321"/>
    </row>
    <row r="171" spans="2:11">
      <c r="B171" s="321"/>
      <c r="C171" s="321"/>
      <c r="D171" s="321"/>
      <c r="E171" s="321"/>
      <c r="F171" s="321"/>
      <c r="G171" s="321"/>
      <c r="H171" s="321"/>
      <c r="I171" s="321"/>
      <c r="J171" s="321"/>
      <c r="K171" s="321"/>
    </row>
    <row r="172" spans="2:11">
      <c r="B172" s="321"/>
      <c r="C172" s="321"/>
      <c r="D172" s="321"/>
      <c r="E172" s="321"/>
      <c r="F172" s="321"/>
      <c r="G172" s="321"/>
      <c r="H172" s="321"/>
      <c r="I172" s="321"/>
      <c r="J172" s="321"/>
      <c r="K172" s="321"/>
    </row>
    <row r="173" spans="2:11">
      <c r="B173" s="321"/>
      <c r="C173" s="321"/>
      <c r="D173" s="321"/>
      <c r="E173" s="321"/>
      <c r="F173" s="321"/>
      <c r="G173" s="321"/>
      <c r="H173" s="321"/>
      <c r="I173" s="321"/>
      <c r="J173" s="321"/>
      <c r="K173" s="321"/>
    </row>
    <row r="174" spans="2:11">
      <c r="B174" s="321"/>
      <c r="C174" s="321"/>
      <c r="D174" s="321"/>
      <c r="E174" s="321"/>
      <c r="F174" s="321"/>
      <c r="G174" s="321"/>
      <c r="H174" s="321"/>
      <c r="I174" s="321"/>
      <c r="J174" s="321"/>
      <c r="K174" s="321"/>
    </row>
    <row r="175" spans="2:11">
      <c r="B175" s="321"/>
      <c r="C175" s="321"/>
      <c r="D175" s="321"/>
      <c r="E175" s="321"/>
      <c r="F175" s="321"/>
      <c r="G175" s="321"/>
      <c r="H175" s="321"/>
      <c r="I175" s="321"/>
      <c r="J175" s="321"/>
      <c r="K175" s="321"/>
    </row>
    <row r="176" spans="2:11">
      <c r="B176" s="321"/>
      <c r="C176" s="321"/>
      <c r="D176" s="321"/>
      <c r="E176" s="321"/>
      <c r="F176" s="321"/>
      <c r="G176" s="321"/>
      <c r="H176" s="321"/>
      <c r="I176" s="321"/>
      <c r="J176" s="321"/>
      <c r="K176" s="321"/>
    </row>
    <row r="177" spans="2:11">
      <c r="B177" s="321"/>
      <c r="C177" s="321"/>
      <c r="D177" s="321"/>
      <c r="E177" s="321"/>
      <c r="F177" s="321"/>
      <c r="G177" s="321"/>
      <c r="H177" s="321"/>
      <c r="I177" s="321"/>
      <c r="J177" s="321"/>
      <c r="K177" s="321"/>
    </row>
    <row r="178" spans="2:11">
      <c r="B178" s="321"/>
      <c r="C178" s="321"/>
      <c r="D178" s="321"/>
      <c r="E178" s="321"/>
      <c r="F178" s="321"/>
      <c r="G178" s="321"/>
      <c r="H178" s="321"/>
      <c r="I178" s="321"/>
      <c r="J178" s="321"/>
      <c r="K178" s="321"/>
    </row>
    <row r="179" spans="2:11">
      <c r="B179" s="321"/>
      <c r="C179" s="321"/>
      <c r="D179" s="321"/>
      <c r="E179" s="321"/>
      <c r="F179" s="321"/>
      <c r="G179" s="321"/>
      <c r="H179" s="321"/>
      <c r="I179" s="321"/>
      <c r="J179" s="321"/>
      <c r="K179" s="321"/>
    </row>
    <row r="180" spans="2:11">
      <c r="B180" s="321"/>
      <c r="C180" s="321"/>
      <c r="D180" s="321"/>
      <c r="E180" s="321"/>
      <c r="F180" s="321"/>
      <c r="G180" s="321"/>
      <c r="H180" s="321"/>
      <c r="I180" s="321"/>
      <c r="J180" s="321"/>
      <c r="K180" s="321"/>
    </row>
    <row r="181" spans="2:11">
      <c r="B181" s="321"/>
      <c r="C181" s="321"/>
      <c r="D181" s="321"/>
      <c r="E181" s="321"/>
      <c r="F181" s="321"/>
      <c r="G181" s="321"/>
      <c r="H181" s="321"/>
      <c r="I181" s="321"/>
      <c r="J181" s="321"/>
      <c r="K181" s="321"/>
    </row>
    <row r="182" spans="2:11">
      <c r="B182" s="321"/>
      <c r="C182" s="321"/>
      <c r="D182" s="321"/>
      <c r="E182" s="321"/>
      <c r="F182" s="321"/>
      <c r="G182" s="321"/>
      <c r="H182" s="321"/>
      <c r="I182" s="321"/>
      <c r="J182" s="321"/>
      <c r="K182" s="321"/>
    </row>
    <row r="183" spans="2:11">
      <c r="B183" s="321"/>
      <c r="C183" s="321"/>
      <c r="D183" s="321"/>
      <c r="E183" s="321"/>
      <c r="F183" s="321"/>
      <c r="G183" s="321"/>
      <c r="H183" s="321"/>
      <c r="I183" s="321"/>
      <c r="J183" s="321"/>
      <c r="K183" s="321"/>
    </row>
    <row r="184" spans="2:11">
      <c r="B184" s="321"/>
      <c r="C184" s="321"/>
      <c r="D184" s="321"/>
      <c r="E184" s="321"/>
      <c r="F184" s="321"/>
      <c r="G184" s="321"/>
      <c r="H184" s="321"/>
      <c r="I184" s="321"/>
      <c r="J184" s="321"/>
      <c r="K184" s="321"/>
    </row>
    <row r="185" spans="2:11">
      <c r="B185" s="321"/>
      <c r="C185" s="321"/>
      <c r="D185" s="321"/>
      <c r="E185" s="321"/>
      <c r="F185" s="321"/>
      <c r="G185" s="321"/>
      <c r="H185" s="321"/>
      <c r="I185" s="321"/>
      <c r="J185" s="321"/>
      <c r="K185" s="321"/>
    </row>
    <row r="186" spans="2:11">
      <c r="B186" s="321"/>
      <c r="C186" s="321"/>
      <c r="D186" s="321"/>
      <c r="E186" s="321"/>
      <c r="F186" s="321"/>
      <c r="G186" s="321"/>
      <c r="H186" s="321"/>
      <c r="I186" s="321"/>
      <c r="J186" s="321"/>
      <c r="K186" s="321"/>
    </row>
    <row r="187" spans="2:11">
      <c r="B187" s="321"/>
      <c r="C187" s="321"/>
      <c r="D187" s="321"/>
      <c r="E187" s="321"/>
      <c r="F187" s="321"/>
      <c r="G187" s="321"/>
      <c r="H187" s="321"/>
      <c r="I187" s="321"/>
      <c r="J187" s="321"/>
      <c r="K187" s="321"/>
    </row>
    <row r="188" spans="2:11">
      <c r="B188" s="321"/>
      <c r="C188" s="321"/>
      <c r="D188" s="321"/>
      <c r="E188" s="321"/>
      <c r="F188" s="321"/>
      <c r="G188" s="321"/>
      <c r="H188" s="321"/>
      <c r="I188" s="321"/>
      <c r="J188" s="321"/>
      <c r="K188" s="321"/>
    </row>
    <row r="189" spans="2:11">
      <c r="B189" s="321"/>
      <c r="C189" s="321"/>
      <c r="D189" s="321"/>
      <c r="E189" s="321"/>
      <c r="F189" s="321"/>
      <c r="G189" s="321"/>
      <c r="H189" s="321"/>
      <c r="I189" s="321"/>
      <c r="J189" s="321"/>
      <c r="K189" s="321"/>
    </row>
    <row r="190" spans="2:11">
      <c r="B190" s="321"/>
      <c r="C190" s="321"/>
      <c r="D190" s="321"/>
      <c r="E190" s="321"/>
      <c r="F190" s="321"/>
      <c r="G190" s="321"/>
      <c r="H190" s="321"/>
      <c r="I190" s="321"/>
      <c r="J190" s="321"/>
      <c r="K190" s="321"/>
    </row>
    <row r="191" spans="2:11">
      <c r="B191" s="321"/>
      <c r="C191" s="321"/>
      <c r="D191" s="321"/>
      <c r="E191" s="321"/>
      <c r="F191" s="321"/>
      <c r="G191" s="321"/>
      <c r="H191" s="321"/>
      <c r="I191" s="321"/>
      <c r="J191" s="321"/>
      <c r="K191" s="321"/>
    </row>
    <row r="192" spans="2:11">
      <c r="B192" s="321"/>
      <c r="C192" s="321"/>
      <c r="D192" s="321"/>
      <c r="E192" s="321"/>
      <c r="F192" s="321"/>
      <c r="G192" s="321"/>
      <c r="H192" s="321"/>
      <c r="I192" s="321"/>
      <c r="J192" s="321"/>
      <c r="K192" s="321"/>
    </row>
    <row r="193" spans="2:11">
      <c r="B193" s="321"/>
      <c r="C193" s="321"/>
      <c r="D193" s="321"/>
      <c r="E193" s="321"/>
      <c r="F193" s="321"/>
      <c r="G193" s="321"/>
      <c r="H193" s="321"/>
      <c r="I193" s="321"/>
      <c r="J193" s="321"/>
      <c r="K193" s="321"/>
    </row>
    <row r="194" spans="2:11">
      <c r="B194" s="321"/>
      <c r="C194" s="321"/>
      <c r="D194" s="321"/>
      <c r="E194" s="321"/>
      <c r="F194" s="321"/>
      <c r="G194" s="321"/>
      <c r="H194" s="321"/>
      <c r="I194" s="321"/>
      <c r="J194" s="321"/>
      <c r="K194" s="321"/>
    </row>
    <row r="195" spans="2:11">
      <c r="B195" s="321"/>
      <c r="C195" s="321"/>
      <c r="D195" s="321"/>
      <c r="E195" s="321"/>
      <c r="F195" s="321"/>
      <c r="G195" s="321"/>
      <c r="H195" s="321"/>
      <c r="I195" s="321"/>
      <c r="J195" s="321"/>
      <c r="K195" s="321"/>
    </row>
    <row r="196" spans="2:11">
      <c r="B196" s="321"/>
      <c r="C196" s="321"/>
      <c r="D196" s="321"/>
      <c r="E196" s="321"/>
      <c r="F196" s="321"/>
      <c r="G196" s="321"/>
      <c r="H196" s="321"/>
      <c r="I196" s="321"/>
      <c r="J196" s="321"/>
      <c r="K196" s="321"/>
    </row>
    <row r="197" spans="2:11">
      <c r="B197" s="321"/>
      <c r="C197" s="321"/>
      <c r="D197" s="321"/>
      <c r="E197" s="321"/>
      <c r="F197" s="321"/>
      <c r="G197" s="321"/>
      <c r="H197" s="321"/>
      <c r="I197" s="321"/>
      <c r="J197" s="321"/>
      <c r="K197" s="321"/>
    </row>
    <row r="198" spans="2:11">
      <c r="B198" s="321"/>
      <c r="C198" s="321"/>
      <c r="D198" s="321"/>
      <c r="E198" s="321"/>
      <c r="F198" s="321"/>
      <c r="G198" s="321"/>
      <c r="H198" s="321"/>
      <c r="I198" s="321"/>
      <c r="J198" s="321"/>
      <c r="K198" s="321"/>
    </row>
    <row r="199" spans="2:11">
      <c r="B199" s="321"/>
      <c r="C199" s="321"/>
      <c r="D199" s="321"/>
      <c r="E199" s="321"/>
      <c r="F199" s="321"/>
      <c r="G199" s="321"/>
      <c r="H199" s="321"/>
      <c r="I199" s="321"/>
      <c r="J199" s="321"/>
      <c r="K199" s="321"/>
    </row>
    <row r="200" spans="2:11">
      <c r="B200" s="321"/>
      <c r="C200" s="321"/>
      <c r="D200" s="321"/>
      <c r="E200" s="321"/>
      <c r="F200" s="321"/>
      <c r="G200" s="321"/>
      <c r="H200" s="321"/>
      <c r="I200" s="321"/>
      <c r="J200" s="321"/>
      <c r="K200" s="321"/>
    </row>
    <row r="201" spans="2:11">
      <c r="B201" s="321"/>
      <c r="C201" s="321"/>
      <c r="D201" s="321"/>
      <c r="E201" s="321"/>
      <c r="F201" s="321"/>
      <c r="G201" s="321"/>
      <c r="H201" s="321"/>
      <c r="I201" s="321"/>
      <c r="J201" s="321"/>
      <c r="K201" s="321"/>
    </row>
    <row r="202" spans="2:11">
      <c r="B202" s="321"/>
      <c r="C202" s="321"/>
      <c r="D202" s="321"/>
      <c r="E202" s="321"/>
      <c r="F202" s="321"/>
      <c r="G202" s="321"/>
      <c r="H202" s="321"/>
      <c r="I202" s="321"/>
      <c r="J202" s="321"/>
      <c r="K202" s="321"/>
    </row>
    <row r="203" spans="2:11">
      <c r="B203" s="321"/>
      <c r="C203" s="321"/>
      <c r="D203" s="321"/>
      <c r="E203" s="321"/>
      <c r="F203" s="321"/>
      <c r="G203" s="321"/>
      <c r="H203" s="321"/>
      <c r="I203" s="321"/>
      <c r="J203" s="321"/>
      <c r="K203" s="321"/>
    </row>
    <row r="204" spans="2:11">
      <c r="B204" s="321"/>
      <c r="C204" s="321"/>
      <c r="D204" s="321"/>
      <c r="E204" s="321"/>
      <c r="F204" s="321"/>
      <c r="G204" s="321"/>
      <c r="H204" s="321"/>
      <c r="I204" s="321"/>
      <c r="J204" s="321"/>
      <c r="K204" s="321"/>
    </row>
    <row r="205" spans="2:11">
      <c r="B205" s="321"/>
      <c r="C205" s="321"/>
      <c r="D205" s="321"/>
      <c r="E205" s="321"/>
      <c r="F205" s="321"/>
      <c r="G205" s="321"/>
      <c r="H205" s="321"/>
      <c r="I205" s="321"/>
      <c r="J205" s="321"/>
      <c r="K205" s="321"/>
    </row>
    <row r="206" spans="2:11">
      <c r="B206" s="321"/>
      <c r="C206" s="321"/>
      <c r="D206" s="321"/>
      <c r="E206" s="321"/>
      <c r="F206" s="321"/>
      <c r="G206" s="321"/>
      <c r="H206" s="321"/>
      <c r="I206" s="321"/>
      <c r="J206" s="321"/>
      <c r="K206" s="321"/>
    </row>
    <row r="207" spans="2:11">
      <c r="B207" s="321"/>
      <c r="C207" s="321"/>
      <c r="D207" s="321"/>
      <c r="E207" s="321"/>
      <c r="F207" s="321"/>
      <c r="G207" s="321"/>
      <c r="H207" s="321"/>
      <c r="I207" s="321"/>
      <c r="J207" s="321"/>
      <c r="K207" s="321"/>
    </row>
    <row r="208" spans="2:11">
      <c r="B208" s="321"/>
      <c r="C208" s="321"/>
      <c r="D208" s="321"/>
      <c r="E208" s="321"/>
      <c r="F208" s="321"/>
      <c r="G208" s="321"/>
      <c r="H208" s="321"/>
      <c r="I208" s="321"/>
      <c r="J208" s="321"/>
      <c r="K208" s="321"/>
    </row>
    <row r="209" spans="2:11">
      <c r="B209" s="321"/>
      <c r="C209" s="321"/>
      <c r="D209" s="321"/>
      <c r="E209" s="321"/>
      <c r="F209" s="321"/>
      <c r="G209" s="321"/>
      <c r="H209" s="321"/>
      <c r="I209" s="321"/>
      <c r="J209" s="321"/>
      <c r="K209" s="321"/>
    </row>
    <row r="210" spans="2:11">
      <c r="B210" s="321"/>
      <c r="C210" s="321"/>
      <c r="D210" s="321"/>
      <c r="E210" s="321"/>
      <c r="F210" s="321"/>
      <c r="G210" s="321"/>
      <c r="H210" s="321"/>
      <c r="I210" s="321"/>
      <c r="J210" s="321"/>
      <c r="K210" s="321"/>
    </row>
    <row r="211" spans="2:11">
      <c r="B211" s="321"/>
      <c r="C211" s="321"/>
      <c r="D211" s="321"/>
      <c r="E211" s="321"/>
      <c r="F211" s="321"/>
      <c r="G211" s="321"/>
      <c r="H211" s="321"/>
      <c r="I211" s="321"/>
      <c r="J211" s="321"/>
      <c r="K211" s="321"/>
    </row>
    <row r="212" spans="2:11">
      <c r="B212" s="321"/>
      <c r="C212" s="321"/>
      <c r="D212" s="321"/>
      <c r="E212" s="321"/>
      <c r="F212" s="321"/>
      <c r="G212" s="321"/>
      <c r="H212" s="321"/>
      <c r="I212" s="321"/>
      <c r="J212" s="321"/>
      <c r="K212" s="321"/>
    </row>
    <row r="213" spans="2:11">
      <c r="B213" s="321"/>
      <c r="C213" s="321"/>
      <c r="D213" s="321"/>
      <c r="E213" s="321"/>
      <c r="F213" s="321"/>
      <c r="G213" s="321"/>
      <c r="H213" s="321"/>
      <c r="I213" s="321"/>
      <c r="J213" s="321"/>
      <c r="K213" s="321"/>
    </row>
    <row r="214" spans="2:11">
      <c r="B214" s="321"/>
      <c r="C214" s="321"/>
      <c r="D214" s="321"/>
      <c r="E214" s="321"/>
      <c r="F214" s="321"/>
      <c r="G214" s="321"/>
      <c r="H214" s="321"/>
      <c r="I214" s="321"/>
      <c r="J214" s="321"/>
      <c r="K214" s="321"/>
    </row>
    <row r="215" spans="2:11">
      <c r="B215" s="321"/>
      <c r="C215" s="321"/>
      <c r="D215" s="321"/>
      <c r="E215" s="321"/>
      <c r="F215" s="321"/>
      <c r="G215" s="321"/>
      <c r="H215" s="321"/>
      <c r="I215" s="321"/>
      <c r="J215" s="321"/>
      <c r="K215" s="321"/>
    </row>
    <row r="216" spans="2:11">
      <c r="B216" s="321"/>
      <c r="C216" s="321"/>
      <c r="D216" s="321"/>
      <c r="E216" s="321"/>
      <c r="F216" s="321"/>
      <c r="G216" s="321"/>
      <c r="H216" s="321"/>
      <c r="I216" s="321"/>
      <c r="J216" s="321"/>
      <c r="K216" s="321"/>
    </row>
    <row r="217" spans="2:11">
      <c r="B217" s="321"/>
      <c r="C217" s="321"/>
      <c r="D217" s="321"/>
      <c r="E217" s="321"/>
      <c r="F217" s="321"/>
      <c r="G217" s="321"/>
      <c r="H217" s="321"/>
      <c r="I217" s="321"/>
      <c r="J217" s="321"/>
      <c r="K217" s="321"/>
    </row>
    <row r="218" spans="2:11">
      <c r="B218" s="321"/>
      <c r="C218" s="321"/>
      <c r="D218" s="321"/>
      <c r="E218" s="321"/>
      <c r="F218" s="321"/>
      <c r="G218" s="321"/>
      <c r="H218" s="321"/>
      <c r="I218" s="321"/>
      <c r="J218" s="321"/>
      <c r="K218" s="321"/>
    </row>
    <row r="219" spans="2:11">
      <c r="B219" s="321"/>
      <c r="C219" s="321"/>
      <c r="D219" s="321"/>
      <c r="E219" s="321"/>
      <c r="F219" s="321"/>
      <c r="G219" s="321"/>
      <c r="H219" s="321"/>
      <c r="I219" s="321"/>
      <c r="J219" s="321"/>
      <c r="K219" s="321"/>
    </row>
    <row r="220" spans="2:11">
      <c r="B220" s="321"/>
      <c r="C220" s="321"/>
      <c r="D220" s="321"/>
      <c r="E220" s="321"/>
      <c r="F220" s="321"/>
      <c r="G220" s="321"/>
      <c r="H220" s="321"/>
      <c r="I220" s="321"/>
      <c r="J220" s="321"/>
      <c r="K220" s="321"/>
    </row>
    <row r="221" spans="2:11">
      <c r="B221" s="321"/>
      <c r="C221" s="321"/>
      <c r="D221" s="321"/>
      <c r="E221" s="321"/>
      <c r="F221" s="321"/>
      <c r="G221" s="321"/>
      <c r="H221" s="321"/>
      <c r="I221" s="321"/>
      <c r="J221" s="321"/>
      <c r="K221" s="321"/>
    </row>
    <row r="222" spans="2:11">
      <c r="B222" s="321"/>
      <c r="C222" s="321"/>
      <c r="D222" s="321"/>
      <c r="E222" s="321"/>
      <c r="F222" s="321"/>
      <c r="G222" s="321"/>
      <c r="H222" s="321"/>
      <c r="I222" s="321"/>
      <c r="J222" s="321"/>
      <c r="K222" s="321"/>
    </row>
    <row r="223" spans="2:11">
      <c r="B223" s="321"/>
      <c r="C223" s="321"/>
      <c r="D223" s="321"/>
      <c r="E223" s="321"/>
      <c r="F223" s="321"/>
      <c r="G223" s="321"/>
      <c r="H223" s="321"/>
      <c r="I223" s="321"/>
      <c r="J223" s="321"/>
      <c r="K223" s="321"/>
    </row>
    <row r="224" spans="2:11">
      <c r="B224" s="321"/>
      <c r="C224" s="321"/>
      <c r="D224" s="321"/>
      <c r="E224" s="321"/>
      <c r="F224" s="321"/>
      <c r="G224" s="321"/>
      <c r="H224" s="321"/>
      <c r="I224" s="321"/>
      <c r="J224" s="321"/>
      <c r="K224" s="321"/>
    </row>
    <row r="225" spans="2:11">
      <c r="B225" s="321"/>
      <c r="C225" s="321"/>
      <c r="D225" s="321"/>
      <c r="E225" s="321"/>
      <c r="F225" s="321"/>
      <c r="G225" s="321"/>
      <c r="H225" s="321"/>
      <c r="I225" s="321"/>
      <c r="J225" s="321"/>
      <c r="K225" s="321"/>
    </row>
    <row r="226" spans="2:11">
      <c r="B226" s="321"/>
      <c r="C226" s="321"/>
      <c r="D226" s="321"/>
      <c r="E226" s="321"/>
      <c r="F226" s="321"/>
      <c r="G226" s="321"/>
      <c r="H226" s="321"/>
      <c r="I226" s="321"/>
      <c r="J226" s="321"/>
      <c r="K226" s="321"/>
    </row>
    <row r="227" spans="2:11">
      <c r="B227" s="321"/>
      <c r="C227" s="321"/>
      <c r="D227" s="321"/>
      <c r="E227" s="321"/>
      <c r="F227" s="321"/>
      <c r="G227" s="321"/>
      <c r="H227" s="321"/>
      <c r="I227" s="321"/>
      <c r="J227" s="321"/>
      <c r="K227" s="321"/>
    </row>
    <row r="228" spans="2:11">
      <c r="B228" s="321"/>
      <c r="C228" s="321"/>
      <c r="D228" s="321"/>
      <c r="E228" s="321"/>
      <c r="F228" s="321"/>
      <c r="G228" s="321"/>
      <c r="H228" s="321"/>
      <c r="I228" s="321"/>
      <c r="J228" s="321"/>
      <c r="K228" s="321"/>
    </row>
    <row r="229" spans="2:11">
      <c r="B229" s="321"/>
      <c r="C229" s="321"/>
      <c r="D229" s="321"/>
      <c r="E229" s="321"/>
      <c r="F229" s="321"/>
      <c r="G229" s="321"/>
      <c r="H229" s="321"/>
      <c r="I229" s="321"/>
      <c r="J229" s="321"/>
      <c r="K229" s="321"/>
    </row>
    <row r="230" spans="2:11">
      <c r="B230" s="321"/>
      <c r="C230" s="321"/>
      <c r="D230" s="321"/>
      <c r="E230" s="321"/>
      <c r="F230" s="321"/>
      <c r="G230" s="321"/>
      <c r="H230" s="321"/>
      <c r="I230" s="321"/>
      <c r="J230" s="321"/>
      <c r="K230" s="321"/>
    </row>
    <row r="231" spans="2:11">
      <c r="B231" s="321"/>
      <c r="C231" s="321"/>
      <c r="D231" s="321"/>
      <c r="E231" s="321"/>
      <c r="F231" s="321"/>
      <c r="G231" s="321"/>
      <c r="H231" s="321"/>
      <c r="I231" s="321"/>
      <c r="J231" s="321"/>
      <c r="K231" s="321"/>
    </row>
    <row r="232" spans="2:11">
      <c r="B232" s="321"/>
      <c r="C232" s="321"/>
      <c r="D232" s="321"/>
      <c r="E232" s="321"/>
      <c r="F232" s="321"/>
      <c r="G232" s="321"/>
      <c r="H232" s="321"/>
      <c r="I232" s="321"/>
      <c r="J232" s="321"/>
      <c r="K232" s="321"/>
    </row>
    <row r="233" spans="2:11">
      <c r="B233" s="321"/>
      <c r="C233" s="321"/>
      <c r="D233" s="321"/>
      <c r="E233" s="321"/>
      <c r="F233" s="321"/>
      <c r="G233" s="321"/>
      <c r="H233" s="321"/>
      <c r="I233" s="321"/>
      <c r="J233" s="321"/>
      <c r="K233" s="321"/>
    </row>
    <row r="234" spans="2:11">
      <c r="B234" s="321"/>
      <c r="C234" s="321"/>
      <c r="D234" s="321"/>
      <c r="E234" s="321"/>
      <c r="F234" s="321"/>
      <c r="G234" s="321"/>
      <c r="H234" s="321"/>
      <c r="I234" s="321"/>
      <c r="J234" s="321"/>
      <c r="K234" s="321"/>
    </row>
    <row r="235" spans="2:11">
      <c r="B235" s="321"/>
      <c r="C235" s="321"/>
      <c r="D235" s="321"/>
      <c r="E235" s="321"/>
      <c r="F235" s="321"/>
      <c r="G235" s="321"/>
      <c r="H235" s="321"/>
      <c r="I235" s="321"/>
      <c r="J235" s="321"/>
      <c r="K235" s="321"/>
    </row>
    <row r="236" spans="2:11">
      <c r="B236" s="321"/>
      <c r="C236" s="321"/>
      <c r="D236" s="321"/>
      <c r="E236" s="321"/>
      <c r="F236" s="321"/>
      <c r="G236" s="321"/>
      <c r="H236" s="321"/>
      <c r="I236" s="321"/>
      <c r="J236" s="321"/>
      <c r="K236" s="321"/>
    </row>
    <row r="237" spans="2:11">
      <c r="B237" s="321"/>
      <c r="C237" s="321"/>
      <c r="D237" s="321"/>
      <c r="E237" s="321"/>
      <c r="F237" s="321"/>
      <c r="G237" s="321"/>
      <c r="H237" s="321"/>
      <c r="I237" s="321"/>
      <c r="J237" s="321"/>
      <c r="K237" s="321"/>
    </row>
    <row r="238" spans="2:11">
      <c r="B238" s="321"/>
      <c r="C238" s="321"/>
      <c r="D238" s="321"/>
      <c r="E238" s="321"/>
      <c r="F238" s="321"/>
      <c r="G238" s="321"/>
      <c r="H238" s="321"/>
      <c r="I238" s="321"/>
      <c r="J238" s="321"/>
      <c r="K238" s="321"/>
    </row>
    <row r="239" spans="2:11">
      <c r="B239" s="321"/>
      <c r="C239" s="321"/>
      <c r="D239" s="321"/>
      <c r="E239" s="321"/>
      <c r="F239" s="321"/>
      <c r="G239" s="321"/>
      <c r="H239" s="321"/>
      <c r="I239" s="321"/>
      <c r="J239" s="321"/>
      <c r="K239" s="321"/>
    </row>
    <row r="240" spans="2:11">
      <c r="B240" s="321"/>
      <c r="C240" s="321"/>
      <c r="D240" s="321"/>
      <c r="E240" s="321"/>
      <c r="F240" s="321"/>
      <c r="G240" s="321"/>
      <c r="H240" s="321"/>
      <c r="I240" s="321"/>
      <c r="J240" s="321"/>
      <c r="K240" s="321"/>
    </row>
    <row r="241" spans="2:11">
      <c r="B241" s="321"/>
      <c r="C241" s="321"/>
      <c r="D241" s="321"/>
      <c r="E241" s="321"/>
      <c r="F241" s="321"/>
      <c r="G241" s="321"/>
      <c r="H241" s="321"/>
      <c r="I241" s="321"/>
      <c r="J241" s="321"/>
      <c r="K241" s="321"/>
    </row>
    <row r="242" spans="2:11">
      <c r="B242" s="321"/>
      <c r="C242" s="321"/>
      <c r="D242" s="321"/>
      <c r="E242" s="321"/>
      <c r="F242" s="321"/>
      <c r="G242" s="321"/>
      <c r="H242" s="321"/>
      <c r="I242" s="321"/>
      <c r="J242" s="321"/>
      <c r="K242" s="321"/>
    </row>
    <row r="243" spans="2:11">
      <c r="B243" s="321"/>
      <c r="C243" s="321"/>
      <c r="D243" s="321"/>
      <c r="E243" s="321"/>
      <c r="F243" s="321"/>
      <c r="G243" s="321"/>
      <c r="H243" s="321"/>
      <c r="I243" s="321"/>
      <c r="J243" s="321"/>
      <c r="K243" s="321"/>
    </row>
    <row r="244" spans="2:11">
      <c r="B244" s="321"/>
      <c r="C244" s="321"/>
      <c r="D244" s="321"/>
      <c r="E244" s="321"/>
      <c r="F244" s="321"/>
      <c r="G244" s="321"/>
      <c r="H244" s="321"/>
      <c r="I244" s="321"/>
      <c r="J244" s="321"/>
      <c r="K244" s="321"/>
    </row>
    <row r="245" spans="2:11">
      <c r="B245" s="321"/>
      <c r="C245" s="321"/>
      <c r="D245" s="321"/>
      <c r="E245" s="321"/>
      <c r="F245" s="321"/>
      <c r="G245" s="321"/>
      <c r="H245" s="321"/>
      <c r="I245" s="321"/>
      <c r="J245" s="321"/>
      <c r="K245" s="321"/>
    </row>
    <row r="246" spans="2:11">
      <c r="B246" s="321"/>
      <c r="C246" s="321"/>
      <c r="D246" s="321"/>
      <c r="E246" s="321"/>
      <c r="F246" s="321"/>
      <c r="G246" s="321"/>
      <c r="H246" s="321"/>
      <c r="I246" s="321"/>
      <c r="J246" s="321"/>
      <c r="K246" s="321"/>
    </row>
    <row r="247" spans="2:11">
      <c r="B247" s="321"/>
      <c r="C247" s="321"/>
      <c r="D247" s="321"/>
      <c r="E247" s="321"/>
      <c r="F247" s="321"/>
      <c r="G247" s="321"/>
      <c r="H247" s="321"/>
      <c r="I247" s="321"/>
      <c r="J247" s="321"/>
      <c r="K247" s="321"/>
    </row>
    <row r="248" spans="2:11">
      <c r="B248" s="321"/>
      <c r="C248" s="321"/>
      <c r="D248" s="321"/>
      <c r="E248" s="321"/>
      <c r="F248" s="321"/>
      <c r="G248" s="321"/>
      <c r="H248" s="321"/>
      <c r="I248" s="321"/>
      <c r="J248" s="321"/>
      <c r="K248" s="321"/>
    </row>
    <row r="249" spans="2:11">
      <c r="B249" s="321"/>
      <c r="C249" s="321"/>
      <c r="D249" s="321"/>
      <c r="E249" s="321"/>
      <c r="F249" s="321"/>
      <c r="G249" s="321"/>
      <c r="H249" s="321"/>
      <c r="I249" s="321"/>
      <c r="J249" s="321"/>
      <c r="K249" s="321"/>
    </row>
    <row r="250" spans="2:11">
      <c r="B250" s="321"/>
      <c r="C250" s="321"/>
      <c r="D250" s="321"/>
      <c r="E250" s="321"/>
      <c r="F250" s="321"/>
      <c r="G250" s="321"/>
      <c r="H250" s="321"/>
      <c r="I250" s="321"/>
      <c r="J250" s="321"/>
      <c r="K250" s="321"/>
    </row>
    <row r="251" spans="2:11">
      <c r="B251" s="321"/>
      <c r="C251" s="321"/>
      <c r="D251" s="321"/>
      <c r="E251" s="321"/>
      <c r="F251" s="321"/>
      <c r="G251" s="321"/>
      <c r="H251" s="321"/>
      <c r="I251" s="321"/>
      <c r="J251" s="321"/>
      <c r="K251" s="321"/>
    </row>
    <row r="252" spans="2:11">
      <c r="B252" s="321"/>
      <c r="C252" s="321"/>
      <c r="D252" s="321"/>
      <c r="E252" s="321"/>
      <c r="F252" s="321"/>
      <c r="G252" s="321"/>
      <c r="H252" s="321"/>
      <c r="I252" s="321"/>
      <c r="J252" s="321"/>
      <c r="K252" s="321"/>
    </row>
    <row r="253" spans="2:11">
      <c r="B253" s="321"/>
      <c r="C253" s="321"/>
      <c r="D253" s="321"/>
      <c r="E253" s="321"/>
      <c r="F253" s="321"/>
      <c r="G253" s="321"/>
      <c r="H253" s="321"/>
      <c r="I253" s="321"/>
      <c r="J253" s="321"/>
      <c r="K253" s="321"/>
    </row>
    <row r="254" spans="2:11">
      <c r="B254" s="321"/>
      <c r="C254" s="321"/>
      <c r="D254" s="321"/>
      <c r="E254" s="321"/>
      <c r="F254" s="321"/>
      <c r="G254" s="321"/>
      <c r="H254" s="321"/>
      <c r="I254" s="321"/>
      <c r="J254" s="321"/>
      <c r="K254" s="321"/>
    </row>
    <row r="255" spans="2:11">
      <c r="B255" s="321"/>
      <c r="C255" s="321"/>
      <c r="D255" s="321"/>
      <c r="E255" s="321"/>
      <c r="F255" s="321"/>
      <c r="G255" s="321"/>
      <c r="H255" s="321"/>
      <c r="I255" s="321"/>
      <c r="J255" s="321"/>
      <c r="K255" s="321"/>
    </row>
    <row r="256" spans="2:11">
      <c r="B256" s="321"/>
      <c r="C256" s="321"/>
      <c r="D256" s="321"/>
      <c r="E256" s="321"/>
      <c r="F256" s="321"/>
      <c r="G256" s="321"/>
      <c r="H256" s="321"/>
      <c r="I256" s="321"/>
      <c r="J256" s="321"/>
      <c r="K256" s="321"/>
    </row>
    <row r="257" spans="2:11">
      <c r="B257" s="321"/>
      <c r="C257" s="321"/>
      <c r="D257" s="321"/>
      <c r="E257" s="321"/>
      <c r="F257" s="321"/>
      <c r="G257" s="321"/>
      <c r="H257" s="321"/>
      <c r="I257" s="321"/>
      <c r="J257" s="321"/>
      <c r="K257" s="321"/>
    </row>
    <row r="258" spans="2:11">
      <c r="B258" s="321"/>
      <c r="C258" s="321"/>
      <c r="D258" s="321"/>
      <c r="E258" s="321"/>
      <c r="F258" s="321"/>
      <c r="G258" s="321"/>
      <c r="H258" s="321"/>
      <c r="I258" s="321"/>
      <c r="J258" s="321"/>
      <c r="K258" s="321"/>
    </row>
    <row r="259" spans="2:11">
      <c r="B259" s="321"/>
      <c r="C259" s="321"/>
      <c r="D259" s="321"/>
      <c r="E259" s="321"/>
      <c r="F259" s="321"/>
      <c r="G259" s="321"/>
      <c r="H259" s="321"/>
      <c r="I259" s="321"/>
      <c r="J259" s="321"/>
      <c r="K259" s="321"/>
    </row>
    <row r="260" spans="2:11">
      <c r="B260" s="321"/>
      <c r="C260" s="321"/>
      <c r="D260" s="321"/>
      <c r="E260" s="321"/>
      <c r="F260" s="321"/>
      <c r="G260" s="321"/>
      <c r="H260" s="321"/>
      <c r="I260" s="321"/>
      <c r="J260" s="321"/>
      <c r="K260" s="321"/>
    </row>
    <row r="261" spans="2:11">
      <c r="B261" s="321"/>
      <c r="C261" s="321"/>
      <c r="D261" s="321"/>
      <c r="E261" s="321"/>
      <c r="F261" s="321"/>
      <c r="G261" s="321"/>
      <c r="H261" s="321"/>
      <c r="I261" s="321"/>
      <c r="J261" s="321"/>
      <c r="K261" s="321"/>
    </row>
    <row r="262" spans="2:11">
      <c r="B262" s="321"/>
      <c r="C262" s="321"/>
      <c r="D262" s="321"/>
      <c r="E262" s="321"/>
      <c r="F262" s="321"/>
      <c r="G262" s="321"/>
      <c r="H262" s="321"/>
      <c r="I262" s="321"/>
      <c r="J262" s="321"/>
      <c r="K262" s="321"/>
    </row>
    <row r="263" spans="2:11">
      <c r="B263" s="321"/>
      <c r="C263" s="321"/>
      <c r="D263" s="321"/>
      <c r="E263" s="321"/>
      <c r="F263" s="321"/>
      <c r="G263" s="321"/>
      <c r="H263" s="321"/>
      <c r="I263" s="321"/>
      <c r="J263" s="321"/>
      <c r="K263" s="321"/>
    </row>
    <row r="264" spans="2:11">
      <c r="B264" s="321"/>
      <c r="C264" s="321"/>
      <c r="D264" s="321"/>
      <c r="E264" s="321"/>
      <c r="F264" s="321"/>
      <c r="G264" s="321"/>
      <c r="H264" s="321"/>
      <c r="I264" s="321"/>
      <c r="J264" s="321"/>
      <c r="K264" s="321"/>
    </row>
    <row r="265" spans="2:11">
      <c r="B265" s="321"/>
      <c r="C265" s="321"/>
      <c r="D265" s="321"/>
      <c r="E265" s="321"/>
      <c r="F265" s="321"/>
      <c r="G265" s="321"/>
      <c r="H265" s="321"/>
      <c r="I265" s="321"/>
      <c r="J265" s="321"/>
      <c r="K265" s="321"/>
    </row>
    <row r="266" spans="2:11">
      <c r="B266" s="321"/>
      <c r="C266" s="321"/>
      <c r="D266" s="321"/>
      <c r="E266" s="321"/>
      <c r="F266" s="321"/>
      <c r="G266" s="321"/>
      <c r="H266" s="321"/>
      <c r="I266" s="321"/>
      <c r="J266" s="321"/>
      <c r="K266" s="321"/>
    </row>
    <row r="267" spans="2:11">
      <c r="B267" s="321"/>
      <c r="C267" s="321"/>
      <c r="D267" s="321"/>
      <c r="E267" s="321"/>
      <c r="F267" s="321"/>
      <c r="G267" s="321"/>
      <c r="H267" s="321"/>
      <c r="I267" s="321"/>
      <c r="J267" s="321"/>
      <c r="K267" s="321"/>
    </row>
    <row r="268" spans="2:11">
      <c r="B268" s="321"/>
      <c r="C268" s="321"/>
      <c r="D268" s="321"/>
      <c r="E268" s="321"/>
      <c r="F268" s="321"/>
      <c r="G268" s="321"/>
      <c r="H268" s="321"/>
      <c r="I268" s="321"/>
      <c r="J268" s="321"/>
      <c r="K268" s="321"/>
    </row>
    <row r="269" spans="2:11">
      <c r="B269" s="321"/>
      <c r="C269" s="321"/>
      <c r="D269" s="321"/>
      <c r="E269" s="321"/>
      <c r="F269" s="321"/>
      <c r="G269" s="321"/>
      <c r="H269" s="321"/>
      <c r="I269" s="321"/>
      <c r="J269" s="321"/>
      <c r="K269" s="321"/>
    </row>
    <row r="270" spans="2:11">
      <c r="B270" s="321"/>
      <c r="C270" s="321"/>
      <c r="D270" s="321"/>
      <c r="E270" s="321"/>
      <c r="F270" s="321"/>
      <c r="G270" s="321"/>
      <c r="H270" s="321"/>
      <c r="I270" s="321"/>
      <c r="J270" s="321"/>
      <c r="K270" s="321"/>
    </row>
    <row r="271" spans="2:11">
      <c r="B271" s="321"/>
      <c r="C271" s="321"/>
      <c r="D271" s="321"/>
      <c r="E271" s="321"/>
      <c r="F271" s="321"/>
      <c r="G271" s="321"/>
      <c r="H271" s="321"/>
      <c r="I271" s="321"/>
      <c r="J271" s="321"/>
      <c r="K271" s="321"/>
    </row>
    <row r="272" spans="2:11">
      <c r="B272" s="321"/>
      <c r="C272" s="321"/>
      <c r="D272" s="321"/>
      <c r="E272" s="321"/>
      <c r="F272" s="321"/>
      <c r="G272" s="321"/>
      <c r="H272" s="321"/>
      <c r="I272" s="321"/>
      <c r="J272" s="321"/>
      <c r="K272" s="321"/>
    </row>
    <row r="273" spans="2:11">
      <c r="B273" s="321"/>
      <c r="C273" s="321"/>
      <c r="D273" s="321"/>
      <c r="E273" s="321"/>
      <c r="F273" s="321"/>
      <c r="G273" s="321"/>
      <c r="H273" s="321"/>
      <c r="I273" s="321"/>
      <c r="J273" s="321"/>
      <c r="K273" s="321"/>
    </row>
    <row r="274" spans="2:11">
      <c r="B274" s="321"/>
      <c r="C274" s="321"/>
      <c r="D274" s="321"/>
      <c r="E274" s="321"/>
      <c r="F274" s="321"/>
      <c r="G274" s="321"/>
      <c r="H274" s="321"/>
      <c r="I274" s="321"/>
      <c r="J274" s="321"/>
      <c r="K274" s="321"/>
    </row>
    <row r="275" spans="2:11">
      <c r="B275" s="321"/>
      <c r="C275" s="321"/>
      <c r="D275" s="321"/>
      <c r="E275" s="321"/>
      <c r="F275" s="321"/>
      <c r="G275" s="321"/>
      <c r="H275" s="321"/>
      <c r="I275" s="321"/>
      <c r="J275" s="321"/>
      <c r="K275" s="321"/>
    </row>
    <row r="276" spans="2:11">
      <c r="B276" s="334"/>
      <c r="C276" s="334"/>
      <c r="D276" s="334"/>
      <c r="E276" s="334"/>
      <c r="F276" s="334"/>
      <c r="G276" s="334"/>
      <c r="H276" s="334"/>
      <c r="I276" s="334"/>
      <c r="J276" s="334"/>
      <c r="K276" s="334"/>
    </row>
    <row r="277" spans="2:11">
      <c r="B277" s="334"/>
      <c r="C277" s="334"/>
      <c r="D277" s="334"/>
      <c r="E277" s="334"/>
      <c r="F277" s="334"/>
      <c r="G277" s="334"/>
      <c r="H277" s="334"/>
      <c r="I277" s="334"/>
      <c r="J277" s="334"/>
      <c r="K277" s="334"/>
    </row>
    <row r="278" spans="2:11">
      <c r="B278" s="334"/>
      <c r="C278" s="334"/>
      <c r="D278" s="334"/>
      <c r="E278" s="334"/>
      <c r="F278" s="334"/>
      <c r="G278" s="334"/>
      <c r="H278" s="334"/>
      <c r="I278" s="334"/>
      <c r="J278" s="334"/>
      <c r="K278" s="334"/>
    </row>
    <row r="279" spans="2:11">
      <c r="B279" s="334"/>
      <c r="C279" s="334"/>
      <c r="D279" s="334"/>
      <c r="E279" s="334"/>
      <c r="F279" s="334"/>
      <c r="G279" s="334"/>
      <c r="H279" s="334"/>
      <c r="I279" s="334"/>
      <c r="J279" s="334"/>
      <c r="K279" s="334"/>
    </row>
    <row r="280" spans="2:11">
      <c r="B280" s="334"/>
      <c r="C280" s="334"/>
      <c r="D280" s="334"/>
      <c r="E280" s="334"/>
      <c r="F280" s="334"/>
      <c r="G280" s="334"/>
      <c r="H280" s="334"/>
      <c r="I280" s="334"/>
      <c r="J280" s="334"/>
      <c r="K280" s="334"/>
    </row>
    <row r="281" spans="2:11">
      <c r="B281" s="334"/>
      <c r="C281" s="334"/>
      <c r="D281" s="334"/>
      <c r="E281" s="334"/>
      <c r="F281" s="334"/>
      <c r="G281" s="334"/>
      <c r="H281" s="334"/>
      <c r="I281" s="334"/>
      <c r="J281" s="334"/>
      <c r="K281" s="334"/>
    </row>
    <row r="282" spans="2:11">
      <c r="B282" s="334"/>
      <c r="C282" s="334"/>
      <c r="D282" s="334"/>
      <c r="E282" s="334"/>
      <c r="F282" s="334"/>
      <c r="G282" s="334"/>
      <c r="H282" s="334"/>
      <c r="I282" s="334"/>
      <c r="J282" s="334"/>
      <c r="K282" s="334"/>
    </row>
    <row r="283" spans="2:11">
      <c r="B283" s="334"/>
      <c r="C283" s="334"/>
      <c r="D283" s="334"/>
      <c r="E283" s="334"/>
      <c r="F283" s="334"/>
      <c r="G283" s="334"/>
      <c r="H283" s="334"/>
      <c r="I283" s="334"/>
      <c r="J283" s="334"/>
      <c r="K283" s="334"/>
    </row>
    <row r="284" spans="2:11">
      <c r="B284" s="334"/>
      <c r="C284" s="334"/>
      <c r="D284" s="334"/>
      <c r="E284" s="334"/>
      <c r="F284" s="334"/>
      <c r="G284" s="334"/>
      <c r="H284" s="334"/>
      <c r="I284" s="334"/>
      <c r="J284" s="334"/>
      <c r="K284" s="334"/>
    </row>
    <row r="285" spans="2:11">
      <c r="B285" s="334"/>
      <c r="C285" s="334"/>
      <c r="D285" s="334"/>
      <c r="E285" s="334"/>
      <c r="F285" s="334"/>
      <c r="G285" s="334"/>
      <c r="H285" s="334"/>
      <c r="I285" s="334"/>
      <c r="J285" s="334"/>
      <c r="K285" s="334"/>
    </row>
    <row r="286" spans="2:11">
      <c r="B286" s="334"/>
      <c r="C286" s="334"/>
      <c r="D286" s="334"/>
      <c r="E286" s="334"/>
      <c r="F286" s="334"/>
      <c r="G286" s="334"/>
      <c r="H286" s="334"/>
      <c r="I286" s="334"/>
      <c r="J286" s="334"/>
      <c r="K286" s="334"/>
    </row>
    <row r="287" spans="2:11">
      <c r="B287" s="334"/>
      <c r="C287" s="334"/>
      <c r="D287" s="334"/>
      <c r="E287" s="334"/>
      <c r="F287" s="334"/>
      <c r="G287" s="334"/>
      <c r="H287" s="334"/>
      <c r="I287" s="334"/>
      <c r="J287" s="334"/>
      <c r="K287" s="334"/>
    </row>
    <row r="288" spans="2:11">
      <c r="B288" s="334"/>
      <c r="C288" s="334"/>
      <c r="D288" s="334"/>
      <c r="E288" s="334"/>
      <c r="F288" s="334"/>
      <c r="G288" s="334"/>
      <c r="H288" s="334"/>
      <c r="I288" s="334"/>
      <c r="J288" s="334"/>
      <c r="K288" s="334"/>
    </row>
    <row r="289" spans="2:11">
      <c r="B289" s="334"/>
      <c r="C289" s="334"/>
      <c r="D289" s="334"/>
      <c r="E289" s="334"/>
      <c r="F289" s="334"/>
      <c r="G289" s="334"/>
      <c r="H289" s="334"/>
      <c r="I289" s="334"/>
      <c r="J289" s="334"/>
      <c r="K289" s="334"/>
    </row>
    <row r="290" spans="2:11">
      <c r="B290" s="334"/>
      <c r="C290" s="334"/>
      <c r="D290" s="334"/>
      <c r="E290" s="334"/>
      <c r="F290" s="334"/>
      <c r="G290" s="334"/>
      <c r="H290" s="334"/>
      <c r="I290" s="334"/>
      <c r="J290" s="334"/>
      <c r="K290" s="334"/>
    </row>
    <row r="291" spans="2:11">
      <c r="B291" s="334"/>
      <c r="C291" s="334"/>
      <c r="D291" s="334"/>
      <c r="E291" s="334"/>
      <c r="F291" s="334"/>
      <c r="G291" s="334"/>
      <c r="H291" s="334"/>
      <c r="I291" s="334"/>
      <c r="J291" s="334"/>
      <c r="K291" s="334"/>
    </row>
    <row r="292" spans="2:11">
      <c r="B292" s="334"/>
      <c r="C292" s="334"/>
      <c r="D292" s="334"/>
      <c r="E292" s="334"/>
      <c r="F292" s="334"/>
      <c r="G292" s="334"/>
      <c r="H292" s="334"/>
      <c r="I292" s="334"/>
      <c r="J292" s="334"/>
      <c r="K292" s="334"/>
    </row>
    <row r="293" spans="2:11">
      <c r="B293" s="334"/>
      <c r="C293" s="334"/>
      <c r="D293" s="334"/>
      <c r="E293" s="334"/>
      <c r="F293" s="334"/>
      <c r="G293" s="334"/>
      <c r="H293" s="334"/>
      <c r="I293" s="334"/>
      <c r="J293" s="334"/>
      <c r="K293" s="334"/>
    </row>
    <row r="294" spans="2:11">
      <c r="B294" s="334"/>
      <c r="C294" s="334"/>
      <c r="D294" s="334"/>
      <c r="E294" s="334"/>
      <c r="F294" s="334"/>
      <c r="G294" s="334"/>
      <c r="H294" s="334"/>
      <c r="I294" s="334"/>
      <c r="J294" s="334"/>
      <c r="K294" s="334"/>
    </row>
    <row r="295" spans="2:11">
      <c r="B295" s="334"/>
      <c r="C295" s="334"/>
      <c r="D295" s="334"/>
      <c r="E295" s="334"/>
      <c r="F295" s="334"/>
      <c r="G295" s="334"/>
      <c r="H295" s="334"/>
      <c r="I295" s="334"/>
      <c r="J295" s="334"/>
      <c r="K295" s="334"/>
    </row>
    <row r="296" spans="2:11">
      <c r="B296" s="334"/>
      <c r="C296" s="334"/>
      <c r="D296" s="334"/>
      <c r="E296" s="334"/>
      <c r="F296" s="334"/>
      <c r="G296" s="334"/>
      <c r="H296" s="334"/>
      <c r="I296" s="334"/>
      <c r="J296" s="334"/>
      <c r="K296" s="334"/>
    </row>
    <row r="297" spans="2:11">
      <c r="B297" s="334"/>
      <c r="C297" s="334"/>
      <c r="D297" s="334"/>
      <c r="E297" s="334"/>
      <c r="F297" s="334"/>
      <c r="G297" s="334"/>
      <c r="H297" s="334"/>
      <c r="I297" s="334"/>
      <c r="J297" s="334"/>
      <c r="K297" s="334"/>
    </row>
    <row r="298" spans="2:11">
      <c r="B298" s="334"/>
      <c r="C298" s="334"/>
      <c r="D298" s="334"/>
      <c r="E298" s="334"/>
      <c r="F298" s="334"/>
      <c r="G298" s="334"/>
      <c r="H298" s="334"/>
      <c r="I298" s="334"/>
      <c r="J298" s="334"/>
      <c r="K298" s="334"/>
    </row>
    <row r="299" spans="2:11">
      <c r="B299" s="334"/>
      <c r="C299" s="334"/>
      <c r="D299" s="334"/>
      <c r="E299" s="334"/>
      <c r="F299" s="334"/>
      <c r="G299" s="334"/>
      <c r="H299" s="334"/>
      <c r="I299" s="334"/>
      <c r="J299" s="334"/>
      <c r="K299" s="334"/>
    </row>
    <row r="300" spans="2:11">
      <c r="B300" s="334"/>
      <c r="C300" s="334"/>
      <c r="D300" s="334"/>
      <c r="E300" s="334"/>
      <c r="F300" s="334"/>
      <c r="G300" s="334"/>
      <c r="H300" s="334"/>
      <c r="I300" s="334"/>
      <c r="J300" s="334"/>
      <c r="K300" s="334"/>
    </row>
    <row r="301" spans="2:11">
      <c r="B301" s="334"/>
      <c r="C301" s="334"/>
      <c r="D301" s="334"/>
      <c r="E301" s="334"/>
      <c r="F301" s="334"/>
      <c r="G301" s="334"/>
      <c r="H301" s="334"/>
      <c r="I301" s="334"/>
      <c r="J301" s="334"/>
      <c r="K301" s="334"/>
    </row>
    <row r="302" spans="2:11">
      <c r="B302" s="334"/>
      <c r="C302" s="334"/>
      <c r="D302" s="334"/>
      <c r="E302" s="334"/>
      <c r="F302" s="334"/>
      <c r="G302" s="334"/>
      <c r="H302" s="334"/>
      <c r="I302" s="334"/>
      <c r="J302" s="334"/>
      <c r="K302" s="334"/>
    </row>
    <row r="303" spans="2:11">
      <c r="B303" s="334"/>
      <c r="C303" s="334"/>
      <c r="D303" s="334"/>
      <c r="E303" s="334"/>
      <c r="F303" s="334"/>
      <c r="G303" s="334"/>
      <c r="H303" s="334"/>
      <c r="I303" s="334"/>
      <c r="J303" s="334"/>
      <c r="K303" s="334"/>
    </row>
    <row r="304" spans="2:11">
      <c r="B304" s="334"/>
      <c r="C304" s="334"/>
      <c r="D304" s="334"/>
      <c r="E304" s="334"/>
      <c r="F304" s="334"/>
      <c r="G304" s="334"/>
      <c r="H304" s="334"/>
      <c r="I304" s="334"/>
      <c r="J304" s="334"/>
      <c r="K304" s="334"/>
    </row>
    <row r="305" spans="2:11">
      <c r="B305" s="334"/>
      <c r="C305" s="334"/>
      <c r="D305" s="334"/>
      <c r="E305" s="334"/>
      <c r="F305" s="334"/>
      <c r="G305" s="334"/>
      <c r="H305" s="334"/>
      <c r="I305" s="334"/>
      <c r="J305" s="334"/>
      <c r="K305" s="334"/>
    </row>
    <row r="306" spans="2:11">
      <c r="B306" s="334"/>
      <c r="C306" s="334"/>
      <c r="D306" s="334"/>
      <c r="E306" s="334"/>
      <c r="F306" s="334"/>
      <c r="G306" s="334"/>
      <c r="H306" s="334"/>
      <c r="I306" s="334"/>
      <c r="J306" s="334"/>
      <c r="K306" s="334"/>
    </row>
    <row r="307" spans="2:11">
      <c r="B307" s="334"/>
      <c r="C307" s="334"/>
      <c r="D307" s="334"/>
      <c r="E307" s="334"/>
      <c r="F307" s="334"/>
      <c r="G307" s="334"/>
      <c r="H307" s="334"/>
      <c r="I307" s="334"/>
      <c r="J307" s="334"/>
      <c r="K307" s="334"/>
    </row>
    <row r="308" spans="2:11">
      <c r="B308" s="334"/>
      <c r="C308" s="334"/>
      <c r="D308" s="334"/>
      <c r="E308" s="334"/>
      <c r="F308" s="334"/>
      <c r="G308" s="334"/>
      <c r="H308" s="334"/>
      <c r="I308" s="334"/>
      <c r="J308" s="334"/>
      <c r="K308" s="334"/>
    </row>
    <row r="309" spans="2:11">
      <c r="B309" s="334"/>
      <c r="C309" s="334"/>
      <c r="D309" s="334"/>
      <c r="E309" s="334"/>
      <c r="F309" s="334"/>
      <c r="G309" s="334"/>
      <c r="H309" s="334"/>
      <c r="I309" s="334"/>
      <c r="J309" s="334"/>
      <c r="K309" s="334"/>
    </row>
    <row r="310" spans="2:11">
      <c r="B310" s="334"/>
      <c r="C310" s="334"/>
      <c r="D310" s="334"/>
      <c r="E310" s="334"/>
      <c r="F310" s="334"/>
      <c r="G310" s="334"/>
      <c r="H310" s="334"/>
      <c r="I310" s="334"/>
      <c r="J310" s="334"/>
      <c r="K310" s="334"/>
    </row>
    <row r="311" spans="2:11">
      <c r="B311" s="334"/>
      <c r="C311" s="334"/>
      <c r="D311" s="334"/>
      <c r="E311" s="334"/>
      <c r="F311" s="334"/>
      <c r="G311" s="334"/>
      <c r="H311" s="334"/>
      <c r="I311" s="334"/>
      <c r="J311" s="334"/>
      <c r="K311" s="334"/>
    </row>
    <row r="312" spans="2:11">
      <c r="B312" s="334"/>
      <c r="C312" s="334"/>
      <c r="D312" s="334"/>
      <c r="E312" s="334"/>
      <c r="F312" s="334"/>
      <c r="G312" s="334"/>
      <c r="H312" s="334"/>
      <c r="I312" s="334"/>
      <c r="J312" s="334"/>
      <c r="K312" s="334"/>
    </row>
    <row r="313" spans="2:11">
      <c r="B313" s="334"/>
      <c r="C313" s="334"/>
      <c r="D313" s="334"/>
      <c r="E313" s="334"/>
      <c r="F313" s="334"/>
      <c r="G313" s="334"/>
      <c r="H313" s="334"/>
      <c r="I313" s="334"/>
      <c r="J313" s="334"/>
      <c r="K313" s="334"/>
    </row>
    <row r="314" spans="2:11">
      <c r="B314" s="334"/>
      <c r="C314" s="334"/>
      <c r="D314" s="334"/>
      <c r="E314" s="334"/>
      <c r="F314" s="334"/>
      <c r="G314" s="334"/>
      <c r="H314" s="334"/>
      <c r="I314" s="334"/>
      <c r="J314" s="334"/>
      <c r="K314" s="334"/>
    </row>
    <row r="315" spans="2:11">
      <c r="B315" s="334"/>
      <c r="C315" s="334"/>
      <c r="D315" s="334"/>
      <c r="E315" s="334"/>
      <c r="F315" s="334"/>
      <c r="G315" s="334"/>
      <c r="H315" s="334"/>
      <c r="I315" s="334"/>
      <c r="J315" s="334"/>
      <c r="K315" s="334"/>
    </row>
  </sheetData>
  <mergeCells count="50">
    <mergeCell ref="E23:F23"/>
    <mergeCell ref="A1:D1"/>
    <mergeCell ref="B2:D2"/>
    <mergeCell ref="B3:G3"/>
    <mergeCell ref="C5:D5"/>
    <mergeCell ref="C6:D6"/>
    <mergeCell ref="A8:B10"/>
    <mergeCell ref="C9:D9"/>
    <mergeCell ref="C10:D10"/>
    <mergeCell ref="C15:D15"/>
    <mergeCell ref="E18:J18"/>
    <mergeCell ref="E19:K19"/>
    <mergeCell ref="E21:K21"/>
    <mergeCell ref="A22:B22"/>
    <mergeCell ref="I36:K36"/>
    <mergeCell ref="A25:B25"/>
    <mergeCell ref="E25:K25"/>
    <mergeCell ref="E27:K27"/>
    <mergeCell ref="A29:B29"/>
    <mergeCell ref="E29:K29"/>
    <mergeCell ref="E31:K31"/>
    <mergeCell ref="G32:I32"/>
    <mergeCell ref="J32:K32"/>
    <mergeCell ref="B33:J33"/>
    <mergeCell ref="I34:J34"/>
    <mergeCell ref="I35:K35"/>
    <mergeCell ref="C47:J47"/>
    <mergeCell ref="I37:K37"/>
    <mergeCell ref="D38:E38"/>
    <mergeCell ref="J38:K38"/>
    <mergeCell ref="D39:I39"/>
    <mergeCell ref="B40:J40"/>
    <mergeCell ref="C41:G41"/>
    <mergeCell ref="C42:J42"/>
    <mergeCell ref="B43:J43"/>
    <mergeCell ref="C44:J44"/>
    <mergeCell ref="B45:J45"/>
    <mergeCell ref="B46:J46"/>
    <mergeCell ref="B59:J59"/>
    <mergeCell ref="B48:J48"/>
    <mergeCell ref="C49:J49"/>
    <mergeCell ref="B50:J50"/>
    <mergeCell ref="C51:J51"/>
    <mergeCell ref="B52:J52"/>
    <mergeCell ref="C53:J53"/>
    <mergeCell ref="B54:J54"/>
    <mergeCell ref="C55:J55"/>
    <mergeCell ref="B56:J56"/>
    <mergeCell ref="B57:J57"/>
    <mergeCell ref="C58:J58"/>
  </mergeCells>
  <printOptions horizontalCentered="1"/>
  <pageMargins left="0.63" right="0.35" top="0.17" bottom="0.31" header="0.17" footer="0.16"/>
  <pageSetup paperSize="9" scale="90"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50"/>
  </sheetPr>
  <dimension ref="A1:I19"/>
  <sheetViews>
    <sheetView topLeftCell="A10" zoomScale="115" zoomScaleNormal="115" workbookViewId="0">
      <selection activeCell="D17" sqref="D17"/>
    </sheetView>
  </sheetViews>
  <sheetFormatPr defaultRowHeight="12.75"/>
  <cols>
    <col min="1" max="1" width="9.140625" style="337"/>
    <col min="2" max="2" width="12.5703125" style="337" customWidth="1"/>
    <col min="3" max="6" width="9.140625" style="337"/>
    <col min="7" max="7" width="11" style="337" customWidth="1"/>
    <col min="8" max="8" width="11.28515625" style="337" customWidth="1"/>
    <col min="9" max="257" width="9.140625" style="337"/>
    <col min="258" max="258" width="12.5703125" style="337" customWidth="1"/>
    <col min="259" max="262" width="9.140625" style="337"/>
    <col min="263" max="263" width="11" style="337" customWidth="1"/>
    <col min="264" max="264" width="11.28515625" style="337" customWidth="1"/>
    <col min="265" max="513" width="9.140625" style="337"/>
    <col min="514" max="514" width="12.5703125" style="337" customWidth="1"/>
    <col min="515" max="518" width="9.140625" style="337"/>
    <col min="519" max="519" width="11" style="337" customWidth="1"/>
    <col min="520" max="520" width="11.28515625" style="337" customWidth="1"/>
    <col min="521" max="769" width="9.140625" style="337"/>
    <col min="770" max="770" width="12.5703125" style="337" customWidth="1"/>
    <col min="771" max="774" width="9.140625" style="337"/>
    <col min="775" max="775" width="11" style="337" customWidth="1"/>
    <col min="776" max="776" width="11.28515625" style="337" customWidth="1"/>
    <col min="777" max="1025" width="9.140625" style="337"/>
    <col min="1026" max="1026" width="12.5703125" style="337" customWidth="1"/>
    <col min="1027" max="1030" width="9.140625" style="337"/>
    <col min="1031" max="1031" width="11" style="337" customWidth="1"/>
    <col min="1032" max="1032" width="11.28515625" style="337" customWidth="1"/>
    <col min="1033" max="1281" width="9.140625" style="337"/>
    <col min="1282" max="1282" width="12.5703125" style="337" customWidth="1"/>
    <col min="1283" max="1286" width="9.140625" style="337"/>
    <col min="1287" max="1287" width="11" style="337" customWidth="1"/>
    <col min="1288" max="1288" width="11.28515625" style="337" customWidth="1"/>
    <col min="1289" max="1537" width="9.140625" style="337"/>
    <col min="1538" max="1538" width="12.5703125" style="337" customWidth="1"/>
    <col min="1539" max="1542" width="9.140625" style="337"/>
    <col min="1543" max="1543" width="11" style="337" customWidth="1"/>
    <col min="1544" max="1544" width="11.28515625" style="337" customWidth="1"/>
    <col min="1545" max="1793" width="9.140625" style="337"/>
    <col min="1794" max="1794" width="12.5703125" style="337" customWidth="1"/>
    <col min="1795" max="1798" width="9.140625" style="337"/>
    <col min="1799" max="1799" width="11" style="337" customWidth="1"/>
    <col min="1800" max="1800" width="11.28515625" style="337" customWidth="1"/>
    <col min="1801" max="2049" width="9.140625" style="337"/>
    <col min="2050" max="2050" width="12.5703125" style="337" customWidth="1"/>
    <col min="2051" max="2054" width="9.140625" style="337"/>
    <col min="2055" max="2055" width="11" style="337" customWidth="1"/>
    <col min="2056" max="2056" width="11.28515625" style="337" customWidth="1"/>
    <col min="2057" max="2305" width="9.140625" style="337"/>
    <col min="2306" max="2306" width="12.5703125" style="337" customWidth="1"/>
    <col min="2307" max="2310" width="9.140625" style="337"/>
    <col min="2311" max="2311" width="11" style="337" customWidth="1"/>
    <col min="2312" max="2312" width="11.28515625" style="337" customWidth="1"/>
    <col min="2313" max="2561" width="9.140625" style="337"/>
    <col min="2562" max="2562" width="12.5703125" style="337" customWidth="1"/>
    <col min="2563" max="2566" width="9.140625" style="337"/>
    <col min="2567" max="2567" width="11" style="337" customWidth="1"/>
    <col min="2568" max="2568" width="11.28515625" style="337" customWidth="1"/>
    <col min="2569" max="2817" width="9.140625" style="337"/>
    <col min="2818" max="2818" width="12.5703125" style="337" customWidth="1"/>
    <col min="2819" max="2822" width="9.140625" style="337"/>
    <col min="2823" max="2823" width="11" style="337" customWidth="1"/>
    <col min="2824" max="2824" width="11.28515625" style="337" customWidth="1"/>
    <col min="2825" max="3073" width="9.140625" style="337"/>
    <col min="3074" max="3074" width="12.5703125" style="337" customWidth="1"/>
    <col min="3075" max="3078" width="9.140625" style="337"/>
    <col min="3079" max="3079" width="11" style="337" customWidth="1"/>
    <col min="3080" max="3080" width="11.28515625" style="337" customWidth="1"/>
    <col min="3081" max="3329" width="9.140625" style="337"/>
    <col min="3330" max="3330" width="12.5703125" style="337" customWidth="1"/>
    <col min="3331" max="3334" width="9.140625" style="337"/>
    <col min="3335" max="3335" width="11" style="337" customWidth="1"/>
    <col min="3336" max="3336" width="11.28515625" style="337" customWidth="1"/>
    <col min="3337" max="3585" width="9.140625" style="337"/>
    <col min="3586" max="3586" width="12.5703125" style="337" customWidth="1"/>
    <col min="3587" max="3590" width="9.140625" style="337"/>
    <col min="3591" max="3591" width="11" style="337" customWidth="1"/>
    <col min="3592" max="3592" width="11.28515625" style="337" customWidth="1"/>
    <col min="3593" max="3841" width="9.140625" style="337"/>
    <col min="3842" max="3842" width="12.5703125" style="337" customWidth="1"/>
    <col min="3843" max="3846" width="9.140625" style="337"/>
    <col min="3847" max="3847" width="11" style="337" customWidth="1"/>
    <col min="3848" max="3848" width="11.28515625" style="337" customWidth="1"/>
    <col min="3849" max="4097" width="9.140625" style="337"/>
    <col min="4098" max="4098" width="12.5703125" style="337" customWidth="1"/>
    <col min="4099" max="4102" width="9.140625" style="337"/>
    <col min="4103" max="4103" width="11" style="337" customWidth="1"/>
    <col min="4104" max="4104" width="11.28515625" style="337" customWidth="1"/>
    <col min="4105" max="4353" width="9.140625" style="337"/>
    <col min="4354" max="4354" width="12.5703125" style="337" customWidth="1"/>
    <col min="4355" max="4358" width="9.140625" style="337"/>
    <col min="4359" max="4359" width="11" style="337" customWidth="1"/>
    <col min="4360" max="4360" width="11.28515625" style="337" customWidth="1"/>
    <col min="4361" max="4609" width="9.140625" style="337"/>
    <col min="4610" max="4610" width="12.5703125" style="337" customWidth="1"/>
    <col min="4611" max="4614" width="9.140625" style="337"/>
    <col min="4615" max="4615" width="11" style="337" customWidth="1"/>
    <col min="4616" max="4616" width="11.28515625" style="337" customWidth="1"/>
    <col min="4617" max="4865" width="9.140625" style="337"/>
    <col min="4866" max="4866" width="12.5703125" style="337" customWidth="1"/>
    <col min="4867" max="4870" width="9.140625" style="337"/>
    <col min="4871" max="4871" width="11" style="337" customWidth="1"/>
    <col min="4872" max="4872" width="11.28515625" style="337" customWidth="1"/>
    <col min="4873" max="5121" width="9.140625" style="337"/>
    <col min="5122" max="5122" width="12.5703125" style="337" customWidth="1"/>
    <col min="5123" max="5126" width="9.140625" style="337"/>
    <col min="5127" max="5127" width="11" style="337" customWidth="1"/>
    <col min="5128" max="5128" width="11.28515625" style="337" customWidth="1"/>
    <col min="5129" max="5377" width="9.140625" style="337"/>
    <col min="5378" max="5378" width="12.5703125" style="337" customWidth="1"/>
    <col min="5379" max="5382" width="9.140625" style="337"/>
    <col min="5383" max="5383" width="11" style="337" customWidth="1"/>
    <col min="5384" max="5384" width="11.28515625" style="337" customWidth="1"/>
    <col min="5385" max="5633" width="9.140625" style="337"/>
    <col min="5634" max="5634" width="12.5703125" style="337" customWidth="1"/>
    <col min="5635" max="5638" width="9.140625" style="337"/>
    <col min="5639" max="5639" width="11" style="337" customWidth="1"/>
    <col min="5640" max="5640" width="11.28515625" style="337" customWidth="1"/>
    <col min="5641" max="5889" width="9.140625" style="337"/>
    <col min="5890" max="5890" width="12.5703125" style="337" customWidth="1"/>
    <col min="5891" max="5894" width="9.140625" style="337"/>
    <col min="5895" max="5895" width="11" style="337" customWidth="1"/>
    <col min="5896" max="5896" width="11.28515625" style="337" customWidth="1"/>
    <col min="5897" max="6145" width="9.140625" style="337"/>
    <col min="6146" max="6146" width="12.5703125" style="337" customWidth="1"/>
    <col min="6147" max="6150" width="9.140625" style="337"/>
    <col min="6151" max="6151" width="11" style="337" customWidth="1"/>
    <col min="6152" max="6152" width="11.28515625" style="337" customWidth="1"/>
    <col min="6153" max="6401" width="9.140625" style="337"/>
    <col min="6402" max="6402" width="12.5703125" style="337" customWidth="1"/>
    <col min="6403" max="6406" width="9.140625" style="337"/>
    <col min="6407" max="6407" width="11" style="337" customWidth="1"/>
    <col min="6408" max="6408" width="11.28515625" style="337" customWidth="1"/>
    <col min="6409" max="6657" width="9.140625" style="337"/>
    <col min="6658" max="6658" width="12.5703125" style="337" customWidth="1"/>
    <col min="6659" max="6662" width="9.140625" style="337"/>
    <col min="6663" max="6663" width="11" style="337" customWidth="1"/>
    <col min="6664" max="6664" width="11.28515625" style="337" customWidth="1"/>
    <col min="6665" max="6913" width="9.140625" style="337"/>
    <col min="6914" max="6914" width="12.5703125" style="337" customWidth="1"/>
    <col min="6915" max="6918" width="9.140625" style="337"/>
    <col min="6919" max="6919" width="11" style="337" customWidth="1"/>
    <col min="6920" max="6920" width="11.28515625" style="337" customWidth="1"/>
    <col min="6921" max="7169" width="9.140625" style="337"/>
    <col min="7170" max="7170" width="12.5703125" style="337" customWidth="1"/>
    <col min="7171" max="7174" width="9.140625" style="337"/>
    <col min="7175" max="7175" width="11" style="337" customWidth="1"/>
    <col min="7176" max="7176" width="11.28515625" style="337" customWidth="1"/>
    <col min="7177" max="7425" width="9.140625" style="337"/>
    <col min="7426" max="7426" width="12.5703125" style="337" customWidth="1"/>
    <col min="7427" max="7430" width="9.140625" style="337"/>
    <col min="7431" max="7431" width="11" style="337" customWidth="1"/>
    <col min="7432" max="7432" width="11.28515625" style="337" customWidth="1"/>
    <col min="7433" max="7681" width="9.140625" style="337"/>
    <col min="7682" max="7682" width="12.5703125" style="337" customWidth="1"/>
    <col min="7683" max="7686" width="9.140625" style="337"/>
    <col min="7687" max="7687" width="11" style="337" customWidth="1"/>
    <col min="7688" max="7688" width="11.28515625" style="337" customWidth="1"/>
    <col min="7689" max="7937" width="9.140625" style="337"/>
    <col min="7938" max="7938" width="12.5703125" style="337" customWidth="1"/>
    <col min="7939" max="7942" width="9.140625" style="337"/>
    <col min="7943" max="7943" width="11" style="337" customWidth="1"/>
    <col min="7944" max="7944" width="11.28515625" style="337" customWidth="1"/>
    <col min="7945" max="8193" width="9.140625" style="337"/>
    <col min="8194" max="8194" width="12.5703125" style="337" customWidth="1"/>
    <col min="8195" max="8198" width="9.140625" style="337"/>
    <col min="8199" max="8199" width="11" style="337" customWidth="1"/>
    <col min="8200" max="8200" width="11.28515625" style="337" customWidth="1"/>
    <col min="8201" max="8449" width="9.140625" style="337"/>
    <col min="8450" max="8450" width="12.5703125" style="337" customWidth="1"/>
    <col min="8451" max="8454" width="9.140625" style="337"/>
    <col min="8455" max="8455" width="11" style="337" customWidth="1"/>
    <col min="8456" max="8456" width="11.28515625" style="337" customWidth="1"/>
    <col min="8457" max="8705" width="9.140625" style="337"/>
    <col min="8706" max="8706" width="12.5703125" style="337" customWidth="1"/>
    <col min="8707" max="8710" width="9.140625" style="337"/>
    <col min="8711" max="8711" width="11" style="337" customWidth="1"/>
    <col min="8712" max="8712" width="11.28515625" style="337" customWidth="1"/>
    <col min="8713" max="8961" width="9.140625" style="337"/>
    <col min="8962" max="8962" width="12.5703125" style="337" customWidth="1"/>
    <col min="8963" max="8966" width="9.140625" style="337"/>
    <col min="8967" max="8967" width="11" style="337" customWidth="1"/>
    <col min="8968" max="8968" width="11.28515625" style="337" customWidth="1"/>
    <col min="8969" max="9217" width="9.140625" style="337"/>
    <col min="9218" max="9218" width="12.5703125" style="337" customWidth="1"/>
    <col min="9219" max="9222" width="9.140625" style="337"/>
    <col min="9223" max="9223" width="11" style="337" customWidth="1"/>
    <col min="9224" max="9224" width="11.28515625" style="337" customWidth="1"/>
    <col min="9225" max="9473" width="9.140625" style="337"/>
    <col min="9474" max="9474" width="12.5703125" style="337" customWidth="1"/>
    <col min="9475" max="9478" width="9.140625" style="337"/>
    <col min="9479" max="9479" width="11" style="337" customWidth="1"/>
    <col min="9480" max="9480" width="11.28515625" style="337" customWidth="1"/>
    <col min="9481" max="9729" width="9.140625" style="337"/>
    <col min="9730" max="9730" width="12.5703125" style="337" customWidth="1"/>
    <col min="9731" max="9734" width="9.140625" style="337"/>
    <col min="9735" max="9735" width="11" style="337" customWidth="1"/>
    <col min="9736" max="9736" width="11.28515625" style="337" customWidth="1"/>
    <col min="9737" max="9985" width="9.140625" style="337"/>
    <col min="9986" max="9986" width="12.5703125" style="337" customWidth="1"/>
    <col min="9987" max="9990" width="9.140625" style="337"/>
    <col min="9991" max="9991" width="11" style="337" customWidth="1"/>
    <col min="9992" max="9992" width="11.28515625" style="337" customWidth="1"/>
    <col min="9993" max="10241" width="9.140625" style="337"/>
    <col min="10242" max="10242" width="12.5703125" style="337" customWidth="1"/>
    <col min="10243" max="10246" width="9.140625" style="337"/>
    <col min="10247" max="10247" width="11" style="337" customWidth="1"/>
    <col min="10248" max="10248" width="11.28515625" style="337" customWidth="1"/>
    <col min="10249" max="10497" width="9.140625" style="337"/>
    <col min="10498" max="10498" width="12.5703125" style="337" customWidth="1"/>
    <col min="10499" max="10502" width="9.140625" style="337"/>
    <col min="10503" max="10503" width="11" style="337" customWidth="1"/>
    <col min="10504" max="10504" width="11.28515625" style="337" customWidth="1"/>
    <col min="10505" max="10753" width="9.140625" style="337"/>
    <col min="10754" max="10754" width="12.5703125" style="337" customWidth="1"/>
    <col min="10755" max="10758" width="9.140625" style="337"/>
    <col min="10759" max="10759" width="11" style="337" customWidth="1"/>
    <col min="10760" max="10760" width="11.28515625" style="337" customWidth="1"/>
    <col min="10761" max="11009" width="9.140625" style="337"/>
    <col min="11010" max="11010" width="12.5703125" style="337" customWidth="1"/>
    <col min="11011" max="11014" width="9.140625" style="337"/>
    <col min="11015" max="11015" width="11" style="337" customWidth="1"/>
    <col min="11016" max="11016" width="11.28515625" style="337" customWidth="1"/>
    <col min="11017" max="11265" width="9.140625" style="337"/>
    <col min="11266" max="11266" width="12.5703125" style="337" customWidth="1"/>
    <col min="11267" max="11270" width="9.140625" style="337"/>
    <col min="11271" max="11271" width="11" style="337" customWidth="1"/>
    <col min="11272" max="11272" width="11.28515625" style="337" customWidth="1"/>
    <col min="11273" max="11521" width="9.140625" style="337"/>
    <col min="11522" max="11522" width="12.5703125" style="337" customWidth="1"/>
    <col min="11523" max="11526" width="9.140625" style="337"/>
    <col min="11527" max="11527" width="11" style="337" customWidth="1"/>
    <col min="11528" max="11528" width="11.28515625" style="337" customWidth="1"/>
    <col min="11529" max="11777" width="9.140625" style="337"/>
    <col min="11778" max="11778" width="12.5703125" style="337" customWidth="1"/>
    <col min="11779" max="11782" width="9.140625" style="337"/>
    <col min="11783" max="11783" width="11" style="337" customWidth="1"/>
    <col min="11784" max="11784" width="11.28515625" style="337" customWidth="1"/>
    <col min="11785" max="12033" width="9.140625" style="337"/>
    <col min="12034" max="12034" width="12.5703125" style="337" customWidth="1"/>
    <col min="12035" max="12038" width="9.140625" style="337"/>
    <col min="12039" max="12039" width="11" style="337" customWidth="1"/>
    <col min="12040" max="12040" width="11.28515625" style="337" customWidth="1"/>
    <col min="12041" max="12289" width="9.140625" style="337"/>
    <col min="12290" max="12290" width="12.5703125" style="337" customWidth="1"/>
    <col min="12291" max="12294" width="9.140625" style="337"/>
    <col min="12295" max="12295" width="11" style="337" customWidth="1"/>
    <col min="12296" max="12296" width="11.28515625" style="337" customWidth="1"/>
    <col min="12297" max="12545" width="9.140625" style="337"/>
    <col min="12546" max="12546" width="12.5703125" style="337" customWidth="1"/>
    <col min="12547" max="12550" width="9.140625" style="337"/>
    <col min="12551" max="12551" width="11" style="337" customWidth="1"/>
    <col min="12552" max="12552" width="11.28515625" style="337" customWidth="1"/>
    <col min="12553" max="12801" width="9.140625" style="337"/>
    <col min="12802" max="12802" width="12.5703125" style="337" customWidth="1"/>
    <col min="12803" max="12806" width="9.140625" style="337"/>
    <col min="12807" max="12807" width="11" style="337" customWidth="1"/>
    <col min="12808" max="12808" width="11.28515625" style="337" customWidth="1"/>
    <col min="12809" max="13057" width="9.140625" style="337"/>
    <col min="13058" max="13058" width="12.5703125" style="337" customWidth="1"/>
    <col min="13059" max="13062" width="9.140625" style="337"/>
    <col min="13063" max="13063" width="11" style="337" customWidth="1"/>
    <col min="13064" max="13064" width="11.28515625" style="337" customWidth="1"/>
    <col min="13065" max="13313" width="9.140625" style="337"/>
    <col min="13314" max="13314" width="12.5703125" style="337" customWidth="1"/>
    <col min="13315" max="13318" width="9.140625" style="337"/>
    <col min="13319" max="13319" width="11" style="337" customWidth="1"/>
    <col min="13320" max="13320" width="11.28515625" style="337" customWidth="1"/>
    <col min="13321" max="13569" width="9.140625" style="337"/>
    <col min="13570" max="13570" width="12.5703125" style="337" customWidth="1"/>
    <col min="13571" max="13574" width="9.140625" style="337"/>
    <col min="13575" max="13575" width="11" style="337" customWidth="1"/>
    <col min="13576" max="13576" width="11.28515625" style="337" customWidth="1"/>
    <col min="13577" max="13825" width="9.140625" style="337"/>
    <col min="13826" max="13826" width="12.5703125" style="337" customWidth="1"/>
    <col min="13827" max="13830" width="9.140625" style="337"/>
    <col min="13831" max="13831" width="11" style="337" customWidth="1"/>
    <col min="13832" max="13832" width="11.28515625" style="337" customWidth="1"/>
    <col min="13833" max="14081" width="9.140625" style="337"/>
    <col min="14082" max="14082" width="12.5703125" style="337" customWidth="1"/>
    <col min="14083" max="14086" width="9.140625" style="337"/>
    <col min="14087" max="14087" width="11" style="337" customWidth="1"/>
    <col min="14088" max="14088" width="11.28515625" style="337" customWidth="1"/>
    <col min="14089" max="14337" width="9.140625" style="337"/>
    <col min="14338" max="14338" width="12.5703125" style="337" customWidth="1"/>
    <col min="14339" max="14342" width="9.140625" style="337"/>
    <col min="14343" max="14343" width="11" style="337" customWidth="1"/>
    <col min="14344" max="14344" width="11.28515625" style="337" customWidth="1"/>
    <col min="14345" max="14593" width="9.140625" style="337"/>
    <col min="14594" max="14594" width="12.5703125" style="337" customWidth="1"/>
    <col min="14595" max="14598" width="9.140625" style="337"/>
    <col min="14599" max="14599" width="11" style="337" customWidth="1"/>
    <col min="14600" max="14600" width="11.28515625" style="337" customWidth="1"/>
    <col min="14601" max="14849" width="9.140625" style="337"/>
    <col min="14850" max="14850" width="12.5703125" style="337" customWidth="1"/>
    <col min="14851" max="14854" width="9.140625" style="337"/>
    <col min="14855" max="14855" width="11" style="337" customWidth="1"/>
    <col min="14856" max="14856" width="11.28515625" style="337" customWidth="1"/>
    <col min="14857" max="15105" width="9.140625" style="337"/>
    <col min="15106" max="15106" width="12.5703125" style="337" customWidth="1"/>
    <col min="15107" max="15110" width="9.140625" style="337"/>
    <col min="15111" max="15111" width="11" style="337" customWidth="1"/>
    <col min="15112" max="15112" width="11.28515625" style="337" customWidth="1"/>
    <col min="15113" max="15361" width="9.140625" style="337"/>
    <col min="15362" max="15362" width="12.5703125" style="337" customWidth="1"/>
    <col min="15363" max="15366" width="9.140625" style="337"/>
    <col min="15367" max="15367" width="11" style="337" customWidth="1"/>
    <col min="15368" max="15368" width="11.28515625" style="337" customWidth="1"/>
    <col min="15369" max="15617" width="9.140625" style="337"/>
    <col min="15618" max="15618" width="12.5703125" style="337" customWidth="1"/>
    <col min="15619" max="15622" width="9.140625" style="337"/>
    <col min="15623" max="15623" width="11" style="337" customWidth="1"/>
    <col min="15624" max="15624" width="11.28515625" style="337" customWidth="1"/>
    <col min="15625" max="15873" width="9.140625" style="337"/>
    <col min="15874" max="15874" width="12.5703125" style="337" customWidth="1"/>
    <col min="15875" max="15878" width="9.140625" style="337"/>
    <col min="15879" max="15879" width="11" style="337" customWidth="1"/>
    <col min="15880" max="15880" width="11.28515625" style="337" customWidth="1"/>
    <col min="15881" max="16129" width="9.140625" style="337"/>
    <col min="16130" max="16130" width="12.5703125" style="337" customWidth="1"/>
    <col min="16131" max="16134" width="9.140625" style="337"/>
    <col min="16135" max="16135" width="11" style="337" customWidth="1"/>
    <col min="16136" max="16136" width="11.28515625" style="337" customWidth="1"/>
    <col min="16137" max="16384" width="9.140625" style="337"/>
  </cols>
  <sheetData>
    <row r="1" spans="1:9" s="335" customFormat="1" ht="61.5" customHeight="1">
      <c r="A1" s="335" t="s">
        <v>2046</v>
      </c>
      <c r="C1" s="1034" t="str">
        <f>'lead 24-25'!C2</f>
        <v>Completion of incomplete Anganwadi building  in Paletipalli village of P.C.Palli Mandal.</v>
      </c>
      <c r="D1" s="1034"/>
      <c r="E1" s="1034"/>
      <c r="F1" s="1034"/>
      <c r="G1" s="1034"/>
      <c r="H1" s="1034"/>
      <c r="I1" s="1034"/>
    </row>
    <row r="2" spans="1:9" s="336" customFormat="1" ht="17.25" customHeight="1">
      <c r="A2" s="336" t="s">
        <v>2047</v>
      </c>
      <c r="C2" s="336" t="str">
        <f>'lead 24-25'!K4</f>
        <v>15.00 Lakhs</v>
      </c>
    </row>
    <row r="3" spans="1:9" s="336" customFormat="1" ht="17.25" customHeight="1">
      <c r="A3" s="336" t="s">
        <v>2048</v>
      </c>
      <c r="C3" s="336" t="str">
        <f>'C-1 '!C3</f>
        <v>ZPGF 15% Office Maintenance Grant.</v>
      </c>
    </row>
    <row r="8" spans="1:9" ht="15.75">
      <c r="A8" s="1035" t="s">
        <v>2049</v>
      </c>
      <c r="B8" s="1035"/>
      <c r="C8" s="1035"/>
      <c r="D8" s="1035"/>
      <c r="E8" s="1035"/>
      <c r="F8" s="1035"/>
      <c r="G8" s="1035"/>
      <c r="H8" s="1035"/>
      <c r="I8" s="1035"/>
    </row>
    <row r="9" spans="1:9" ht="15.75">
      <c r="A9" s="338"/>
      <c r="B9" s="338"/>
      <c r="C9" s="338"/>
      <c r="D9" s="338"/>
      <c r="E9" s="338"/>
      <c r="F9" s="338"/>
      <c r="G9" s="338"/>
      <c r="H9" s="338"/>
      <c r="I9" s="338"/>
    </row>
    <row r="10" spans="1:9" s="340" customFormat="1" ht="30" customHeight="1">
      <c r="A10" s="339">
        <v>1</v>
      </c>
      <c r="B10" s="1033" t="s">
        <v>2050</v>
      </c>
      <c r="C10" s="1033"/>
      <c r="D10" s="1033"/>
      <c r="E10" s="1033"/>
      <c r="F10" s="1033"/>
      <c r="G10" s="1033"/>
      <c r="H10" s="1033"/>
      <c r="I10" s="1033"/>
    </row>
    <row r="11" spans="1:9" s="340" customFormat="1" ht="30.75" customHeight="1">
      <c r="A11" s="339">
        <v>2</v>
      </c>
      <c r="B11" s="1033" t="s">
        <v>2051</v>
      </c>
      <c r="C11" s="1033"/>
      <c r="D11" s="1033"/>
      <c r="E11" s="1033"/>
      <c r="F11" s="1033"/>
      <c r="G11" s="1033"/>
      <c r="H11" s="1033"/>
      <c r="I11" s="1033"/>
    </row>
    <row r="12" spans="1:9" s="340" customFormat="1" ht="37.5" customHeight="1">
      <c r="A12" s="339">
        <v>3</v>
      </c>
      <c r="B12" s="1033" t="s">
        <v>2052</v>
      </c>
      <c r="C12" s="1033"/>
      <c r="D12" s="1033"/>
      <c r="E12" s="1033"/>
      <c r="F12" s="1033"/>
      <c r="G12" s="1033"/>
      <c r="H12" s="1033"/>
      <c r="I12" s="1033"/>
    </row>
    <row r="13" spans="1:9" s="340" customFormat="1" ht="34.5" customHeight="1">
      <c r="A13" s="339">
        <v>4</v>
      </c>
      <c r="B13" s="1033" t="s">
        <v>2053</v>
      </c>
      <c r="C13" s="1033"/>
      <c r="D13" s="1033"/>
      <c r="E13" s="1033"/>
      <c r="F13" s="1033"/>
      <c r="G13" s="1033"/>
      <c r="H13" s="1033"/>
      <c r="I13" s="1033"/>
    </row>
    <row r="14" spans="1:9" s="340" customFormat="1" ht="27.75" customHeight="1">
      <c r="A14" s="339">
        <v>5</v>
      </c>
      <c r="B14" s="1033" t="s">
        <v>2054</v>
      </c>
      <c r="C14" s="1033"/>
      <c r="D14" s="1033"/>
      <c r="E14" s="1033"/>
      <c r="F14" s="1033"/>
      <c r="G14" s="1033"/>
      <c r="H14" s="1033"/>
      <c r="I14" s="1033"/>
    </row>
    <row r="17" spans="4:7" ht="15">
      <c r="D17" s="341" t="s">
        <v>2055</v>
      </c>
      <c r="G17" s="341" t="str">
        <f>'lead 24-25'!K32</f>
        <v>Assistant  Engineer</v>
      </c>
    </row>
    <row r="18" spans="4:7" ht="15">
      <c r="D18" s="341" t="s">
        <v>2056</v>
      </c>
      <c r="G18" s="341" t="str">
        <f>'lead 24-25'!K33</f>
        <v>Mandal Praja parishad</v>
      </c>
    </row>
    <row r="19" spans="4:7" ht="15">
      <c r="D19" s="341"/>
      <c r="G19" s="341" t="str">
        <f>'lead 24-25'!K34</f>
        <v>P.C.Palli</v>
      </c>
    </row>
  </sheetData>
  <mergeCells count="7">
    <mergeCell ref="B14:I14"/>
    <mergeCell ref="C1:I1"/>
    <mergeCell ref="A8:I8"/>
    <mergeCell ref="B10:I10"/>
    <mergeCell ref="B11:I11"/>
    <mergeCell ref="B12:I12"/>
    <mergeCell ref="B13:I13"/>
  </mergeCells>
  <pageMargins left="0.70866141732283472" right="0.41" top="0.74803149606299213" bottom="0.74803149606299213"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filterMode="1">
    <tabColor rgb="FFFF0000"/>
  </sheetPr>
  <dimension ref="A1:U493"/>
  <sheetViews>
    <sheetView showZeros="0" view="pageBreakPreview" zoomScaleSheetLayoutView="100" workbookViewId="0">
      <selection activeCell="C36" sqref="C36"/>
    </sheetView>
  </sheetViews>
  <sheetFormatPr defaultRowHeight="12.75"/>
  <cols>
    <col min="1" max="1" width="3.28515625" style="145" customWidth="1"/>
    <col min="2" max="2" width="22.28515625" style="145" bestFit="1" customWidth="1"/>
    <col min="3" max="5" width="7.7109375" style="145" customWidth="1"/>
    <col min="6" max="6" width="7.7109375" style="145" bestFit="1" customWidth="1"/>
    <col min="7" max="7" width="3.42578125" style="145" customWidth="1"/>
    <col min="8" max="8" width="8" style="145" customWidth="1"/>
    <col min="9" max="10" width="8.7109375" style="145" customWidth="1"/>
    <col min="11" max="11" width="6.42578125" style="145" bestFit="1" customWidth="1"/>
    <col min="12" max="12" width="7.140625" style="145" customWidth="1"/>
    <col min="13" max="13" width="6.28515625" style="145" customWidth="1"/>
    <col min="14" max="14" width="7.7109375" style="145" customWidth="1"/>
    <col min="15" max="16" width="6.42578125" style="145" customWidth="1"/>
    <col min="17" max="17" width="6" style="145" customWidth="1"/>
    <col min="18" max="18" width="5.42578125" style="145" customWidth="1"/>
    <col min="19" max="19" width="9.140625" style="145" bestFit="1" customWidth="1"/>
    <col min="20" max="20" width="7.7109375" style="145" bestFit="1" customWidth="1"/>
    <col min="21" max="21" width="3.28515625" style="145" bestFit="1" customWidth="1"/>
    <col min="22" max="16384" width="9.140625" style="145"/>
  </cols>
  <sheetData>
    <row r="1" spans="1:21" ht="21">
      <c r="A1" s="930" t="s">
        <v>237</v>
      </c>
      <c r="B1" s="930"/>
      <c r="C1" s="930"/>
      <c r="D1" s="930"/>
      <c r="E1" s="930"/>
      <c r="F1" s="930"/>
      <c r="G1" s="930"/>
      <c r="H1" s="930"/>
      <c r="I1" s="930"/>
      <c r="J1" s="930"/>
      <c r="K1" s="930"/>
      <c r="L1" s="930"/>
      <c r="M1" s="930"/>
      <c r="N1" s="930"/>
      <c r="O1" s="930"/>
      <c r="P1" s="930"/>
      <c r="Q1" s="930"/>
      <c r="R1" s="930"/>
      <c r="S1" s="930"/>
      <c r="T1" s="930"/>
      <c r="U1" s="930"/>
    </row>
    <row r="2" spans="1:21" ht="15.75" customHeight="1">
      <c r="A2" s="217" t="str">
        <f>'lead 24-25'!B2&amp;'lead 24-25'!C2</f>
        <v>Name of the Work: Completion of incomplete Anganwadi building  in Paletipalli village of P.C.Palli Mandal.</v>
      </c>
      <c r="B2" s="288"/>
      <c r="C2" s="288"/>
      <c r="D2" s="288"/>
      <c r="E2" s="288"/>
      <c r="F2" s="288"/>
      <c r="G2" s="288"/>
      <c r="H2" s="288"/>
      <c r="I2" s="288"/>
      <c r="J2" s="288"/>
      <c r="K2" s="288"/>
      <c r="L2" s="288"/>
      <c r="M2" s="288"/>
      <c r="N2" s="288"/>
      <c r="O2" s="288"/>
      <c r="P2" s="288"/>
      <c r="Q2" s="288"/>
      <c r="R2" s="288"/>
      <c r="S2" s="288"/>
      <c r="T2" s="288"/>
      <c r="U2" s="288"/>
    </row>
    <row r="3" spans="1:21" ht="38.25">
      <c r="A3" s="287" t="s">
        <v>23</v>
      </c>
      <c r="B3" s="287" t="s">
        <v>7</v>
      </c>
      <c r="C3" s="287" t="s">
        <v>225</v>
      </c>
      <c r="D3" s="287" t="s">
        <v>229</v>
      </c>
      <c r="E3" s="287" t="s">
        <v>852</v>
      </c>
      <c r="F3" s="931" t="s">
        <v>230</v>
      </c>
      <c r="G3" s="931"/>
      <c r="H3" s="287" t="s">
        <v>231</v>
      </c>
      <c r="I3" s="287" t="s">
        <v>232</v>
      </c>
      <c r="J3" s="287" t="s">
        <v>233</v>
      </c>
      <c r="K3" s="287" t="s">
        <v>238</v>
      </c>
      <c r="L3" s="179" t="s">
        <v>235</v>
      </c>
      <c r="M3" s="179" t="s">
        <v>234</v>
      </c>
      <c r="N3" s="179" t="s">
        <v>236</v>
      </c>
      <c r="O3" s="179" t="s">
        <v>133</v>
      </c>
      <c r="P3" s="179" t="s">
        <v>958</v>
      </c>
      <c r="Q3" s="287" t="s">
        <v>41</v>
      </c>
      <c r="R3" s="287" t="s">
        <v>649</v>
      </c>
      <c r="S3" s="287" t="s">
        <v>408</v>
      </c>
      <c r="T3" s="287" t="s">
        <v>134</v>
      </c>
      <c r="U3" s="147"/>
    </row>
    <row r="4" spans="1:21" ht="18" hidden="1" customHeight="1">
      <c r="A4" s="218">
        <v>1</v>
      </c>
      <c r="B4" s="147" t="s">
        <v>101</v>
      </c>
      <c r="C4" s="219"/>
      <c r="D4" s="147"/>
      <c r="E4" s="147"/>
      <c r="F4" s="220">
        <f>C4+D4</f>
        <v>0</v>
      </c>
      <c r="G4" s="220" t="s">
        <v>409</v>
      </c>
      <c r="H4" s="218">
        <v>0</v>
      </c>
      <c r="I4" s="218">
        <v>0</v>
      </c>
      <c r="J4" s="218">
        <v>0</v>
      </c>
      <c r="K4" s="218">
        <v>0</v>
      </c>
      <c r="L4" s="218">
        <v>0</v>
      </c>
      <c r="M4" s="218">
        <v>0</v>
      </c>
      <c r="N4" s="218">
        <v>0</v>
      </c>
      <c r="O4" s="221">
        <v>0</v>
      </c>
      <c r="P4" s="221">
        <v>0</v>
      </c>
      <c r="Q4" s="218">
        <v>0</v>
      </c>
      <c r="R4" s="80">
        <f>F4</f>
        <v>0</v>
      </c>
      <c r="S4" s="222">
        <v>0</v>
      </c>
      <c r="T4" s="147">
        <v>0</v>
      </c>
      <c r="U4" s="147"/>
    </row>
    <row r="5" spans="1:21" ht="20.100000000000001" hidden="1" customHeight="1">
      <c r="A5" s="218">
        <v>1</v>
      </c>
      <c r="B5" s="147" t="s">
        <v>133</v>
      </c>
      <c r="C5" s="220">
        <f>ESTIMATE!I81</f>
        <v>1.53</v>
      </c>
      <c r="D5" s="147"/>
      <c r="E5" s="147"/>
      <c r="F5" s="220">
        <f>SUM(C5:E5)</f>
        <v>1.53</v>
      </c>
      <c r="G5" s="220" t="s">
        <v>409</v>
      </c>
      <c r="H5" s="218">
        <v>0</v>
      </c>
      <c r="I5" s="218">
        <v>0</v>
      </c>
      <c r="J5" s="218">
        <v>0</v>
      </c>
      <c r="K5" s="218">
        <v>0</v>
      </c>
      <c r="L5" s="218">
        <v>0</v>
      </c>
      <c r="M5" s="218">
        <v>0</v>
      </c>
      <c r="N5" s="218">
        <v>0</v>
      </c>
      <c r="O5" s="80">
        <f>F5</f>
        <v>1.53</v>
      </c>
      <c r="P5" s="221">
        <v>0</v>
      </c>
      <c r="Q5" s="218">
        <v>0</v>
      </c>
      <c r="R5" s="221">
        <v>0</v>
      </c>
      <c r="S5" s="222">
        <v>0</v>
      </c>
      <c r="T5" s="147">
        <v>0</v>
      </c>
      <c r="U5" s="147"/>
    </row>
    <row r="6" spans="1:21" ht="20.100000000000001" hidden="1" customHeight="1">
      <c r="A6" s="218">
        <v>2</v>
      </c>
      <c r="B6" s="147" t="s">
        <v>1824</v>
      </c>
      <c r="C6" s="220">
        <f>ESTIMATE!I62</f>
        <v>0</v>
      </c>
      <c r="D6" s="147"/>
      <c r="E6" s="147"/>
      <c r="F6" s="220">
        <f t="shared" ref="F6:F43" si="0">SUM(C6:E6)</f>
        <v>0</v>
      </c>
      <c r="G6" s="220" t="s">
        <v>409</v>
      </c>
      <c r="H6" s="218">
        <v>0</v>
      </c>
      <c r="I6" s="218">
        <v>0</v>
      </c>
      <c r="J6" s="218">
        <v>0</v>
      </c>
      <c r="K6" s="218">
        <v>0</v>
      </c>
      <c r="L6" s="218">
        <v>0</v>
      </c>
      <c r="M6" s="218">
        <v>0</v>
      </c>
      <c r="N6" s="218">
        <v>0</v>
      </c>
      <c r="O6" s="221">
        <v>0</v>
      </c>
      <c r="P6" s="80">
        <f>F6</f>
        <v>0</v>
      </c>
      <c r="Q6" s="218">
        <v>0</v>
      </c>
      <c r="R6" s="221">
        <v>0</v>
      </c>
      <c r="S6" s="222">
        <v>0</v>
      </c>
      <c r="T6" s="147">
        <v>0</v>
      </c>
      <c r="U6" s="147"/>
    </row>
    <row r="7" spans="1:21" ht="20.100000000000001" hidden="1" customHeight="1">
      <c r="A7" s="218">
        <v>4</v>
      </c>
      <c r="B7" s="147" t="s">
        <v>648</v>
      </c>
      <c r="C7" s="220">
        <f>ESTIMATE!I72</f>
        <v>0</v>
      </c>
      <c r="D7" s="147"/>
      <c r="E7" s="147"/>
      <c r="F7" s="220">
        <f t="shared" si="0"/>
        <v>0</v>
      </c>
      <c r="G7" s="220" t="s">
        <v>409</v>
      </c>
      <c r="H7" s="218">
        <v>0</v>
      </c>
      <c r="I7" s="218">
        <v>0</v>
      </c>
      <c r="J7" s="218">
        <v>0</v>
      </c>
      <c r="K7" s="218">
        <v>0</v>
      </c>
      <c r="L7" s="218">
        <v>0</v>
      </c>
      <c r="M7" s="218">
        <v>0</v>
      </c>
      <c r="N7" s="218">
        <v>0</v>
      </c>
      <c r="O7" s="221">
        <v>0</v>
      </c>
      <c r="P7" s="80"/>
      <c r="Q7" s="218">
        <v>0</v>
      </c>
      <c r="R7" s="80">
        <f>F7</f>
        <v>0</v>
      </c>
      <c r="S7" s="222">
        <v>0</v>
      </c>
      <c r="T7" s="147">
        <v>0</v>
      </c>
      <c r="U7" s="147"/>
    </row>
    <row r="8" spans="1:21" ht="20.100000000000001" hidden="1" customHeight="1">
      <c r="A8" s="218">
        <v>3</v>
      </c>
      <c r="B8" s="147" t="s">
        <v>239</v>
      </c>
      <c r="C8" s="220">
        <f>ESTIMATE!I45</f>
        <v>5.4499999999999993</v>
      </c>
      <c r="D8" s="147"/>
      <c r="E8" s="147"/>
      <c r="F8" s="220">
        <f t="shared" si="0"/>
        <v>5.4499999999999993</v>
      </c>
      <c r="G8" s="220" t="s">
        <v>409</v>
      </c>
      <c r="H8" s="80">
        <f>ROUND(F8*0.9,2)</f>
        <v>4.91</v>
      </c>
      <c r="I8" s="221">
        <v>0</v>
      </c>
      <c r="J8" s="221">
        <v>0</v>
      </c>
      <c r="K8" s="218">
        <v>0</v>
      </c>
      <c r="L8" s="80">
        <f>ROUND(F8*0.45,2)</f>
        <v>2.4500000000000002</v>
      </c>
      <c r="M8" s="218">
        <v>0</v>
      </c>
      <c r="N8" s="218">
        <v>0</v>
      </c>
      <c r="O8" s="221">
        <v>0</v>
      </c>
      <c r="P8" s="221">
        <v>0</v>
      </c>
      <c r="Q8" s="221">
        <v>0</v>
      </c>
      <c r="R8" s="221">
        <v>0</v>
      </c>
      <c r="S8" s="223">
        <f t="shared" ref="S8:S44" si="1">ROUND(F8*T8/50,2)</f>
        <v>17.66</v>
      </c>
      <c r="T8" s="220">
        <v>162</v>
      </c>
      <c r="U8" s="80" t="s">
        <v>4</v>
      </c>
    </row>
    <row r="9" spans="1:21" ht="20.100000000000001" hidden="1" customHeight="1">
      <c r="A9" s="218">
        <v>4</v>
      </c>
      <c r="B9" s="147" t="s">
        <v>435</v>
      </c>
      <c r="C9" s="220">
        <f>ESTIMATE!I56</f>
        <v>0</v>
      </c>
      <c r="D9" s="147"/>
      <c r="E9" s="147"/>
      <c r="F9" s="220">
        <f t="shared" si="0"/>
        <v>0</v>
      </c>
      <c r="G9" s="220" t="s">
        <v>409</v>
      </c>
      <c r="H9" s="80">
        <f>ROUND(F9*0.9,2)</f>
        <v>0</v>
      </c>
      <c r="I9" s="221">
        <v>0</v>
      </c>
      <c r="J9" s="221">
        <v>0</v>
      </c>
      <c r="K9" s="218">
        <v>0</v>
      </c>
      <c r="L9" s="80">
        <f t="shared" ref="L9" si="2">ROUND(F9*0.45,2)</f>
        <v>0</v>
      </c>
      <c r="M9" s="218">
        <v>0</v>
      </c>
      <c r="N9" s="218">
        <v>0</v>
      </c>
      <c r="O9" s="221">
        <v>0</v>
      </c>
      <c r="P9" s="221">
        <v>0</v>
      </c>
      <c r="Q9" s="221">
        <v>0</v>
      </c>
      <c r="R9" s="221">
        <v>0</v>
      </c>
      <c r="S9" s="223">
        <f t="shared" si="1"/>
        <v>0</v>
      </c>
      <c r="T9" s="220">
        <v>129.6</v>
      </c>
      <c r="U9" s="80" t="s">
        <v>4</v>
      </c>
    </row>
    <row r="10" spans="1:21" ht="20.100000000000001" hidden="1" customHeight="1">
      <c r="A10" s="218">
        <v>4</v>
      </c>
      <c r="B10" s="147" t="s">
        <v>130</v>
      </c>
      <c r="C10" s="220">
        <f>ESTIMATE!I96</f>
        <v>0</v>
      </c>
      <c r="D10" s="147"/>
      <c r="E10" s="147"/>
      <c r="F10" s="220">
        <f t="shared" si="0"/>
        <v>0</v>
      </c>
      <c r="G10" s="220" t="s">
        <v>409</v>
      </c>
      <c r="H10" s="221">
        <v>0</v>
      </c>
      <c r="I10" s="80">
        <f t="shared" ref="I10:I20" si="3">ROUND(F10*0.8,2)</f>
        <v>0</v>
      </c>
      <c r="J10" s="221">
        <v>0</v>
      </c>
      <c r="K10" s="218">
        <v>0</v>
      </c>
      <c r="L10" s="80">
        <f t="shared" ref="L10:L20" si="4">ROUND(F10*0.4,2)</f>
        <v>0</v>
      </c>
      <c r="M10" s="218">
        <v>0</v>
      </c>
      <c r="N10" s="218">
        <v>0</v>
      </c>
      <c r="O10" s="221">
        <v>0</v>
      </c>
      <c r="P10" s="221">
        <v>0</v>
      </c>
      <c r="Q10" s="221">
        <v>0</v>
      </c>
      <c r="R10" s="221">
        <v>0</v>
      </c>
      <c r="S10" s="223">
        <f t="shared" si="1"/>
        <v>0</v>
      </c>
      <c r="T10" s="220">
        <f>'DATA 2024-25'!E139</f>
        <v>330</v>
      </c>
      <c r="U10" s="80" t="s">
        <v>4</v>
      </c>
    </row>
    <row r="11" spans="1:21" ht="20.100000000000001" hidden="1" customHeight="1">
      <c r="A11" s="218">
        <v>5</v>
      </c>
      <c r="B11" s="147" t="s">
        <v>131</v>
      </c>
      <c r="C11" s="220">
        <f>ESTIMATE!I100</f>
        <v>0</v>
      </c>
      <c r="D11" s="147"/>
      <c r="E11" s="147"/>
      <c r="F11" s="220">
        <f t="shared" si="0"/>
        <v>0</v>
      </c>
      <c r="G11" s="220" t="s">
        <v>409</v>
      </c>
      <c r="H11" s="221">
        <v>0</v>
      </c>
      <c r="I11" s="80">
        <f t="shared" si="3"/>
        <v>0</v>
      </c>
      <c r="J11" s="221">
        <v>0</v>
      </c>
      <c r="K11" s="218">
        <v>0</v>
      </c>
      <c r="L11" s="80">
        <f t="shared" si="4"/>
        <v>0</v>
      </c>
      <c r="M11" s="218">
        <v>0</v>
      </c>
      <c r="N11" s="218">
        <v>0</v>
      </c>
      <c r="O11" s="221">
        <v>0</v>
      </c>
      <c r="P11" s="221">
        <v>0</v>
      </c>
      <c r="Q11" s="221">
        <v>0</v>
      </c>
      <c r="R11" s="221">
        <v>0</v>
      </c>
      <c r="S11" s="223">
        <f t="shared" si="1"/>
        <v>0</v>
      </c>
      <c r="T11" s="220">
        <f>$T$10</f>
        <v>330</v>
      </c>
      <c r="U11" s="80" t="s">
        <v>4</v>
      </c>
    </row>
    <row r="12" spans="1:21" ht="20.100000000000001" hidden="1" customHeight="1">
      <c r="A12" s="218">
        <v>6</v>
      </c>
      <c r="B12" s="147" t="s">
        <v>125</v>
      </c>
      <c r="C12" s="220">
        <f>ESTIMATE!I106</f>
        <v>0</v>
      </c>
      <c r="D12" s="220">
        <f>ESTIMATE!I528</f>
        <v>0</v>
      </c>
      <c r="E12" s="220">
        <f>ESTIMATE!I933</f>
        <v>0</v>
      </c>
      <c r="F12" s="220">
        <f t="shared" si="0"/>
        <v>0</v>
      </c>
      <c r="G12" s="220" t="s">
        <v>409</v>
      </c>
      <c r="H12" s="221">
        <v>0</v>
      </c>
      <c r="I12" s="80">
        <f t="shared" si="3"/>
        <v>0</v>
      </c>
      <c r="J12" s="221">
        <v>0</v>
      </c>
      <c r="K12" s="218">
        <v>0</v>
      </c>
      <c r="L12" s="80">
        <f t="shared" si="4"/>
        <v>0</v>
      </c>
      <c r="M12" s="218">
        <v>0</v>
      </c>
      <c r="N12" s="218">
        <v>0</v>
      </c>
      <c r="O12" s="221">
        <v>0</v>
      </c>
      <c r="P12" s="221">
        <v>0</v>
      </c>
      <c r="Q12" s="221">
        <v>0</v>
      </c>
      <c r="R12" s="221">
        <v>0</v>
      </c>
      <c r="S12" s="223">
        <f t="shared" si="1"/>
        <v>0</v>
      </c>
      <c r="T12" s="220">
        <f t="shared" ref="T12:T20" si="5">$T$10</f>
        <v>330</v>
      </c>
      <c r="U12" s="80" t="s">
        <v>4</v>
      </c>
    </row>
    <row r="13" spans="1:21" ht="20.100000000000001" hidden="1" customHeight="1">
      <c r="A13" s="218">
        <v>7</v>
      </c>
      <c r="B13" s="147" t="s">
        <v>126</v>
      </c>
      <c r="C13" s="220">
        <f>ESTIMATE!I113</f>
        <v>0</v>
      </c>
      <c r="D13" s="147"/>
      <c r="E13" s="147"/>
      <c r="F13" s="220">
        <f t="shared" si="0"/>
        <v>0</v>
      </c>
      <c r="G13" s="220" t="s">
        <v>409</v>
      </c>
      <c r="H13" s="221">
        <v>0</v>
      </c>
      <c r="I13" s="80">
        <f t="shared" si="3"/>
        <v>0</v>
      </c>
      <c r="J13" s="221">
        <v>0</v>
      </c>
      <c r="K13" s="218">
        <v>0</v>
      </c>
      <c r="L13" s="80">
        <f t="shared" si="4"/>
        <v>0</v>
      </c>
      <c r="M13" s="218">
        <v>0</v>
      </c>
      <c r="N13" s="218">
        <v>0</v>
      </c>
      <c r="O13" s="221">
        <v>0</v>
      </c>
      <c r="P13" s="221">
        <v>0</v>
      </c>
      <c r="Q13" s="221">
        <v>0</v>
      </c>
      <c r="R13" s="221">
        <v>0</v>
      </c>
      <c r="S13" s="223">
        <f t="shared" si="1"/>
        <v>0</v>
      </c>
      <c r="T13" s="220">
        <f t="shared" si="5"/>
        <v>330</v>
      </c>
      <c r="U13" s="80" t="s">
        <v>4</v>
      </c>
    </row>
    <row r="14" spans="1:21" ht="20.100000000000001" hidden="1" customHeight="1">
      <c r="A14" s="218">
        <v>8</v>
      </c>
      <c r="B14" s="147" t="s">
        <v>129</v>
      </c>
      <c r="C14" s="220">
        <f>ESTIMATE!I121</f>
        <v>3.3499999999999996</v>
      </c>
      <c r="D14" s="220">
        <f>ESTIMATE!I534</f>
        <v>0</v>
      </c>
      <c r="E14" s="220">
        <f>ESTIMATE!I939</f>
        <v>0</v>
      </c>
      <c r="F14" s="220">
        <f t="shared" si="0"/>
        <v>3.3499999999999996</v>
      </c>
      <c r="G14" s="220" t="s">
        <v>409</v>
      </c>
      <c r="H14" s="221">
        <v>0</v>
      </c>
      <c r="I14" s="80">
        <f t="shared" si="3"/>
        <v>2.68</v>
      </c>
      <c r="J14" s="221">
        <v>0</v>
      </c>
      <c r="K14" s="218">
        <v>0</v>
      </c>
      <c r="L14" s="80">
        <f t="shared" si="4"/>
        <v>1.34</v>
      </c>
      <c r="M14" s="218">
        <v>0</v>
      </c>
      <c r="N14" s="218">
        <v>0</v>
      </c>
      <c r="O14" s="221">
        <v>0</v>
      </c>
      <c r="P14" s="221">
        <v>0</v>
      </c>
      <c r="Q14" s="221">
        <v>0</v>
      </c>
      <c r="R14" s="221">
        <v>0</v>
      </c>
      <c r="S14" s="223">
        <f t="shared" si="1"/>
        <v>22.11</v>
      </c>
      <c r="T14" s="220">
        <f t="shared" si="5"/>
        <v>330</v>
      </c>
      <c r="U14" s="80" t="s">
        <v>4</v>
      </c>
    </row>
    <row r="15" spans="1:21" ht="20.100000000000001" hidden="1" customHeight="1">
      <c r="A15" s="218">
        <v>9</v>
      </c>
      <c r="B15" s="224" t="s">
        <v>240</v>
      </c>
      <c r="C15" s="220">
        <f>ROUND(ESTIMATE!I127*0.15,2)</f>
        <v>0</v>
      </c>
      <c r="D15" s="220">
        <f>ROUND(ESTIMATE!I542*0.15,2)</f>
        <v>0</v>
      </c>
      <c r="E15" s="220">
        <f>ROUND(ESTIMATE!I947*0.15,2)</f>
        <v>0</v>
      </c>
      <c r="F15" s="220">
        <f>SUM(C15:E15)</f>
        <v>0</v>
      </c>
      <c r="G15" s="220" t="s">
        <v>410</v>
      </c>
      <c r="H15" s="221">
        <v>0</v>
      </c>
      <c r="I15" s="80">
        <f t="shared" si="3"/>
        <v>0</v>
      </c>
      <c r="J15" s="221">
        <v>0</v>
      </c>
      <c r="K15" s="218">
        <v>0</v>
      </c>
      <c r="L15" s="80">
        <f t="shared" si="4"/>
        <v>0</v>
      </c>
      <c r="M15" s="218">
        <v>0</v>
      </c>
      <c r="N15" s="218">
        <v>0</v>
      </c>
      <c r="O15" s="221">
        <v>0</v>
      </c>
      <c r="P15" s="221">
        <v>0</v>
      </c>
      <c r="Q15" s="221">
        <v>0</v>
      </c>
      <c r="R15" s="221">
        <v>0</v>
      </c>
      <c r="S15" s="223">
        <f>ROUND(F15*T15/50,2)</f>
        <v>0</v>
      </c>
      <c r="T15" s="220">
        <f>ROUND(T14,2)</f>
        <v>330</v>
      </c>
      <c r="U15" s="80" t="s">
        <v>4</v>
      </c>
    </row>
    <row r="16" spans="1:21" ht="20.100000000000001" hidden="1" customHeight="1">
      <c r="A16" s="218">
        <v>10</v>
      </c>
      <c r="B16" s="224" t="s">
        <v>241</v>
      </c>
      <c r="C16" s="220">
        <f>ROUND(ESTIMATE!I131*0.125,2)</f>
        <v>8.65</v>
      </c>
      <c r="D16" s="220">
        <f>ROUND(ESTIMATE!I546*0.125,2)</f>
        <v>0</v>
      </c>
      <c r="E16" s="220">
        <f>ROUND(ESTIMATE!I952*0.125,2)</f>
        <v>0</v>
      </c>
      <c r="F16" s="220">
        <f t="shared" si="0"/>
        <v>8.65</v>
      </c>
      <c r="G16" s="220" t="s">
        <v>410</v>
      </c>
      <c r="H16" s="221">
        <v>0</v>
      </c>
      <c r="I16" s="80">
        <f t="shared" si="3"/>
        <v>6.92</v>
      </c>
      <c r="J16" s="221">
        <v>0</v>
      </c>
      <c r="K16" s="218">
        <v>0</v>
      </c>
      <c r="L16" s="80">
        <f t="shared" si="4"/>
        <v>3.46</v>
      </c>
      <c r="M16" s="218">
        <v>0</v>
      </c>
      <c r="N16" s="218">
        <v>0</v>
      </c>
      <c r="O16" s="221">
        <v>0</v>
      </c>
      <c r="P16" s="221">
        <v>0</v>
      </c>
      <c r="Q16" s="221">
        <v>0</v>
      </c>
      <c r="R16" s="221">
        <v>0</v>
      </c>
      <c r="S16" s="223">
        <f t="shared" si="1"/>
        <v>57.09</v>
      </c>
      <c r="T16" s="220">
        <f>ROUND(T14,2)</f>
        <v>330</v>
      </c>
      <c r="U16" s="80" t="s">
        <v>4</v>
      </c>
    </row>
    <row r="17" spans="1:21" ht="20.100000000000001" hidden="1" customHeight="1">
      <c r="A17" s="218">
        <v>14</v>
      </c>
      <c r="B17" s="224" t="s">
        <v>591</v>
      </c>
      <c r="C17" s="220">
        <f>ROUND(ESTIMATE!I136*0.1,2)</f>
        <v>0</v>
      </c>
      <c r="D17" s="220">
        <f>ROUND(ESTIMATE!I551*0.1,2)</f>
        <v>0</v>
      </c>
      <c r="E17" s="220">
        <f>ROUND(ESTIMATE!I957*0.1,2)</f>
        <v>0</v>
      </c>
      <c r="F17" s="220">
        <f t="shared" si="0"/>
        <v>0</v>
      </c>
      <c r="G17" s="220" t="s">
        <v>410</v>
      </c>
      <c r="H17" s="221">
        <v>0</v>
      </c>
      <c r="I17" s="80">
        <f t="shared" si="3"/>
        <v>0</v>
      </c>
      <c r="J17" s="221">
        <v>0</v>
      </c>
      <c r="K17" s="218">
        <v>0</v>
      </c>
      <c r="L17" s="80">
        <f t="shared" si="4"/>
        <v>0</v>
      </c>
      <c r="M17" s="218">
        <v>0</v>
      </c>
      <c r="N17" s="218">
        <v>0</v>
      </c>
      <c r="O17" s="221">
        <v>0</v>
      </c>
      <c r="P17" s="221">
        <v>0</v>
      </c>
      <c r="Q17" s="221">
        <v>0</v>
      </c>
      <c r="R17" s="221">
        <v>0</v>
      </c>
      <c r="S17" s="223">
        <f t="shared" si="1"/>
        <v>0</v>
      </c>
      <c r="T17" s="220">
        <f>T16</f>
        <v>330</v>
      </c>
      <c r="U17" s="80" t="s">
        <v>4</v>
      </c>
    </row>
    <row r="18" spans="1:21" ht="20.100000000000001" hidden="1" customHeight="1">
      <c r="A18" s="218">
        <v>9</v>
      </c>
      <c r="B18" s="224" t="s">
        <v>1013</v>
      </c>
      <c r="C18" s="220">
        <f>ROUND(ESTIMATE!I142*0.05,2)</f>
        <v>0</v>
      </c>
      <c r="D18" s="220">
        <f>ROUND(ESTIMATE!I562*0.05,2)</f>
        <v>0</v>
      </c>
      <c r="E18" s="220">
        <f>ROUND(ESTIMATE!I968*0.05,2)</f>
        <v>0</v>
      </c>
      <c r="F18" s="220">
        <f t="shared" ref="F18" si="6">SUM(C18:E18)</f>
        <v>0</v>
      </c>
      <c r="G18" s="220" t="s">
        <v>410</v>
      </c>
      <c r="H18" s="221">
        <v>0</v>
      </c>
      <c r="I18" s="80">
        <f t="shared" si="3"/>
        <v>0</v>
      </c>
      <c r="J18" s="221">
        <v>0</v>
      </c>
      <c r="K18" s="218">
        <v>0</v>
      </c>
      <c r="L18" s="80">
        <f t="shared" si="4"/>
        <v>0</v>
      </c>
      <c r="M18" s="218">
        <v>0</v>
      </c>
      <c r="N18" s="218">
        <v>0</v>
      </c>
      <c r="O18" s="221">
        <v>0</v>
      </c>
      <c r="P18" s="221">
        <v>0</v>
      </c>
      <c r="Q18" s="221">
        <v>0</v>
      </c>
      <c r="R18" s="221">
        <v>0</v>
      </c>
      <c r="S18" s="223">
        <f t="shared" si="1"/>
        <v>0</v>
      </c>
      <c r="T18" s="220">
        <f>T17</f>
        <v>330</v>
      </c>
      <c r="U18" s="80" t="s">
        <v>4</v>
      </c>
    </row>
    <row r="19" spans="1:21" ht="20.100000000000001" hidden="1" customHeight="1">
      <c r="A19" s="218">
        <v>16</v>
      </c>
      <c r="B19" s="224" t="s">
        <v>1225</v>
      </c>
      <c r="C19" s="220">
        <f>ROUND(ESTIMATE!I153*0.025,2)</f>
        <v>0</v>
      </c>
      <c r="D19" s="220">
        <f>ROUND(ESTIMATE!I573*0.025,2)</f>
        <v>0</v>
      </c>
      <c r="E19" s="220">
        <f>ROUND(ESTIMATE!I979*0.025,2)</f>
        <v>0</v>
      </c>
      <c r="F19" s="220">
        <f t="shared" ref="F19" si="7">SUM(C19:E19)</f>
        <v>0</v>
      </c>
      <c r="G19" s="220" t="s">
        <v>410</v>
      </c>
      <c r="H19" s="221">
        <v>0</v>
      </c>
      <c r="I19" s="80">
        <f t="shared" si="3"/>
        <v>0</v>
      </c>
      <c r="J19" s="221">
        <v>0</v>
      </c>
      <c r="K19" s="218">
        <v>0</v>
      </c>
      <c r="L19" s="80">
        <f t="shared" si="4"/>
        <v>0</v>
      </c>
      <c r="M19" s="218">
        <v>0</v>
      </c>
      <c r="N19" s="218">
        <v>0</v>
      </c>
      <c r="O19" s="221">
        <v>0</v>
      </c>
      <c r="P19" s="221">
        <v>0</v>
      </c>
      <c r="Q19" s="221">
        <v>0</v>
      </c>
      <c r="R19" s="221">
        <v>0</v>
      </c>
      <c r="S19" s="223">
        <f t="shared" si="1"/>
        <v>0</v>
      </c>
      <c r="T19" s="220">
        <f>T18</f>
        <v>330</v>
      </c>
      <c r="U19" s="80" t="s">
        <v>4</v>
      </c>
    </row>
    <row r="20" spans="1:21" ht="20.100000000000001" hidden="1" customHeight="1">
      <c r="A20" s="218">
        <v>11</v>
      </c>
      <c r="B20" s="147" t="s">
        <v>127</v>
      </c>
      <c r="C20" s="220">
        <f>ESTIMATE!I160</f>
        <v>0.6</v>
      </c>
      <c r="D20" s="220">
        <f>ESTIMATE!I578</f>
        <v>0</v>
      </c>
      <c r="E20" s="220">
        <f>ESTIMATE!I987</f>
        <v>0</v>
      </c>
      <c r="F20" s="220">
        <f>SUM(C20:E20)</f>
        <v>0.6</v>
      </c>
      <c r="G20" s="220" t="s">
        <v>409</v>
      </c>
      <c r="H20" s="221">
        <v>0</v>
      </c>
      <c r="I20" s="80">
        <f t="shared" si="3"/>
        <v>0.48</v>
      </c>
      <c r="J20" s="221">
        <v>0</v>
      </c>
      <c r="K20" s="218">
        <v>0</v>
      </c>
      <c r="L20" s="80">
        <f t="shared" si="4"/>
        <v>0.24</v>
      </c>
      <c r="M20" s="218">
        <v>0</v>
      </c>
      <c r="N20" s="218">
        <v>0</v>
      </c>
      <c r="O20" s="221">
        <v>0</v>
      </c>
      <c r="P20" s="221">
        <v>0</v>
      </c>
      <c r="Q20" s="221">
        <v>0</v>
      </c>
      <c r="R20" s="221">
        <v>0</v>
      </c>
      <c r="S20" s="223">
        <f>ROUND(F20*T20/50,2)</f>
        <v>3.96</v>
      </c>
      <c r="T20" s="220">
        <f t="shared" si="5"/>
        <v>330</v>
      </c>
      <c r="U20" s="80" t="s">
        <v>4</v>
      </c>
    </row>
    <row r="21" spans="1:21" ht="20.100000000000001" hidden="1" customHeight="1">
      <c r="A21" s="218">
        <v>12</v>
      </c>
      <c r="B21" s="147" t="s">
        <v>128</v>
      </c>
      <c r="C21" s="220">
        <f>ESTIMATE!I165</f>
        <v>9.6</v>
      </c>
      <c r="D21" s="220">
        <f>ESTIMATE!I582</f>
        <v>0</v>
      </c>
      <c r="E21" s="220">
        <f>ESTIMATE!I992</f>
        <v>0</v>
      </c>
      <c r="F21" s="220">
        <f>SUM(C21:E21)</f>
        <v>9.6</v>
      </c>
      <c r="G21" s="220" t="s">
        <v>82</v>
      </c>
      <c r="H21" s="221">
        <v>0</v>
      </c>
      <c r="I21" s="80">
        <f>ROUND(F21*0.0375*0.8,2)</f>
        <v>0.28999999999999998</v>
      </c>
      <c r="J21" s="221">
        <v>0</v>
      </c>
      <c r="K21" s="218">
        <v>0</v>
      </c>
      <c r="L21" s="80">
        <f>ROUND(F21*0.0375*0.4,2)</f>
        <v>0.14000000000000001</v>
      </c>
      <c r="M21" s="218">
        <v>0</v>
      </c>
      <c r="N21" s="218">
        <v>0</v>
      </c>
      <c r="O21" s="221">
        <v>0</v>
      </c>
      <c r="P21" s="221">
        <v>0</v>
      </c>
      <c r="Q21" s="221">
        <v>0</v>
      </c>
      <c r="R21" s="221">
        <v>0</v>
      </c>
      <c r="S21" s="223">
        <f>ROUND(F21*T21/50,2)</f>
        <v>2.38</v>
      </c>
      <c r="T21" s="225">
        <f>T20*0.0375</f>
        <v>12.375</v>
      </c>
      <c r="U21" s="80" t="s">
        <v>4</v>
      </c>
    </row>
    <row r="22" spans="1:21" ht="20.100000000000001" customHeight="1">
      <c r="A22" s="218">
        <v>1</v>
      </c>
      <c r="B22" s="224" t="s">
        <v>1226</v>
      </c>
      <c r="C22" s="220">
        <f>ESTIMATE!I169</f>
        <v>69.19</v>
      </c>
      <c r="D22" s="220">
        <f>ESTIMATE!I588</f>
        <v>0</v>
      </c>
      <c r="E22" s="220">
        <f>ESTIMATE!I997</f>
        <v>0</v>
      </c>
      <c r="F22" s="220">
        <f t="shared" ref="F22" si="8">SUM(C22:E22)</f>
        <v>69.19</v>
      </c>
      <c r="G22" s="220" t="s">
        <v>410</v>
      </c>
      <c r="H22" s="221">
        <v>0</v>
      </c>
      <c r="I22" s="221">
        <v>0</v>
      </c>
      <c r="J22" s="221">
        <v>0</v>
      </c>
      <c r="K22" s="218">
        <v>0</v>
      </c>
      <c r="L22" s="221">
        <v>0</v>
      </c>
      <c r="M22" s="218">
        <v>0</v>
      </c>
      <c r="N22" s="80">
        <f>ROUND(ROUND((0.015*1.05),3)*ROUND(F22,2),2)</f>
        <v>1.1100000000000001</v>
      </c>
      <c r="O22" s="221">
        <v>0</v>
      </c>
      <c r="P22" s="221">
        <v>0</v>
      </c>
      <c r="Q22" s="221">
        <v>0</v>
      </c>
      <c r="R22" s="221">
        <v>0</v>
      </c>
      <c r="S22" s="223">
        <f t="shared" ref="S22" si="9">ROUND(F22*T22/50,2)</f>
        <v>9.9600000000000009</v>
      </c>
      <c r="T22" s="220">
        <v>7.2</v>
      </c>
      <c r="U22" s="80" t="s">
        <v>4</v>
      </c>
    </row>
    <row r="23" spans="1:21" ht="20.100000000000001" hidden="1" customHeight="1">
      <c r="A23" s="218">
        <v>12</v>
      </c>
      <c r="B23" s="224" t="s">
        <v>1004</v>
      </c>
      <c r="C23" s="220">
        <f>ESTIMATE!I175</f>
        <v>0</v>
      </c>
      <c r="D23" s="220">
        <f>ESTIMATE!I594</f>
        <v>0</v>
      </c>
      <c r="E23" s="220">
        <f>ESTIMATE!I1003</f>
        <v>0</v>
      </c>
      <c r="F23" s="220">
        <f>SUM(C23:E23)</f>
        <v>0</v>
      </c>
      <c r="G23" s="220" t="s">
        <v>410</v>
      </c>
      <c r="H23" s="221">
        <v>0</v>
      </c>
      <c r="I23" s="221">
        <v>0</v>
      </c>
      <c r="J23" s="221">
        <v>0</v>
      </c>
      <c r="K23" s="218">
        <v>0</v>
      </c>
      <c r="L23" s="221">
        <v>0</v>
      </c>
      <c r="M23" s="218">
        <v>0</v>
      </c>
      <c r="N23" s="80">
        <f>ROUND(ROUND((0.021*1.05),3)*ROUND(F23,2),2)</f>
        <v>0</v>
      </c>
      <c r="O23" s="221">
        <v>0</v>
      </c>
      <c r="P23" s="221">
        <v>0</v>
      </c>
      <c r="Q23" s="221">
        <v>0</v>
      </c>
      <c r="R23" s="221">
        <v>0</v>
      </c>
      <c r="S23" s="223">
        <f>ROUND(F23*T23/50,2)</f>
        <v>0</v>
      </c>
      <c r="T23" s="220">
        <v>10.08</v>
      </c>
      <c r="U23" s="80" t="s">
        <v>4</v>
      </c>
    </row>
    <row r="24" spans="1:21" ht="20.100000000000001" hidden="1" customHeight="1">
      <c r="A24" s="218">
        <v>15</v>
      </c>
      <c r="B24" s="147" t="s">
        <v>960</v>
      </c>
      <c r="C24" s="220">
        <f>ESTIMATE!I185</f>
        <v>0</v>
      </c>
      <c r="D24" s="220"/>
      <c r="E24" s="220"/>
      <c r="F24" s="220">
        <f t="shared" ref="F24" si="10">SUM(C24:E24)</f>
        <v>0</v>
      </c>
      <c r="G24" s="220" t="s">
        <v>409</v>
      </c>
      <c r="H24" s="221">
        <v>0</v>
      </c>
      <c r="I24" s="221">
        <v>0</v>
      </c>
      <c r="J24" s="221">
        <v>0</v>
      </c>
      <c r="K24" s="80">
        <f>ROUND(F24*1.1,2)</f>
        <v>0</v>
      </c>
      <c r="L24" s="221">
        <v>0</v>
      </c>
      <c r="M24" s="80">
        <f>ROUND(F24*0.33,2)</f>
        <v>0</v>
      </c>
      <c r="N24" s="221">
        <v>0</v>
      </c>
      <c r="O24" s="221">
        <v>0</v>
      </c>
      <c r="P24" s="221">
        <v>0</v>
      </c>
      <c r="Q24" s="80"/>
      <c r="R24" s="221">
        <v>0</v>
      </c>
      <c r="S24" s="223">
        <f t="shared" ref="S24" si="11">ROUND(F24*T24/50,2)</f>
        <v>0</v>
      </c>
      <c r="T24" s="220">
        <v>59.4</v>
      </c>
      <c r="U24" s="80" t="s">
        <v>4</v>
      </c>
    </row>
    <row r="25" spans="1:21" ht="20.100000000000001" hidden="1" customHeight="1">
      <c r="A25" s="218">
        <v>14</v>
      </c>
      <c r="B25" s="147" t="s">
        <v>132</v>
      </c>
      <c r="C25" s="220">
        <f>ESTIMATE!I212</f>
        <v>19.079999999999998</v>
      </c>
      <c r="D25" s="220">
        <f>ESTIMATE!I606</f>
        <v>0</v>
      </c>
      <c r="E25" s="220">
        <f>ESTIMATE!I1020</f>
        <v>0</v>
      </c>
      <c r="F25" s="220">
        <f>SUM(C25:E25)</f>
        <v>19.079999999999998</v>
      </c>
      <c r="G25" s="220" t="s">
        <v>409</v>
      </c>
      <c r="H25" s="221">
        <v>0</v>
      </c>
      <c r="I25" s="221">
        <v>0</v>
      </c>
      <c r="J25" s="221">
        <v>0</v>
      </c>
      <c r="K25" s="218">
        <v>0</v>
      </c>
      <c r="L25" s="221">
        <v>0</v>
      </c>
      <c r="M25" s="80">
        <f>ROUND(F25*0.2,2)</f>
        <v>3.82</v>
      </c>
      <c r="N25" s="221">
        <v>0</v>
      </c>
      <c r="O25" s="221">
        <v>0</v>
      </c>
      <c r="P25" s="221">
        <v>0</v>
      </c>
      <c r="Q25" s="80">
        <f>ROUND(F25*512/1000,2)</f>
        <v>9.77</v>
      </c>
      <c r="R25" s="221">
        <v>0</v>
      </c>
      <c r="S25" s="223">
        <f>ROUND(F25*T25/50,2)</f>
        <v>13.74</v>
      </c>
      <c r="T25" s="220">
        <v>36</v>
      </c>
      <c r="U25" s="80" t="s">
        <v>4</v>
      </c>
    </row>
    <row r="26" spans="1:21" ht="20.100000000000001" hidden="1" customHeight="1">
      <c r="A26" s="218">
        <v>15</v>
      </c>
      <c r="B26" s="147" t="s">
        <v>853</v>
      </c>
      <c r="C26" s="220">
        <f>ESTIMATE!I220</f>
        <v>0</v>
      </c>
      <c r="D26" s="220">
        <f>ESTIMATE!I631</f>
        <v>0</v>
      </c>
      <c r="E26" s="220">
        <f>ESTIMATE!I1029</f>
        <v>0</v>
      </c>
      <c r="F26" s="220">
        <f>SUM(C26:E26)</f>
        <v>0</v>
      </c>
      <c r="G26" s="220" t="s">
        <v>409</v>
      </c>
      <c r="H26" s="221">
        <v>0</v>
      </c>
      <c r="I26" s="221">
        <v>0</v>
      </c>
      <c r="J26" s="221">
        <v>0</v>
      </c>
      <c r="K26" s="218">
        <v>0</v>
      </c>
      <c r="L26" s="221">
        <v>0</v>
      </c>
      <c r="M26" s="80">
        <f>ROUND(F26*0.2,2)</f>
        <v>0</v>
      </c>
      <c r="N26" s="221">
        <v>0</v>
      </c>
      <c r="O26" s="221">
        <v>0</v>
      </c>
      <c r="P26" s="221">
        <v>0</v>
      </c>
      <c r="Q26" s="80">
        <f>ROUND(F26*512/1000,2)</f>
        <v>0</v>
      </c>
      <c r="R26" s="221">
        <v>0</v>
      </c>
      <c r="S26" s="223">
        <f>ROUND(F26*T26/50,2)</f>
        <v>0</v>
      </c>
      <c r="T26" s="220">
        <v>48</v>
      </c>
      <c r="U26" s="80" t="s">
        <v>4</v>
      </c>
    </row>
    <row r="27" spans="1:21" ht="20.100000000000001" hidden="1" customHeight="1">
      <c r="A27" s="218">
        <v>16</v>
      </c>
      <c r="B27" s="147" t="s">
        <v>854</v>
      </c>
      <c r="C27" s="220">
        <f>ESTIMATE!I226</f>
        <v>0</v>
      </c>
      <c r="D27" s="220">
        <f>ESTIMATE!I658</f>
        <v>0</v>
      </c>
      <c r="E27" s="220">
        <f>ESTIMATE!I1034</f>
        <v>0</v>
      </c>
      <c r="F27" s="220">
        <f>SUM(C27:E27)</f>
        <v>0</v>
      </c>
      <c r="G27" s="220" t="s">
        <v>410</v>
      </c>
      <c r="H27" s="221">
        <v>0</v>
      </c>
      <c r="I27" s="221">
        <v>0</v>
      </c>
      <c r="J27" s="221">
        <v>0</v>
      </c>
      <c r="K27" s="218">
        <v>0</v>
      </c>
      <c r="L27" s="221">
        <v>0</v>
      </c>
      <c r="M27" s="80">
        <f>ROUND(F27*0.022,2)</f>
        <v>0</v>
      </c>
      <c r="N27" s="221">
        <v>0</v>
      </c>
      <c r="O27" s="221">
        <v>0</v>
      </c>
      <c r="P27" s="221">
        <v>0</v>
      </c>
      <c r="Q27" s="80">
        <f>ROUND(F27*512*0.1/1000,2)</f>
        <v>0</v>
      </c>
      <c r="R27" s="221">
        <v>0</v>
      </c>
      <c r="S27" s="223">
        <f>ROUND(F27*T27/50,2)</f>
        <v>0</v>
      </c>
      <c r="T27" s="220">
        <v>10.6</v>
      </c>
      <c r="U27" s="80" t="s">
        <v>4</v>
      </c>
    </row>
    <row r="28" spans="1:21" ht="20.100000000000001" hidden="1" customHeight="1">
      <c r="A28" s="218">
        <v>16</v>
      </c>
      <c r="B28" s="147" t="s">
        <v>980</v>
      </c>
      <c r="C28" s="220">
        <f>ESTIMATE!I234</f>
        <v>0</v>
      </c>
      <c r="D28" s="220">
        <f>ESTIMATE!I669</f>
        <v>0</v>
      </c>
      <c r="E28" s="220">
        <f>ESTIMATE!I1045</f>
        <v>0</v>
      </c>
      <c r="F28" s="220">
        <f t="shared" ref="F28:F29" si="12">SUM(C28:E28)</f>
        <v>0</v>
      </c>
      <c r="G28" s="220" t="s">
        <v>409</v>
      </c>
      <c r="H28" s="221">
        <v>0</v>
      </c>
      <c r="I28" s="221">
        <v>0</v>
      </c>
      <c r="J28" s="221">
        <v>0</v>
      </c>
      <c r="K28" s="218">
        <v>0</v>
      </c>
      <c r="L28" s="221">
        <v>0</v>
      </c>
      <c r="M28" s="80">
        <f>ROUND(F28*0.1*1.05,2)</f>
        <v>0</v>
      </c>
      <c r="N28" s="221">
        <v>0</v>
      </c>
      <c r="O28" s="221">
        <v>0</v>
      </c>
      <c r="P28" s="221">
        <v>0</v>
      </c>
      <c r="Q28" s="80">
        <f>ROUND(F28*110/1000,2)</f>
        <v>0</v>
      </c>
      <c r="R28" s="221">
        <v>0</v>
      </c>
      <c r="S28" s="223">
        <f>ROUND(F28*T28/50,2)</f>
        <v>0</v>
      </c>
      <c r="T28" s="220">
        <v>24</v>
      </c>
      <c r="U28" s="80" t="s">
        <v>4</v>
      </c>
    </row>
    <row r="29" spans="1:21" ht="20.100000000000001" hidden="1" customHeight="1">
      <c r="A29" s="218">
        <v>26</v>
      </c>
      <c r="B29" s="224" t="s">
        <v>981</v>
      </c>
      <c r="C29" s="220">
        <f>ESTIMATE!I239</f>
        <v>0</v>
      </c>
      <c r="D29" s="220">
        <f>ESTIMATE!I675</f>
        <v>0</v>
      </c>
      <c r="E29" s="220"/>
      <c r="F29" s="220">
        <f t="shared" si="12"/>
        <v>0</v>
      </c>
      <c r="G29" s="220" t="s">
        <v>410</v>
      </c>
      <c r="H29" s="221">
        <v>0</v>
      </c>
      <c r="I29" s="221">
        <v>0</v>
      </c>
      <c r="J29" s="221">
        <v>0</v>
      </c>
      <c r="K29" s="218">
        <v>0</v>
      </c>
      <c r="L29" s="221">
        <v>0</v>
      </c>
      <c r="M29" s="221">
        <v>0</v>
      </c>
      <c r="N29" s="80">
        <f>ROUND(F29*((0.015*1.05)+(0.025*1.05)),2)</f>
        <v>0</v>
      </c>
      <c r="O29" s="221">
        <v>0</v>
      </c>
      <c r="P29" s="221">
        <v>0</v>
      </c>
      <c r="Q29" s="221">
        <v>0</v>
      </c>
      <c r="R29" s="221">
        <v>0</v>
      </c>
      <c r="S29" s="223">
        <f t="shared" ref="S29" si="13">ROUND(F29*T29/50,2)</f>
        <v>0</v>
      </c>
      <c r="T29" s="220">
        <v>20.89</v>
      </c>
      <c r="U29" s="80" t="s">
        <v>4</v>
      </c>
    </row>
    <row r="30" spans="1:21" ht="20.100000000000001" hidden="1" customHeight="1">
      <c r="A30" s="218">
        <v>17</v>
      </c>
      <c r="B30" s="224" t="s">
        <v>135</v>
      </c>
      <c r="C30" s="220">
        <f>ESTIMATE!I256</f>
        <v>79.63</v>
      </c>
      <c r="D30" s="220">
        <f>ESTIMATE!I683</f>
        <v>0</v>
      </c>
      <c r="E30" s="220">
        <f>ESTIMATE!I1055</f>
        <v>0</v>
      </c>
      <c r="F30" s="220">
        <f t="shared" si="0"/>
        <v>79.63</v>
      </c>
      <c r="G30" s="220" t="s">
        <v>410</v>
      </c>
      <c r="H30" s="221">
        <v>0</v>
      </c>
      <c r="I30" s="221">
        <v>0</v>
      </c>
      <c r="J30" s="221">
        <v>0</v>
      </c>
      <c r="K30" s="218">
        <v>0</v>
      </c>
      <c r="L30" s="221">
        <v>0</v>
      </c>
      <c r="M30" s="221">
        <v>0</v>
      </c>
      <c r="N30" s="80">
        <f>ROUND(ROUND((0.015*1.05),3)*ROUND(F30,2),2)</f>
        <v>1.27</v>
      </c>
      <c r="O30" s="221">
        <v>0</v>
      </c>
      <c r="P30" s="221">
        <v>0</v>
      </c>
      <c r="Q30" s="221">
        <v>0</v>
      </c>
      <c r="R30" s="221">
        <v>0</v>
      </c>
      <c r="S30" s="223">
        <f t="shared" si="1"/>
        <v>11.47</v>
      </c>
      <c r="T30" s="220">
        <v>7.2</v>
      </c>
      <c r="U30" s="80" t="s">
        <v>4</v>
      </c>
    </row>
    <row r="31" spans="1:21" ht="20.100000000000001" hidden="1" customHeight="1">
      <c r="A31" s="218">
        <v>18</v>
      </c>
      <c r="B31" s="224" t="s">
        <v>242</v>
      </c>
      <c r="C31" s="220">
        <f>ESTIMATE!I272</f>
        <v>0</v>
      </c>
      <c r="D31" s="220">
        <f>ESTIMATE!I693</f>
        <v>0</v>
      </c>
      <c r="E31" s="220">
        <f>ESTIMATE!I1096</f>
        <v>0</v>
      </c>
      <c r="F31" s="220">
        <f t="shared" si="0"/>
        <v>0</v>
      </c>
      <c r="G31" s="220" t="s">
        <v>410</v>
      </c>
      <c r="H31" s="221">
        <v>0</v>
      </c>
      <c r="I31" s="221">
        <v>0</v>
      </c>
      <c r="J31" s="221">
        <v>0</v>
      </c>
      <c r="K31" s="218">
        <v>0</v>
      </c>
      <c r="L31" s="221">
        <v>0</v>
      </c>
      <c r="M31" s="221">
        <v>0</v>
      </c>
      <c r="N31" s="80">
        <f>ROUND(ROUND((0.015*1.05),3)*ROUND(F31,2),2)</f>
        <v>0</v>
      </c>
      <c r="O31" s="221">
        <v>0</v>
      </c>
      <c r="P31" s="221">
        <v>0</v>
      </c>
      <c r="Q31" s="221">
        <v>0</v>
      </c>
      <c r="R31" s="221">
        <v>0</v>
      </c>
      <c r="S31" s="223">
        <f t="shared" si="1"/>
        <v>0</v>
      </c>
      <c r="T31" s="220">
        <v>4.32</v>
      </c>
      <c r="U31" s="80" t="s">
        <v>4</v>
      </c>
    </row>
    <row r="32" spans="1:21" ht="20.100000000000001" hidden="1" customHeight="1">
      <c r="A32" s="218">
        <v>19</v>
      </c>
      <c r="B32" s="224" t="s">
        <v>590</v>
      </c>
      <c r="C32" s="220">
        <f>ESTIMATE!I277</f>
        <v>0</v>
      </c>
      <c r="D32" s="220">
        <f>ESTIMATE!I701</f>
        <v>0</v>
      </c>
      <c r="E32" s="220">
        <f>ESTIMATE!I1101</f>
        <v>0</v>
      </c>
      <c r="F32" s="220">
        <f>SUM(C32:E32)</f>
        <v>0</v>
      </c>
      <c r="G32" s="220" t="s">
        <v>410</v>
      </c>
      <c r="H32" s="221">
        <v>0</v>
      </c>
      <c r="I32" s="221">
        <v>0</v>
      </c>
      <c r="J32" s="221">
        <v>0</v>
      </c>
      <c r="K32" s="218">
        <v>0</v>
      </c>
      <c r="L32" s="221">
        <v>0</v>
      </c>
      <c r="M32" s="221">
        <v>0</v>
      </c>
      <c r="N32" s="80">
        <f>ROUND(ROUND((0.021*1.05),3)*ROUND(F32,2),2)</f>
        <v>0</v>
      </c>
      <c r="O32" s="221">
        <v>0</v>
      </c>
      <c r="P32" s="221">
        <v>0</v>
      </c>
      <c r="Q32" s="221">
        <v>0</v>
      </c>
      <c r="R32" s="221">
        <v>0</v>
      </c>
      <c r="S32" s="223">
        <f>ROUND(F32*T32/50,2)</f>
        <v>0</v>
      </c>
      <c r="T32" s="220">
        <v>6.05</v>
      </c>
      <c r="U32" s="80" t="s">
        <v>4</v>
      </c>
    </row>
    <row r="33" spans="1:21" ht="20.100000000000001" customHeight="1">
      <c r="A33" s="218">
        <v>2</v>
      </c>
      <c r="B33" s="224" t="s">
        <v>851</v>
      </c>
      <c r="C33" s="220">
        <f>ESTIMATE!I290</f>
        <v>100.18</v>
      </c>
      <c r="D33" s="220">
        <f>ESTIMATE!I726</f>
        <v>0</v>
      </c>
      <c r="E33" s="220">
        <f>ESTIMATE!I1108</f>
        <v>0</v>
      </c>
      <c r="F33" s="220">
        <f t="shared" si="0"/>
        <v>100.18</v>
      </c>
      <c r="G33" s="220" t="s">
        <v>410</v>
      </c>
      <c r="H33" s="221">
        <v>0</v>
      </c>
      <c r="I33" s="221">
        <v>0</v>
      </c>
      <c r="J33" s="221">
        <v>0</v>
      </c>
      <c r="K33" s="218">
        <v>0</v>
      </c>
      <c r="L33" s="221">
        <v>0</v>
      </c>
      <c r="M33" s="221">
        <v>0</v>
      </c>
      <c r="N33" s="80">
        <f>ROUND(F33*0.015*1,2)</f>
        <v>1.5</v>
      </c>
      <c r="O33" s="221">
        <v>0</v>
      </c>
      <c r="P33" s="221">
        <v>0</v>
      </c>
      <c r="Q33" s="221">
        <v>0</v>
      </c>
      <c r="R33" s="221">
        <v>0</v>
      </c>
      <c r="S33" s="223">
        <f t="shared" si="1"/>
        <v>10.199999999999999</v>
      </c>
      <c r="T33" s="220">
        <v>5.09</v>
      </c>
      <c r="U33" s="80" t="s">
        <v>4</v>
      </c>
    </row>
    <row r="34" spans="1:21" ht="20.100000000000001" hidden="1" customHeight="1">
      <c r="A34" s="218">
        <v>21</v>
      </c>
      <c r="B34" s="224" t="s">
        <v>589</v>
      </c>
      <c r="C34" s="220">
        <f>ESTIMATE!I307</f>
        <v>119.98</v>
      </c>
      <c r="D34" s="220">
        <f>ESTIMATE!I734</f>
        <v>0</v>
      </c>
      <c r="E34" s="220">
        <f>ESTIMATE!I1117</f>
        <v>0</v>
      </c>
      <c r="F34" s="220">
        <f t="shared" si="0"/>
        <v>119.98</v>
      </c>
      <c r="G34" s="220" t="s">
        <v>410</v>
      </c>
      <c r="H34" s="221">
        <v>0</v>
      </c>
      <c r="I34" s="221">
        <v>0</v>
      </c>
      <c r="J34" s="221">
        <v>0</v>
      </c>
      <c r="K34" s="218">
        <v>0</v>
      </c>
      <c r="L34" s="221">
        <v>0</v>
      </c>
      <c r="M34" s="221">
        <v>0</v>
      </c>
      <c r="N34" s="80">
        <f>ROUND(F34*0.022*1,2)</f>
        <v>2.64</v>
      </c>
      <c r="O34" s="221">
        <v>0</v>
      </c>
      <c r="P34" s="221">
        <v>0</v>
      </c>
      <c r="Q34" s="221">
        <v>0</v>
      </c>
      <c r="R34" s="221">
        <v>0</v>
      </c>
      <c r="S34" s="223">
        <f t="shared" si="1"/>
        <v>13.8</v>
      </c>
      <c r="T34" s="220">
        <v>5.75</v>
      </c>
      <c r="U34" s="80" t="s">
        <v>4</v>
      </c>
    </row>
    <row r="35" spans="1:21" ht="20.100000000000001" hidden="1" customHeight="1">
      <c r="A35" s="218">
        <v>32</v>
      </c>
      <c r="B35" s="147" t="s">
        <v>436</v>
      </c>
      <c r="C35" s="220">
        <f>ESTIMATE!I324</f>
        <v>0</v>
      </c>
      <c r="D35" s="220">
        <f>ESTIMATE!I740</f>
        <v>0</v>
      </c>
      <c r="E35" s="220">
        <f>ESTIMATE!I1123</f>
        <v>0</v>
      </c>
      <c r="F35" s="220">
        <f>SUM(C35:E35)</f>
        <v>0</v>
      </c>
      <c r="G35" s="220" t="s">
        <v>409</v>
      </c>
      <c r="H35" s="221">
        <v>0</v>
      </c>
      <c r="I35" s="80">
        <f>ROUND(F35*0.8,2)</f>
        <v>0</v>
      </c>
      <c r="J35" s="221">
        <v>0</v>
      </c>
      <c r="K35" s="218">
        <v>0</v>
      </c>
      <c r="L35" s="80">
        <f>ROUND(F35*0.4,2)</f>
        <v>0</v>
      </c>
      <c r="M35" s="218">
        <v>0</v>
      </c>
      <c r="N35" s="218">
        <v>0</v>
      </c>
      <c r="O35" s="221">
        <v>0</v>
      </c>
      <c r="P35" s="221">
        <v>0</v>
      </c>
      <c r="Q35" s="221">
        <v>0</v>
      </c>
      <c r="R35" s="221">
        <v>0</v>
      </c>
      <c r="S35" s="223">
        <f>ROUND(F35*T35/50,2)</f>
        <v>0</v>
      </c>
      <c r="T35" s="220">
        <f t="shared" ref="T35" si="14">$T$10</f>
        <v>330</v>
      </c>
      <c r="U35" s="80" t="s">
        <v>4</v>
      </c>
    </row>
    <row r="36" spans="1:21" ht="20.100000000000001" customHeight="1">
      <c r="A36" s="218">
        <v>3</v>
      </c>
      <c r="B36" s="224" t="s">
        <v>245</v>
      </c>
      <c r="C36" s="220">
        <f>ESTIMATE!I333</f>
        <v>50.230000000000004</v>
      </c>
      <c r="D36" s="220">
        <f>ESTIMATE!I748</f>
        <v>0</v>
      </c>
      <c r="E36" s="220">
        <f>ESTIMATE!I1133</f>
        <v>0</v>
      </c>
      <c r="F36" s="220">
        <f t="shared" si="0"/>
        <v>50.230000000000004</v>
      </c>
      <c r="G36" s="220" t="s">
        <v>410</v>
      </c>
      <c r="H36" s="221">
        <v>0</v>
      </c>
      <c r="I36" s="221">
        <v>0</v>
      </c>
      <c r="J36" s="221">
        <v>0</v>
      </c>
      <c r="K36" s="218">
        <v>0</v>
      </c>
      <c r="L36" s="221">
        <v>0</v>
      </c>
      <c r="M36" s="80">
        <f>ROUND(F36*0.014,2)</f>
        <v>0.7</v>
      </c>
      <c r="N36" s="221">
        <v>0</v>
      </c>
      <c r="O36" s="221">
        <v>0</v>
      </c>
      <c r="P36" s="221">
        <v>0</v>
      </c>
      <c r="Q36" s="221">
        <v>0</v>
      </c>
      <c r="R36" s="221">
        <v>0</v>
      </c>
      <c r="S36" s="223">
        <f t="shared" si="1"/>
        <v>6.09</v>
      </c>
      <c r="T36" s="220">
        <v>6.06</v>
      </c>
      <c r="U36" s="80" t="s">
        <v>4</v>
      </c>
    </row>
    <row r="37" spans="1:21" ht="20.100000000000001" customHeight="1">
      <c r="A37" s="218">
        <v>4</v>
      </c>
      <c r="B37" s="224" t="s">
        <v>246</v>
      </c>
      <c r="C37" s="220">
        <f>ESTIMATE!I346</f>
        <v>5.2499999999999991</v>
      </c>
      <c r="D37" s="220">
        <f>ESTIMATE!I763</f>
        <v>0</v>
      </c>
      <c r="E37" s="220">
        <f>ESTIMATE!I1142</f>
        <v>0</v>
      </c>
      <c r="F37" s="220">
        <f t="shared" si="0"/>
        <v>5.2499999999999991</v>
      </c>
      <c r="G37" s="220" t="s">
        <v>410</v>
      </c>
      <c r="H37" s="221">
        <v>0</v>
      </c>
      <c r="I37" s="221">
        <v>0</v>
      </c>
      <c r="J37" s="221">
        <v>0</v>
      </c>
      <c r="K37" s="218">
        <v>0</v>
      </c>
      <c r="L37" s="221">
        <v>0</v>
      </c>
      <c r="M37" s="80">
        <f>ROUND(F37*0.012,2)</f>
        <v>0.06</v>
      </c>
      <c r="N37" s="221">
        <v>0</v>
      </c>
      <c r="O37" s="221">
        <v>0</v>
      </c>
      <c r="P37" s="221">
        <v>0</v>
      </c>
      <c r="Q37" s="221">
        <v>0</v>
      </c>
      <c r="R37" s="221">
        <v>0</v>
      </c>
      <c r="S37" s="223">
        <f t="shared" si="1"/>
        <v>0.71</v>
      </c>
      <c r="T37" s="225">
        <v>6.7560000000000002</v>
      </c>
      <c r="U37" s="80" t="s">
        <v>4</v>
      </c>
    </row>
    <row r="38" spans="1:21" ht="20.100000000000001" hidden="1" customHeight="1">
      <c r="A38" s="218">
        <v>21</v>
      </c>
      <c r="B38" s="224" t="s">
        <v>666</v>
      </c>
      <c r="C38" s="220">
        <f>ESTIMATE!I353</f>
        <v>0</v>
      </c>
      <c r="D38" s="220">
        <f>ESTIMATE!I770</f>
        <v>0</v>
      </c>
      <c r="E38" s="220">
        <f>ESTIMATE!I1153</f>
        <v>0</v>
      </c>
      <c r="F38" s="220">
        <f t="shared" si="0"/>
        <v>0</v>
      </c>
      <c r="G38" s="220" t="s">
        <v>410</v>
      </c>
      <c r="H38" s="221">
        <v>0</v>
      </c>
      <c r="I38" s="221">
        <v>0</v>
      </c>
      <c r="J38" s="221">
        <v>0</v>
      </c>
      <c r="K38" s="218">
        <v>0</v>
      </c>
      <c r="L38" s="221">
        <v>0</v>
      </c>
      <c r="M38" s="80">
        <f>ROUND(F38*0.014,2)</f>
        <v>0</v>
      </c>
      <c r="N38" s="221">
        <v>0</v>
      </c>
      <c r="O38" s="221">
        <v>0</v>
      </c>
      <c r="P38" s="221">
        <v>0</v>
      </c>
      <c r="Q38" s="221">
        <v>0</v>
      </c>
      <c r="R38" s="221">
        <v>0</v>
      </c>
      <c r="S38" s="223">
        <f t="shared" si="1"/>
        <v>0</v>
      </c>
      <c r="T38" s="220">
        <v>7.5</v>
      </c>
      <c r="U38" s="80" t="s">
        <v>4</v>
      </c>
    </row>
    <row r="39" spans="1:21" ht="20.100000000000001" hidden="1" customHeight="1">
      <c r="A39" s="218">
        <v>22</v>
      </c>
      <c r="B39" s="224" t="s">
        <v>667</v>
      </c>
      <c r="C39" s="220">
        <f>ESTIMATE!I360</f>
        <v>0</v>
      </c>
      <c r="D39" s="220">
        <f>ESTIMATE!I776</f>
        <v>0</v>
      </c>
      <c r="E39" s="220">
        <f>ESTIMATE!I1162</f>
        <v>0</v>
      </c>
      <c r="F39" s="220">
        <f t="shared" si="0"/>
        <v>0</v>
      </c>
      <c r="G39" s="220" t="s">
        <v>410</v>
      </c>
      <c r="H39" s="221">
        <v>0</v>
      </c>
      <c r="I39" s="221">
        <v>0</v>
      </c>
      <c r="J39" s="221">
        <v>0</v>
      </c>
      <c r="K39" s="218">
        <v>0</v>
      </c>
      <c r="L39" s="221">
        <v>0</v>
      </c>
      <c r="M39" s="80">
        <f>ROUND(F39*0.012,2)</f>
        <v>0</v>
      </c>
      <c r="N39" s="221">
        <v>0</v>
      </c>
      <c r="O39" s="221">
        <v>0</v>
      </c>
      <c r="P39" s="221">
        <v>0</v>
      </c>
      <c r="Q39" s="221">
        <v>0</v>
      </c>
      <c r="R39" s="221">
        <v>0</v>
      </c>
      <c r="S39" s="223">
        <f t="shared" si="1"/>
        <v>0</v>
      </c>
      <c r="T39" s="225">
        <v>9.06</v>
      </c>
      <c r="U39" s="80" t="s">
        <v>4</v>
      </c>
    </row>
    <row r="40" spans="1:21" ht="20.100000000000001" hidden="1" customHeight="1">
      <c r="A40" s="218">
        <v>37</v>
      </c>
      <c r="B40" s="224" t="s">
        <v>668</v>
      </c>
      <c r="C40" s="220">
        <f>ESTIMATE!I372</f>
        <v>0</v>
      </c>
      <c r="D40" s="220">
        <f>ESTIMATE!I791</f>
        <v>0</v>
      </c>
      <c r="E40" s="220">
        <f>ESTIMATE!I1177</f>
        <v>0</v>
      </c>
      <c r="F40" s="220">
        <f t="shared" si="0"/>
        <v>0</v>
      </c>
      <c r="G40" s="220" t="s">
        <v>410</v>
      </c>
      <c r="H40" s="221">
        <v>0</v>
      </c>
      <c r="I40" s="221">
        <v>0</v>
      </c>
      <c r="J40" s="221">
        <v>0</v>
      </c>
      <c r="K40" s="218">
        <v>0</v>
      </c>
      <c r="L40" s="221">
        <v>0</v>
      </c>
      <c r="M40" s="80">
        <f>ROUND(F40*0.014,2)</f>
        <v>0</v>
      </c>
      <c r="N40" s="221">
        <v>0</v>
      </c>
      <c r="O40" s="221">
        <v>0</v>
      </c>
      <c r="P40" s="221">
        <v>0</v>
      </c>
      <c r="Q40" s="221">
        <v>0</v>
      </c>
      <c r="R40" s="221">
        <v>0</v>
      </c>
      <c r="S40" s="223">
        <f t="shared" si="1"/>
        <v>0</v>
      </c>
      <c r="T40" s="220">
        <v>7.5</v>
      </c>
      <c r="U40" s="80" t="s">
        <v>4</v>
      </c>
    </row>
    <row r="41" spans="1:21" ht="20.100000000000001" hidden="1" customHeight="1">
      <c r="A41" s="218">
        <v>38</v>
      </c>
      <c r="B41" s="224" t="s">
        <v>669</v>
      </c>
      <c r="C41" s="220">
        <f>ESTIMATE!I382</f>
        <v>0</v>
      </c>
      <c r="D41" s="220">
        <f>ESTIMATE!I801</f>
        <v>0</v>
      </c>
      <c r="E41" s="220">
        <f>ESTIMATE!I1187</f>
        <v>0</v>
      </c>
      <c r="F41" s="220">
        <f t="shared" si="0"/>
        <v>0</v>
      </c>
      <c r="G41" s="220" t="s">
        <v>410</v>
      </c>
      <c r="H41" s="221">
        <v>0</v>
      </c>
      <c r="I41" s="221">
        <v>0</v>
      </c>
      <c r="J41" s="221">
        <v>0</v>
      </c>
      <c r="K41" s="218">
        <v>0</v>
      </c>
      <c r="L41" s="221">
        <v>0</v>
      </c>
      <c r="M41" s="80">
        <f>ROUND(F41*0.012,2)</f>
        <v>0</v>
      </c>
      <c r="N41" s="221">
        <v>0</v>
      </c>
      <c r="O41" s="221">
        <v>0</v>
      </c>
      <c r="P41" s="221">
        <v>0</v>
      </c>
      <c r="Q41" s="221">
        <v>0</v>
      </c>
      <c r="R41" s="221">
        <v>0</v>
      </c>
      <c r="S41" s="223">
        <f t="shared" si="1"/>
        <v>0</v>
      </c>
      <c r="T41" s="225">
        <v>6.7560000000000002</v>
      </c>
      <c r="U41" s="80" t="s">
        <v>4</v>
      </c>
    </row>
    <row r="42" spans="1:21" ht="20.100000000000001" customHeight="1">
      <c r="A42" s="218">
        <v>5</v>
      </c>
      <c r="B42" s="224" t="s">
        <v>243</v>
      </c>
      <c r="C42" s="220">
        <f>ESTIMATE!I386</f>
        <v>0</v>
      </c>
      <c r="D42" s="220">
        <f>ESTIMATE!I806</f>
        <v>0</v>
      </c>
      <c r="E42" s="220">
        <f>ESTIMATE!I1201</f>
        <v>0</v>
      </c>
      <c r="F42" s="220">
        <f t="shared" si="0"/>
        <v>0</v>
      </c>
      <c r="G42" s="220" t="s">
        <v>410</v>
      </c>
      <c r="H42" s="221">
        <v>0</v>
      </c>
      <c r="I42" s="221">
        <v>0</v>
      </c>
      <c r="J42" s="221">
        <v>0</v>
      </c>
      <c r="K42" s="218">
        <v>0</v>
      </c>
      <c r="L42" s="221">
        <v>0</v>
      </c>
      <c r="M42" s="80">
        <f>ROUND(F42*0.012,2)</f>
        <v>0</v>
      </c>
      <c r="N42" s="221">
        <v>0</v>
      </c>
      <c r="O42" s="221">
        <v>0</v>
      </c>
      <c r="P42" s="221">
        <v>0</v>
      </c>
      <c r="Q42" s="221">
        <v>0</v>
      </c>
      <c r="R42" s="221">
        <v>0</v>
      </c>
      <c r="S42" s="223">
        <f t="shared" si="1"/>
        <v>0</v>
      </c>
      <c r="T42" s="220">
        <v>5.46</v>
      </c>
      <c r="U42" s="80" t="s">
        <v>4</v>
      </c>
    </row>
    <row r="43" spans="1:21" ht="20.100000000000001" customHeight="1">
      <c r="A43" s="218">
        <v>6</v>
      </c>
      <c r="B43" s="224" t="s">
        <v>244</v>
      </c>
      <c r="C43" s="220">
        <f>ESTIMATE!I392</f>
        <v>0</v>
      </c>
      <c r="D43" s="220">
        <f>ESTIMATE!I812</f>
        <v>0</v>
      </c>
      <c r="E43" s="220">
        <f>ESTIMATE!I1207</f>
        <v>0</v>
      </c>
      <c r="F43" s="220">
        <f t="shared" si="0"/>
        <v>0</v>
      </c>
      <c r="G43" s="220" t="s">
        <v>410</v>
      </c>
      <c r="H43" s="221">
        <v>0</v>
      </c>
      <c r="I43" s="221">
        <v>0</v>
      </c>
      <c r="J43" s="221">
        <v>0</v>
      </c>
      <c r="K43" s="218">
        <v>0</v>
      </c>
      <c r="L43" s="221">
        <v>0</v>
      </c>
      <c r="M43" s="80">
        <f>ROUND(F43*0.012,2)</f>
        <v>0</v>
      </c>
      <c r="N43" s="221">
        <v>0</v>
      </c>
      <c r="O43" s="221">
        <v>0</v>
      </c>
      <c r="P43" s="221">
        <v>0</v>
      </c>
      <c r="Q43" s="221">
        <v>0</v>
      </c>
      <c r="R43" s="221">
        <v>0</v>
      </c>
      <c r="S43" s="223">
        <f t="shared" si="1"/>
        <v>0</v>
      </c>
      <c r="T43" s="220">
        <v>9.06</v>
      </c>
      <c r="U43" s="80" t="s">
        <v>4</v>
      </c>
    </row>
    <row r="44" spans="1:21" ht="20.100000000000001" hidden="1" customHeight="1">
      <c r="A44" s="218">
        <v>22</v>
      </c>
      <c r="B44" s="224" t="s">
        <v>982</v>
      </c>
      <c r="C44" s="220">
        <f>ESTIMATE!I397</f>
        <v>0</v>
      </c>
      <c r="D44" s="220">
        <f>ESTIMATE!I820</f>
        <v>0</v>
      </c>
      <c r="E44" s="220">
        <f>ESTIMATE!I1215</f>
        <v>0</v>
      </c>
      <c r="F44" s="220">
        <f t="shared" ref="F44" si="15">SUM(C44:E44)</f>
        <v>0</v>
      </c>
      <c r="G44" s="220" t="s">
        <v>410</v>
      </c>
      <c r="H44" s="221">
        <v>0</v>
      </c>
      <c r="I44" s="221">
        <v>0</v>
      </c>
      <c r="J44" s="221">
        <v>0</v>
      </c>
      <c r="K44" s="218">
        <v>0</v>
      </c>
      <c r="L44" s="221">
        <v>0</v>
      </c>
      <c r="M44" s="80">
        <f>ROUND(F44*0.008*1,2)</f>
        <v>0</v>
      </c>
      <c r="N44" s="221">
        <v>0</v>
      </c>
      <c r="O44" s="221">
        <v>0</v>
      </c>
      <c r="P44" s="221">
        <v>0</v>
      </c>
      <c r="Q44" s="221">
        <v>0</v>
      </c>
      <c r="R44" s="221">
        <v>0</v>
      </c>
      <c r="S44" s="223">
        <f t="shared" si="1"/>
        <v>0</v>
      </c>
      <c r="T44" s="220">
        <v>2.76</v>
      </c>
      <c r="U44" s="80" t="s">
        <v>4</v>
      </c>
    </row>
    <row r="45" spans="1:21" ht="18" customHeight="1">
      <c r="A45" s="218"/>
      <c r="B45" s="224"/>
      <c r="C45" s="224"/>
      <c r="D45" s="224"/>
      <c r="E45" s="224"/>
      <c r="F45" s="220"/>
      <c r="G45" s="220"/>
      <c r="H45" s="80"/>
      <c r="I45" s="80"/>
      <c r="J45" s="80"/>
      <c r="K45" s="80"/>
      <c r="L45" s="80"/>
      <c r="M45" s="80"/>
      <c r="N45" s="221"/>
      <c r="O45" s="80"/>
      <c r="P45" s="80"/>
      <c r="Q45" s="221"/>
      <c r="R45" s="80"/>
      <c r="S45" s="80"/>
      <c r="T45" s="220"/>
      <c r="U45" s="80"/>
    </row>
    <row r="46" spans="1:21" ht="25.5">
      <c r="A46" s="147"/>
      <c r="B46" s="147"/>
      <c r="C46" s="147"/>
      <c r="D46" s="147"/>
      <c r="E46" s="147"/>
      <c r="F46" s="146" t="s">
        <v>103</v>
      </c>
      <c r="G46" s="147"/>
      <c r="H46" s="149">
        <f t="shared" ref="H46:S46" si="16">SUM(H4:H45)</f>
        <v>4.91</v>
      </c>
      <c r="I46" s="149">
        <f t="shared" si="16"/>
        <v>10.37</v>
      </c>
      <c r="J46" s="149">
        <f t="shared" si="16"/>
        <v>0</v>
      </c>
      <c r="K46" s="149">
        <f t="shared" si="16"/>
        <v>0</v>
      </c>
      <c r="L46" s="149">
        <f t="shared" si="16"/>
        <v>7.63</v>
      </c>
      <c r="M46" s="149">
        <f t="shared" si="16"/>
        <v>4.5799999999999992</v>
      </c>
      <c r="N46" s="149">
        <f t="shared" si="16"/>
        <v>6.52</v>
      </c>
      <c r="O46" s="149">
        <f t="shared" si="16"/>
        <v>1.53</v>
      </c>
      <c r="P46" s="149">
        <f t="shared" si="16"/>
        <v>0</v>
      </c>
      <c r="Q46" s="149">
        <f t="shared" si="16"/>
        <v>9.77</v>
      </c>
      <c r="R46" s="149">
        <f t="shared" si="16"/>
        <v>0</v>
      </c>
      <c r="S46" s="149">
        <f t="shared" si="16"/>
        <v>169.17000000000002</v>
      </c>
      <c r="T46" s="226" t="s">
        <v>140</v>
      </c>
      <c r="U46" s="147"/>
    </row>
    <row r="47" spans="1:21" ht="27.75">
      <c r="A47" s="147"/>
      <c r="B47" s="147"/>
      <c r="C47" s="147"/>
      <c r="D47" s="147"/>
      <c r="E47" s="147"/>
      <c r="F47" s="146" t="s">
        <v>411</v>
      </c>
      <c r="G47" s="147"/>
      <c r="H47" s="227">
        <v>90</v>
      </c>
      <c r="I47" s="227">
        <v>90</v>
      </c>
      <c r="J47" s="227">
        <v>90</v>
      </c>
      <c r="K47" s="227">
        <v>90</v>
      </c>
      <c r="L47" s="227">
        <v>100</v>
      </c>
      <c r="M47" s="227">
        <v>100</v>
      </c>
      <c r="N47" s="227">
        <v>100</v>
      </c>
      <c r="O47" s="227">
        <v>100</v>
      </c>
      <c r="P47" s="227">
        <v>45</v>
      </c>
      <c r="Q47" s="227">
        <v>80</v>
      </c>
      <c r="R47" s="227">
        <v>45</v>
      </c>
      <c r="S47" s="228">
        <f>ROUND((S46*50)/1000,2)</f>
        <v>8.4600000000000009</v>
      </c>
      <c r="T47" s="226" t="s">
        <v>29</v>
      </c>
      <c r="U47" s="147"/>
    </row>
    <row r="48" spans="1:21" ht="20.100000000000001" customHeight="1">
      <c r="A48" s="147"/>
      <c r="B48" s="147"/>
      <c r="C48" s="147"/>
      <c r="D48" s="147"/>
      <c r="E48" s="147"/>
      <c r="F48" s="147"/>
      <c r="G48" s="146" t="s">
        <v>104</v>
      </c>
      <c r="H48" s="148">
        <f t="shared" ref="H48:P48" si="17">ROUND(H46*H47,0)</f>
        <v>442</v>
      </c>
      <c r="I48" s="148">
        <f t="shared" si="17"/>
        <v>933</v>
      </c>
      <c r="J48" s="148">
        <f t="shared" si="17"/>
        <v>0</v>
      </c>
      <c r="K48" s="148">
        <f t="shared" si="17"/>
        <v>0</v>
      </c>
      <c r="L48" s="148">
        <f t="shared" si="17"/>
        <v>763</v>
      </c>
      <c r="M48" s="148">
        <f t="shared" si="17"/>
        <v>458</v>
      </c>
      <c r="N48" s="148">
        <f t="shared" si="17"/>
        <v>652</v>
      </c>
      <c r="O48" s="148">
        <f t="shared" si="17"/>
        <v>153</v>
      </c>
      <c r="P48" s="148">
        <f t="shared" si="17"/>
        <v>0</v>
      </c>
      <c r="Q48" s="148">
        <f>ROUND(Q46*Q47/1,0)</f>
        <v>782</v>
      </c>
      <c r="R48" s="148">
        <f t="shared" ref="R48" si="18">ROUND(R46*R47,0)</f>
        <v>0</v>
      </c>
      <c r="S48" s="228"/>
      <c r="T48" s="226"/>
      <c r="U48" s="147"/>
    </row>
    <row r="49" spans="1:21">
      <c r="A49" s="147"/>
      <c r="B49" s="147"/>
      <c r="C49" s="147"/>
      <c r="D49" s="147"/>
      <c r="E49" s="147"/>
      <c r="F49" s="226" t="s">
        <v>138</v>
      </c>
      <c r="G49" s="229" t="s">
        <v>104</v>
      </c>
      <c r="H49" s="230">
        <f>SUM(H48:R48)</f>
        <v>4183</v>
      </c>
      <c r="I49" s="230"/>
      <c r="J49" s="230"/>
      <c r="K49" s="230"/>
      <c r="L49" s="147"/>
      <c r="M49" s="147"/>
      <c r="N49" s="147"/>
      <c r="O49" s="147"/>
      <c r="P49" s="147"/>
      <c r="Q49" s="147"/>
      <c r="R49" s="147"/>
      <c r="S49" s="231"/>
      <c r="T49" s="232"/>
      <c r="U49" s="147"/>
    </row>
    <row r="52" spans="1:21">
      <c r="N52" s="150"/>
      <c r="O52" s="150"/>
      <c r="P52" s="150"/>
      <c r="Q52" s="150"/>
      <c r="R52" s="150"/>
      <c r="S52" s="150"/>
      <c r="T52" s="150"/>
      <c r="U52" s="150"/>
    </row>
    <row r="53" spans="1:21">
      <c r="M53" s="135" t="str">
        <f>'lead 24-25'!$H$32</f>
        <v>Deputy Executive Engineer</v>
      </c>
      <c r="R53" s="135" t="str">
        <f>'lead 24-25'!$K$32</f>
        <v>Assistant  Engineer</v>
      </c>
    </row>
    <row r="54" spans="1:21">
      <c r="M54" s="135" t="str">
        <f>'lead 24-25'!$H$33</f>
        <v>PRI Sub Division</v>
      </c>
      <c r="N54" s="150"/>
      <c r="O54" s="150"/>
      <c r="P54" s="150"/>
      <c r="Q54" s="150"/>
      <c r="R54" s="135" t="str">
        <f>'lead 24-25'!$K$33</f>
        <v>Mandal Praja parishad</v>
      </c>
      <c r="S54" s="150"/>
      <c r="T54" s="150"/>
      <c r="U54" s="150"/>
    </row>
    <row r="55" spans="1:21">
      <c r="M55" s="135" t="str">
        <f>'lead 24-25'!$H$34</f>
        <v>Kanigiri</v>
      </c>
      <c r="N55" s="150"/>
      <c r="O55" s="150"/>
      <c r="P55" s="150"/>
      <c r="Q55" s="150"/>
      <c r="R55" s="135" t="str">
        <f>'lead 24-25'!$K$34</f>
        <v>P.C.Palli</v>
      </c>
      <c r="S55" s="150"/>
      <c r="T55" s="150"/>
      <c r="U55" s="150"/>
    </row>
    <row r="493" spans="16:16">
      <c r="P493" s="145" t="s">
        <v>0</v>
      </c>
    </row>
  </sheetData>
  <autoFilter ref="A3:U44" xr:uid="{00000000-0009-0000-0000-000013000000}">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71" orientation="landscape"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B050"/>
  </sheetPr>
  <dimension ref="A1:I7"/>
  <sheetViews>
    <sheetView zoomScale="115" zoomScaleNormal="115" workbookViewId="0">
      <selection activeCell="A2" sqref="A2:I2"/>
    </sheetView>
  </sheetViews>
  <sheetFormatPr defaultRowHeight="12.75"/>
  <cols>
    <col min="1" max="1" width="9.140625" style="342"/>
    <col min="2" max="2" width="9.85546875" style="342" customWidth="1"/>
    <col min="3" max="6" width="9.140625" style="342"/>
    <col min="7" max="7" width="11" style="342" customWidth="1"/>
    <col min="8" max="8" width="11.28515625" style="342" customWidth="1"/>
    <col min="9" max="257" width="9.140625" style="342"/>
    <col min="258" max="258" width="9.85546875" style="342" customWidth="1"/>
    <col min="259" max="262" width="9.140625" style="342"/>
    <col min="263" max="263" width="11" style="342" customWidth="1"/>
    <col min="264" max="264" width="11.28515625" style="342" customWidth="1"/>
    <col min="265" max="513" width="9.140625" style="342"/>
    <col min="514" max="514" width="9.85546875" style="342" customWidth="1"/>
    <col min="515" max="518" width="9.140625" style="342"/>
    <col min="519" max="519" width="11" style="342" customWidth="1"/>
    <col min="520" max="520" width="11.28515625" style="342" customWidth="1"/>
    <col min="521" max="769" width="9.140625" style="342"/>
    <col min="770" max="770" width="9.85546875" style="342" customWidth="1"/>
    <col min="771" max="774" width="9.140625" style="342"/>
    <col min="775" max="775" width="11" style="342" customWidth="1"/>
    <col min="776" max="776" width="11.28515625" style="342" customWidth="1"/>
    <col min="777" max="1025" width="9.140625" style="342"/>
    <col min="1026" max="1026" width="9.85546875" style="342" customWidth="1"/>
    <col min="1027" max="1030" width="9.140625" style="342"/>
    <col min="1031" max="1031" width="11" style="342" customWidth="1"/>
    <col min="1032" max="1032" width="11.28515625" style="342" customWidth="1"/>
    <col min="1033" max="1281" width="9.140625" style="342"/>
    <col min="1282" max="1282" width="9.85546875" style="342" customWidth="1"/>
    <col min="1283" max="1286" width="9.140625" style="342"/>
    <col min="1287" max="1287" width="11" style="342" customWidth="1"/>
    <col min="1288" max="1288" width="11.28515625" style="342" customWidth="1"/>
    <col min="1289" max="1537" width="9.140625" style="342"/>
    <col min="1538" max="1538" width="9.85546875" style="342" customWidth="1"/>
    <col min="1539" max="1542" width="9.140625" style="342"/>
    <col min="1543" max="1543" width="11" style="342" customWidth="1"/>
    <col min="1544" max="1544" width="11.28515625" style="342" customWidth="1"/>
    <col min="1545" max="1793" width="9.140625" style="342"/>
    <col min="1794" max="1794" width="9.85546875" style="342" customWidth="1"/>
    <col min="1795" max="1798" width="9.140625" style="342"/>
    <col min="1799" max="1799" width="11" style="342" customWidth="1"/>
    <col min="1800" max="1800" width="11.28515625" style="342" customWidth="1"/>
    <col min="1801" max="2049" width="9.140625" style="342"/>
    <col min="2050" max="2050" width="9.85546875" style="342" customWidth="1"/>
    <col min="2051" max="2054" width="9.140625" style="342"/>
    <col min="2055" max="2055" width="11" style="342" customWidth="1"/>
    <col min="2056" max="2056" width="11.28515625" style="342" customWidth="1"/>
    <col min="2057" max="2305" width="9.140625" style="342"/>
    <col min="2306" max="2306" width="9.85546875" style="342" customWidth="1"/>
    <col min="2307" max="2310" width="9.140625" style="342"/>
    <col min="2311" max="2311" width="11" style="342" customWidth="1"/>
    <col min="2312" max="2312" width="11.28515625" style="342" customWidth="1"/>
    <col min="2313" max="2561" width="9.140625" style="342"/>
    <col min="2562" max="2562" width="9.85546875" style="342" customWidth="1"/>
    <col min="2563" max="2566" width="9.140625" style="342"/>
    <col min="2567" max="2567" width="11" style="342" customWidth="1"/>
    <col min="2568" max="2568" width="11.28515625" style="342" customWidth="1"/>
    <col min="2569" max="2817" width="9.140625" style="342"/>
    <col min="2818" max="2818" width="9.85546875" style="342" customWidth="1"/>
    <col min="2819" max="2822" width="9.140625" style="342"/>
    <col min="2823" max="2823" width="11" style="342" customWidth="1"/>
    <col min="2824" max="2824" width="11.28515625" style="342" customWidth="1"/>
    <col min="2825" max="3073" width="9.140625" style="342"/>
    <col min="3074" max="3074" width="9.85546875" style="342" customWidth="1"/>
    <col min="3075" max="3078" width="9.140625" style="342"/>
    <col min="3079" max="3079" width="11" style="342" customWidth="1"/>
    <col min="3080" max="3080" width="11.28515625" style="342" customWidth="1"/>
    <col min="3081" max="3329" width="9.140625" style="342"/>
    <col min="3330" max="3330" width="9.85546875" style="342" customWidth="1"/>
    <col min="3331" max="3334" width="9.140625" style="342"/>
    <col min="3335" max="3335" width="11" style="342" customWidth="1"/>
    <col min="3336" max="3336" width="11.28515625" style="342" customWidth="1"/>
    <col min="3337" max="3585" width="9.140625" style="342"/>
    <col min="3586" max="3586" width="9.85546875" style="342" customWidth="1"/>
    <col min="3587" max="3590" width="9.140625" style="342"/>
    <col min="3591" max="3591" width="11" style="342" customWidth="1"/>
    <col min="3592" max="3592" width="11.28515625" style="342" customWidth="1"/>
    <col min="3593" max="3841" width="9.140625" style="342"/>
    <col min="3842" max="3842" width="9.85546875" style="342" customWidth="1"/>
    <col min="3843" max="3846" width="9.140625" style="342"/>
    <col min="3847" max="3847" width="11" style="342" customWidth="1"/>
    <col min="3848" max="3848" width="11.28515625" style="342" customWidth="1"/>
    <col min="3849" max="4097" width="9.140625" style="342"/>
    <col min="4098" max="4098" width="9.85546875" style="342" customWidth="1"/>
    <col min="4099" max="4102" width="9.140625" style="342"/>
    <col min="4103" max="4103" width="11" style="342" customWidth="1"/>
    <col min="4104" max="4104" width="11.28515625" style="342" customWidth="1"/>
    <col min="4105" max="4353" width="9.140625" style="342"/>
    <col min="4354" max="4354" width="9.85546875" style="342" customWidth="1"/>
    <col min="4355" max="4358" width="9.140625" style="342"/>
    <col min="4359" max="4359" width="11" style="342" customWidth="1"/>
    <col min="4360" max="4360" width="11.28515625" style="342" customWidth="1"/>
    <col min="4361" max="4609" width="9.140625" style="342"/>
    <col min="4610" max="4610" width="9.85546875" style="342" customWidth="1"/>
    <col min="4611" max="4614" width="9.140625" style="342"/>
    <col min="4615" max="4615" width="11" style="342" customWidth="1"/>
    <col min="4616" max="4616" width="11.28515625" style="342" customWidth="1"/>
    <col min="4617" max="4865" width="9.140625" style="342"/>
    <col min="4866" max="4866" width="9.85546875" style="342" customWidth="1"/>
    <col min="4867" max="4870" width="9.140625" style="342"/>
    <col min="4871" max="4871" width="11" style="342" customWidth="1"/>
    <col min="4872" max="4872" width="11.28515625" style="342" customWidth="1"/>
    <col min="4873" max="5121" width="9.140625" style="342"/>
    <col min="5122" max="5122" width="9.85546875" style="342" customWidth="1"/>
    <col min="5123" max="5126" width="9.140625" style="342"/>
    <col min="5127" max="5127" width="11" style="342" customWidth="1"/>
    <col min="5128" max="5128" width="11.28515625" style="342" customWidth="1"/>
    <col min="5129" max="5377" width="9.140625" style="342"/>
    <col min="5378" max="5378" width="9.85546875" style="342" customWidth="1"/>
    <col min="5379" max="5382" width="9.140625" style="342"/>
    <col min="5383" max="5383" width="11" style="342" customWidth="1"/>
    <col min="5384" max="5384" width="11.28515625" style="342" customWidth="1"/>
    <col min="5385" max="5633" width="9.140625" style="342"/>
    <col min="5634" max="5634" width="9.85546875" style="342" customWidth="1"/>
    <col min="5635" max="5638" width="9.140625" style="342"/>
    <col min="5639" max="5639" width="11" style="342" customWidth="1"/>
    <col min="5640" max="5640" width="11.28515625" style="342" customWidth="1"/>
    <col min="5641" max="5889" width="9.140625" style="342"/>
    <col min="5890" max="5890" width="9.85546875" style="342" customWidth="1"/>
    <col min="5891" max="5894" width="9.140625" style="342"/>
    <col min="5895" max="5895" width="11" style="342" customWidth="1"/>
    <col min="5896" max="5896" width="11.28515625" style="342" customWidth="1"/>
    <col min="5897" max="6145" width="9.140625" style="342"/>
    <col min="6146" max="6146" width="9.85546875" style="342" customWidth="1"/>
    <col min="6147" max="6150" width="9.140625" style="342"/>
    <col min="6151" max="6151" width="11" style="342" customWidth="1"/>
    <col min="6152" max="6152" width="11.28515625" style="342" customWidth="1"/>
    <col min="6153" max="6401" width="9.140625" style="342"/>
    <col min="6402" max="6402" width="9.85546875" style="342" customWidth="1"/>
    <col min="6403" max="6406" width="9.140625" style="342"/>
    <col min="6407" max="6407" width="11" style="342" customWidth="1"/>
    <col min="6408" max="6408" width="11.28515625" style="342" customWidth="1"/>
    <col min="6409" max="6657" width="9.140625" style="342"/>
    <col min="6658" max="6658" width="9.85546875" style="342" customWidth="1"/>
    <col min="6659" max="6662" width="9.140625" style="342"/>
    <col min="6663" max="6663" width="11" style="342" customWidth="1"/>
    <col min="6664" max="6664" width="11.28515625" style="342" customWidth="1"/>
    <col min="6665" max="6913" width="9.140625" style="342"/>
    <col min="6914" max="6914" width="9.85546875" style="342" customWidth="1"/>
    <col min="6915" max="6918" width="9.140625" style="342"/>
    <col min="6919" max="6919" width="11" style="342" customWidth="1"/>
    <col min="6920" max="6920" width="11.28515625" style="342" customWidth="1"/>
    <col min="6921" max="7169" width="9.140625" style="342"/>
    <col min="7170" max="7170" width="9.85546875" style="342" customWidth="1"/>
    <col min="7171" max="7174" width="9.140625" style="342"/>
    <col min="7175" max="7175" width="11" style="342" customWidth="1"/>
    <col min="7176" max="7176" width="11.28515625" style="342" customWidth="1"/>
    <col min="7177" max="7425" width="9.140625" style="342"/>
    <col min="7426" max="7426" width="9.85546875" style="342" customWidth="1"/>
    <col min="7427" max="7430" width="9.140625" style="342"/>
    <col min="7431" max="7431" width="11" style="342" customWidth="1"/>
    <col min="7432" max="7432" width="11.28515625" style="342" customWidth="1"/>
    <col min="7433" max="7681" width="9.140625" style="342"/>
    <col min="7682" max="7682" width="9.85546875" style="342" customWidth="1"/>
    <col min="7683" max="7686" width="9.140625" style="342"/>
    <col min="7687" max="7687" width="11" style="342" customWidth="1"/>
    <col min="7688" max="7688" width="11.28515625" style="342" customWidth="1"/>
    <col min="7689" max="7937" width="9.140625" style="342"/>
    <col min="7938" max="7938" width="9.85546875" style="342" customWidth="1"/>
    <col min="7939" max="7942" width="9.140625" style="342"/>
    <col min="7943" max="7943" width="11" style="342" customWidth="1"/>
    <col min="7944" max="7944" width="11.28515625" style="342" customWidth="1"/>
    <col min="7945" max="8193" width="9.140625" style="342"/>
    <col min="8194" max="8194" width="9.85546875" style="342" customWidth="1"/>
    <col min="8195" max="8198" width="9.140625" style="342"/>
    <col min="8199" max="8199" width="11" style="342" customWidth="1"/>
    <col min="8200" max="8200" width="11.28515625" style="342" customWidth="1"/>
    <col min="8201" max="8449" width="9.140625" style="342"/>
    <col min="8450" max="8450" width="9.85546875" style="342" customWidth="1"/>
    <col min="8451" max="8454" width="9.140625" style="342"/>
    <col min="8455" max="8455" width="11" style="342" customWidth="1"/>
    <col min="8456" max="8456" width="11.28515625" style="342" customWidth="1"/>
    <col min="8457" max="8705" width="9.140625" style="342"/>
    <col min="8706" max="8706" width="9.85546875" style="342" customWidth="1"/>
    <col min="8707" max="8710" width="9.140625" style="342"/>
    <col min="8711" max="8711" width="11" style="342" customWidth="1"/>
    <col min="8712" max="8712" width="11.28515625" style="342" customWidth="1"/>
    <col min="8713" max="8961" width="9.140625" style="342"/>
    <col min="8962" max="8962" width="9.85546875" style="342" customWidth="1"/>
    <col min="8963" max="8966" width="9.140625" style="342"/>
    <col min="8967" max="8967" width="11" style="342" customWidth="1"/>
    <col min="8968" max="8968" width="11.28515625" style="342" customWidth="1"/>
    <col min="8969" max="9217" width="9.140625" style="342"/>
    <col min="9218" max="9218" width="9.85546875" style="342" customWidth="1"/>
    <col min="9219" max="9222" width="9.140625" style="342"/>
    <col min="9223" max="9223" width="11" style="342" customWidth="1"/>
    <col min="9224" max="9224" width="11.28515625" style="342" customWidth="1"/>
    <col min="9225" max="9473" width="9.140625" style="342"/>
    <col min="9474" max="9474" width="9.85546875" style="342" customWidth="1"/>
    <col min="9475" max="9478" width="9.140625" style="342"/>
    <col min="9479" max="9479" width="11" style="342" customWidth="1"/>
    <col min="9480" max="9480" width="11.28515625" style="342" customWidth="1"/>
    <col min="9481" max="9729" width="9.140625" style="342"/>
    <col min="9730" max="9730" width="9.85546875" style="342" customWidth="1"/>
    <col min="9731" max="9734" width="9.140625" style="342"/>
    <col min="9735" max="9735" width="11" style="342" customWidth="1"/>
    <col min="9736" max="9736" width="11.28515625" style="342" customWidth="1"/>
    <col min="9737" max="9985" width="9.140625" style="342"/>
    <col min="9986" max="9986" width="9.85546875" style="342" customWidth="1"/>
    <col min="9987" max="9990" width="9.140625" style="342"/>
    <col min="9991" max="9991" width="11" style="342" customWidth="1"/>
    <col min="9992" max="9992" width="11.28515625" style="342" customWidth="1"/>
    <col min="9993" max="10241" width="9.140625" style="342"/>
    <col min="10242" max="10242" width="9.85546875" style="342" customWidth="1"/>
    <col min="10243" max="10246" width="9.140625" style="342"/>
    <col min="10247" max="10247" width="11" style="342" customWidth="1"/>
    <col min="10248" max="10248" width="11.28515625" style="342" customWidth="1"/>
    <col min="10249" max="10497" width="9.140625" style="342"/>
    <col min="10498" max="10498" width="9.85546875" style="342" customWidth="1"/>
    <col min="10499" max="10502" width="9.140625" style="342"/>
    <col min="10503" max="10503" width="11" style="342" customWidth="1"/>
    <col min="10504" max="10504" width="11.28515625" style="342" customWidth="1"/>
    <col min="10505" max="10753" width="9.140625" style="342"/>
    <col min="10754" max="10754" width="9.85546875" style="342" customWidth="1"/>
    <col min="10755" max="10758" width="9.140625" style="342"/>
    <col min="10759" max="10759" width="11" style="342" customWidth="1"/>
    <col min="10760" max="10760" width="11.28515625" style="342" customWidth="1"/>
    <col min="10761" max="11009" width="9.140625" style="342"/>
    <col min="11010" max="11010" width="9.85546875" style="342" customWidth="1"/>
    <col min="11011" max="11014" width="9.140625" style="342"/>
    <col min="11015" max="11015" width="11" style="342" customWidth="1"/>
    <col min="11016" max="11016" width="11.28515625" style="342" customWidth="1"/>
    <col min="11017" max="11265" width="9.140625" style="342"/>
    <col min="11266" max="11266" width="9.85546875" style="342" customWidth="1"/>
    <col min="11267" max="11270" width="9.140625" style="342"/>
    <col min="11271" max="11271" width="11" style="342" customWidth="1"/>
    <col min="11272" max="11272" width="11.28515625" style="342" customWidth="1"/>
    <col min="11273" max="11521" width="9.140625" style="342"/>
    <col min="11522" max="11522" width="9.85546875" style="342" customWidth="1"/>
    <col min="11523" max="11526" width="9.140625" style="342"/>
    <col min="11527" max="11527" width="11" style="342" customWidth="1"/>
    <col min="11528" max="11528" width="11.28515625" style="342" customWidth="1"/>
    <col min="11529" max="11777" width="9.140625" style="342"/>
    <col min="11778" max="11778" width="9.85546875" style="342" customWidth="1"/>
    <col min="11779" max="11782" width="9.140625" style="342"/>
    <col min="11783" max="11783" width="11" style="342" customWidth="1"/>
    <col min="11784" max="11784" width="11.28515625" style="342" customWidth="1"/>
    <col min="11785" max="12033" width="9.140625" style="342"/>
    <col min="12034" max="12034" width="9.85546875" style="342" customWidth="1"/>
    <col min="12035" max="12038" width="9.140625" style="342"/>
    <col min="12039" max="12039" width="11" style="342" customWidth="1"/>
    <col min="12040" max="12040" width="11.28515625" style="342" customWidth="1"/>
    <col min="12041" max="12289" width="9.140625" style="342"/>
    <col min="12290" max="12290" width="9.85546875" style="342" customWidth="1"/>
    <col min="12291" max="12294" width="9.140625" style="342"/>
    <col min="12295" max="12295" width="11" style="342" customWidth="1"/>
    <col min="12296" max="12296" width="11.28515625" style="342" customWidth="1"/>
    <col min="12297" max="12545" width="9.140625" style="342"/>
    <col min="12546" max="12546" width="9.85546875" style="342" customWidth="1"/>
    <col min="12547" max="12550" width="9.140625" style="342"/>
    <col min="12551" max="12551" width="11" style="342" customWidth="1"/>
    <col min="12552" max="12552" width="11.28515625" style="342" customWidth="1"/>
    <col min="12553" max="12801" width="9.140625" style="342"/>
    <col min="12802" max="12802" width="9.85546875" style="342" customWidth="1"/>
    <col min="12803" max="12806" width="9.140625" style="342"/>
    <col min="12807" max="12807" width="11" style="342" customWidth="1"/>
    <col min="12808" max="12808" width="11.28515625" style="342" customWidth="1"/>
    <col min="12809" max="13057" width="9.140625" style="342"/>
    <col min="13058" max="13058" width="9.85546875" style="342" customWidth="1"/>
    <col min="13059" max="13062" width="9.140625" style="342"/>
    <col min="13063" max="13063" width="11" style="342" customWidth="1"/>
    <col min="13064" max="13064" width="11.28515625" style="342" customWidth="1"/>
    <col min="13065" max="13313" width="9.140625" style="342"/>
    <col min="13314" max="13314" width="9.85546875" style="342" customWidth="1"/>
    <col min="13315" max="13318" width="9.140625" style="342"/>
    <col min="13319" max="13319" width="11" style="342" customWidth="1"/>
    <col min="13320" max="13320" width="11.28515625" style="342" customWidth="1"/>
    <col min="13321" max="13569" width="9.140625" style="342"/>
    <col min="13570" max="13570" width="9.85546875" style="342" customWidth="1"/>
    <col min="13571" max="13574" width="9.140625" style="342"/>
    <col min="13575" max="13575" width="11" style="342" customWidth="1"/>
    <col min="13576" max="13576" width="11.28515625" style="342" customWidth="1"/>
    <col min="13577" max="13825" width="9.140625" style="342"/>
    <col min="13826" max="13826" width="9.85546875" style="342" customWidth="1"/>
    <col min="13827" max="13830" width="9.140625" style="342"/>
    <col min="13831" max="13831" width="11" style="342" customWidth="1"/>
    <col min="13832" max="13832" width="11.28515625" style="342" customWidth="1"/>
    <col min="13833" max="14081" width="9.140625" style="342"/>
    <col min="14082" max="14082" width="9.85546875" style="342" customWidth="1"/>
    <col min="14083" max="14086" width="9.140625" style="342"/>
    <col min="14087" max="14087" width="11" style="342" customWidth="1"/>
    <col min="14088" max="14088" width="11.28515625" style="342" customWidth="1"/>
    <col min="14089" max="14337" width="9.140625" style="342"/>
    <col min="14338" max="14338" width="9.85546875" style="342" customWidth="1"/>
    <col min="14339" max="14342" width="9.140625" style="342"/>
    <col min="14343" max="14343" width="11" style="342" customWidth="1"/>
    <col min="14344" max="14344" width="11.28515625" style="342" customWidth="1"/>
    <col min="14345" max="14593" width="9.140625" style="342"/>
    <col min="14594" max="14594" width="9.85546875" style="342" customWidth="1"/>
    <col min="14595" max="14598" width="9.140625" style="342"/>
    <col min="14599" max="14599" width="11" style="342" customWidth="1"/>
    <col min="14600" max="14600" width="11.28515625" style="342" customWidth="1"/>
    <col min="14601" max="14849" width="9.140625" style="342"/>
    <col min="14850" max="14850" width="9.85546875" style="342" customWidth="1"/>
    <col min="14851" max="14854" width="9.140625" style="342"/>
    <col min="14855" max="14855" width="11" style="342" customWidth="1"/>
    <col min="14856" max="14856" width="11.28515625" style="342" customWidth="1"/>
    <col min="14857" max="15105" width="9.140625" style="342"/>
    <col min="15106" max="15106" width="9.85546875" style="342" customWidth="1"/>
    <col min="15107" max="15110" width="9.140625" style="342"/>
    <col min="15111" max="15111" width="11" style="342" customWidth="1"/>
    <col min="15112" max="15112" width="11.28515625" style="342" customWidth="1"/>
    <col min="15113" max="15361" width="9.140625" style="342"/>
    <col min="15362" max="15362" width="9.85546875" style="342" customWidth="1"/>
    <col min="15363" max="15366" width="9.140625" style="342"/>
    <col min="15367" max="15367" width="11" style="342" customWidth="1"/>
    <col min="15368" max="15368" width="11.28515625" style="342" customWidth="1"/>
    <col min="15369" max="15617" width="9.140625" style="342"/>
    <col min="15618" max="15618" width="9.85546875" style="342" customWidth="1"/>
    <col min="15619" max="15622" width="9.140625" style="342"/>
    <col min="15623" max="15623" width="11" style="342" customWidth="1"/>
    <col min="15624" max="15624" width="11.28515625" style="342" customWidth="1"/>
    <col min="15625" max="15873" width="9.140625" style="342"/>
    <col min="15874" max="15874" width="9.85546875" style="342" customWidth="1"/>
    <col min="15875" max="15878" width="9.140625" style="342"/>
    <col min="15879" max="15879" width="11" style="342" customWidth="1"/>
    <col min="15880" max="15880" width="11.28515625" style="342" customWidth="1"/>
    <col min="15881" max="16129" width="9.140625" style="342"/>
    <col min="16130" max="16130" width="9.85546875" style="342" customWidth="1"/>
    <col min="16131" max="16134" width="9.140625" style="342"/>
    <col min="16135" max="16135" width="11" style="342" customWidth="1"/>
    <col min="16136" max="16136" width="11.28515625" style="342" customWidth="1"/>
    <col min="16137" max="16384" width="9.140625" style="342"/>
  </cols>
  <sheetData>
    <row r="1" spans="1:9" ht="26.25" customHeight="1">
      <c r="A1" s="1036" t="s">
        <v>2057</v>
      </c>
      <c r="B1" s="1036"/>
      <c r="C1" s="1036"/>
      <c r="D1" s="1036"/>
      <c r="E1" s="1036"/>
      <c r="F1" s="1036"/>
      <c r="G1" s="1036"/>
      <c r="H1" s="1036"/>
      <c r="I1" s="1036"/>
    </row>
    <row r="2" spans="1:9" ht="108.75" customHeight="1">
      <c r="A2" s="1037" t="s">
        <v>2064</v>
      </c>
      <c r="B2" s="1038"/>
      <c r="C2" s="1038"/>
      <c r="D2" s="1038"/>
      <c r="E2" s="1038"/>
      <c r="F2" s="1038"/>
      <c r="G2" s="1038"/>
      <c r="H2" s="1038"/>
      <c r="I2" s="1038"/>
    </row>
    <row r="7" spans="1:9">
      <c r="G7" s="342" t="s">
        <v>2058</v>
      </c>
    </row>
  </sheetData>
  <mergeCells count="2">
    <mergeCell ref="A1:I1"/>
    <mergeCell ref="A2:I2"/>
  </mergeCells>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25</vt:i4>
      </vt:variant>
    </vt:vector>
  </HeadingPairs>
  <TitlesOfParts>
    <vt:vector size="47" baseType="lpstr">
      <vt:lpstr>COVER</vt:lpstr>
      <vt:lpstr>SPE</vt:lpstr>
      <vt:lpstr>ESTIMATE</vt:lpstr>
      <vt:lpstr>Seigneorage</vt:lpstr>
      <vt:lpstr>lead 24-25</vt:lpstr>
      <vt:lpstr>DATA 2024-25</vt:lpstr>
      <vt:lpstr>sani data 2024-25</vt:lpstr>
      <vt:lpstr>Ele Data 2024-25</vt:lpstr>
      <vt:lpstr>doors 2024-25</vt:lpstr>
      <vt:lpstr>CC f (2)</vt:lpstr>
      <vt:lpstr>ccbc  (2)</vt:lpstr>
      <vt:lpstr>MINI SSR 2024-25</vt:lpstr>
      <vt:lpstr>convey 24-25</vt:lpstr>
      <vt:lpstr>CS</vt:lpstr>
      <vt:lpstr>CR</vt:lpstr>
      <vt:lpstr>check slip</vt:lpstr>
      <vt:lpstr>C-1 </vt:lpstr>
      <vt:lpstr>CC f</vt:lpstr>
      <vt:lpstr>ccbc </vt:lpstr>
      <vt:lpstr>CERT</vt:lpstr>
      <vt:lpstr>Seigneorage (2)</vt:lpstr>
      <vt:lpstr>RE-DE</vt:lpstr>
      <vt:lpstr>'C-1 '!Print_Area</vt:lpstr>
      <vt:lpstr>'CC f'!Print_Area</vt:lpstr>
      <vt:lpstr>'CC f (2)'!Print_Area</vt:lpstr>
      <vt:lpstr>'check slip'!Print_Area</vt:lpstr>
      <vt:lpstr>'DATA 2024-25'!Print_Area</vt:lpstr>
      <vt:lpstr>'doors 2024-25'!Print_Area</vt:lpstr>
      <vt:lpstr>ESTIMATE!Print_Area</vt:lpstr>
      <vt:lpstr>'lead 24-25'!Print_Area</vt:lpstr>
      <vt:lpstr>'sani data 2024-25'!Print_Area</vt:lpstr>
      <vt:lpstr>Seigneorage!Print_Area</vt:lpstr>
      <vt:lpstr>'Seigneorage (2)'!Print_Area</vt:lpstr>
      <vt:lpstr>SPE!Print_Area</vt:lpstr>
      <vt:lpstr>'CC f'!Print_Titles</vt:lpstr>
      <vt:lpstr>'CC f (2)'!Print_Titles</vt:lpstr>
      <vt:lpstr>'convey 24-25'!Print_Titles</vt:lpstr>
      <vt:lpstr>CR!Print_Titles</vt:lpstr>
      <vt:lpstr>CS!Print_Titles</vt:lpstr>
      <vt:lpstr>'DATA 2024-25'!Print_Titles</vt:lpstr>
      <vt:lpstr>'doors 2024-25'!Print_Titles</vt:lpstr>
      <vt:lpstr>'Ele Data 2024-25'!Print_Titles</vt:lpstr>
      <vt:lpstr>ESTIMATE!Print_Titles</vt:lpstr>
      <vt:lpstr>'lead 24-25'!Print_Titles</vt:lpstr>
      <vt:lpstr>'sani data 2024-25'!Print_Titles</vt:lpstr>
      <vt:lpstr>Seigneorage!Print_Titles</vt:lpstr>
      <vt:lpstr>'Seigneorage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UNIQUE</dc:creator>
  <cp:lastModifiedBy>welcome</cp:lastModifiedBy>
  <cp:lastPrinted>2025-03-05T13:06:10Z</cp:lastPrinted>
  <dcterms:created xsi:type="dcterms:W3CDTF">1996-10-14T23:33:28Z</dcterms:created>
  <dcterms:modified xsi:type="dcterms:W3CDTF">2025-05-07T13:32:27Z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3C5B19EF">
    <vt:lpwstr/>
  </property>
  <property fmtid="{D5CDD505-2E9C-101B-9397-08002B2CF9AE}" pid="3" name="IVID3E1216F6">
    <vt:lpwstr/>
  </property>
  <property fmtid="{D5CDD505-2E9C-101B-9397-08002B2CF9AE}" pid="4" name="IVID302816EE">
    <vt:lpwstr/>
  </property>
  <property fmtid="{D5CDD505-2E9C-101B-9397-08002B2CF9AE}" pid="5" name="IVID2B3716DF">
    <vt:lpwstr/>
  </property>
  <property fmtid="{D5CDD505-2E9C-101B-9397-08002B2CF9AE}" pid="6" name="IVIDF5E17EB">
    <vt:lpwstr/>
  </property>
  <property fmtid="{D5CDD505-2E9C-101B-9397-08002B2CF9AE}" pid="7" name="IVID275CAB41">
    <vt:lpwstr/>
  </property>
  <property fmtid="{D5CDD505-2E9C-101B-9397-08002B2CF9AE}" pid="8" name="IVID1F3B11E2">
    <vt:lpwstr/>
  </property>
  <property fmtid="{D5CDD505-2E9C-101B-9397-08002B2CF9AE}" pid="9" name="IVID115B1EDE">
    <vt:lpwstr/>
  </property>
  <property fmtid="{D5CDD505-2E9C-101B-9397-08002B2CF9AE}" pid="10" name="IVID6A3C8A73">
    <vt:lpwstr/>
  </property>
  <property fmtid="{D5CDD505-2E9C-101B-9397-08002B2CF9AE}" pid="11" name="IVID286514FE">
    <vt:lpwstr/>
  </property>
  <property fmtid="{D5CDD505-2E9C-101B-9397-08002B2CF9AE}" pid="12" name="IVID38E35B7D">
    <vt:lpwstr/>
  </property>
  <property fmtid="{D5CDD505-2E9C-101B-9397-08002B2CF9AE}" pid="13" name="IVID305D14E1">
    <vt:lpwstr/>
  </property>
  <property fmtid="{D5CDD505-2E9C-101B-9397-08002B2CF9AE}" pid="14" name="IVID1D4A16E0">
    <vt:lpwstr/>
  </property>
  <property fmtid="{D5CDD505-2E9C-101B-9397-08002B2CF9AE}" pid="15" name="IVID344C1504">
    <vt:lpwstr/>
  </property>
  <property fmtid="{D5CDD505-2E9C-101B-9397-08002B2CF9AE}" pid="16" name="IVID38E958C0">
    <vt:lpwstr/>
  </property>
  <property fmtid="{D5CDD505-2E9C-101B-9397-08002B2CF9AE}" pid="17" name="IVID392816EE">
    <vt:lpwstr/>
  </property>
  <property fmtid="{D5CDD505-2E9C-101B-9397-08002B2CF9AE}" pid="18" name="IVID8A57BBF5">
    <vt:lpwstr/>
  </property>
  <property fmtid="{D5CDD505-2E9C-101B-9397-08002B2CF9AE}" pid="19" name="IVID307E17E9">
    <vt:lpwstr/>
  </property>
  <property fmtid="{D5CDD505-2E9C-101B-9397-08002B2CF9AE}" pid="20" name="IVID380DE5ED">
    <vt:lpwstr/>
  </property>
  <property fmtid="{D5CDD505-2E9C-101B-9397-08002B2CF9AE}" pid="21" name="IVID8A614DBE">
    <vt:lpwstr/>
  </property>
  <property fmtid="{D5CDD505-2E9C-101B-9397-08002B2CF9AE}" pid="22" name="IVID36161401">
    <vt:lpwstr/>
  </property>
  <property fmtid="{D5CDD505-2E9C-101B-9397-08002B2CF9AE}" pid="23" name="IVIDE663952B">
    <vt:lpwstr/>
  </property>
  <property fmtid="{D5CDD505-2E9C-101B-9397-08002B2CF9AE}" pid="24" name="IVID1F5816E2">
    <vt:lpwstr/>
  </property>
  <property fmtid="{D5CDD505-2E9C-101B-9397-08002B2CF9AE}" pid="25" name="IVID11EC0E58">
    <vt:lpwstr/>
  </property>
  <property fmtid="{D5CDD505-2E9C-101B-9397-08002B2CF9AE}" pid="26" name="IVIDC571CDF">
    <vt:lpwstr/>
  </property>
  <property fmtid="{D5CDD505-2E9C-101B-9397-08002B2CF9AE}" pid="27" name="IVID1A4D13F6">
    <vt:lpwstr/>
  </property>
  <property fmtid="{D5CDD505-2E9C-101B-9397-08002B2CF9AE}" pid="28" name="IVID293417FE">
    <vt:lpwstr/>
  </property>
  <property fmtid="{D5CDD505-2E9C-101B-9397-08002B2CF9AE}" pid="29" name="IVID15FF2D5A">
    <vt:lpwstr/>
  </property>
  <property fmtid="{D5CDD505-2E9C-101B-9397-08002B2CF9AE}" pid="30" name="IVID353513D9">
    <vt:lpwstr/>
  </property>
  <property fmtid="{D5CDD505-2E9C-101B-9397-08002B2CF9AE}" pid="31" name="IVID134E14D3">
    <vt:lpwstr/>
  </property>
  <property fmtid="{D5CDD505-2E9C-101B-9397-08002B2CF9AE}" pid="32" name="IVID326812F5">
    <vt:lpwstr/>
  </property>
  <property fmtid="{D5CDD505-2E9C-101B-9397-08002B2CF9AE}" pid="33" name="IVID381A7C7E">
    <vt:lpwstr/>
  </property>
  <property fmtid="{D5CDD505-2E9C-101B-9397-08002B2CF9AE}" pid="34" name="IVID197012F1">
    <vt:lpwstr/>
  </property>
  <property fmtid="{D5CDD505-2E9C-101B-9397-08002B2CF9AE}" pid="35" name="IVID2F1E1603">
    <vt:lpwstr/>
  </property>
  <property fmtid="{D5CDD505-2E9C-101B-9397-08002B2CF9AE}" pid="36" name="IVIDC">
    <vt:lpwstr/>
  </property>
  <property fmtid="{D5CDD505-2E9C-101B-9397-08002B2CF9AE}" pid="37" name="IVID362F13E8">
    <vt:lpwstr/>
  </property>
  <property fmtid="{D5CDD505-2E9C-101B-9397-08002B2CF9AE}" pid="38" name="IVID3A3618F1">
    <vt:lpwstr/>
  </property>
  <property fmtid="{D5CDD505-2E9C-101B-9397-08002B2CF9AE}" pid="39" name="IVID15E41318">
    <vt:lpwstr/>
  </property>
  <property fmtid="{D5CDD505-2E9C-101B-9397-08002B2CF9AE}" pid="40" name="IVID181914D9">
    <vt:lpwstr/>
  </property>
  <property fmtid="{D5CDD505-2E9C-101B-9397-08002B2CF9AE}" pid="41" name="IVID155815FB">
    <vt:lpwstr/>
  </property>
  <property fmtid="{D5CDD505-2E9C-101B-9397-08002B2CF9AE}" pid="42" name="IVIDD091BF0">
    <vt:lpwstr/>
  </property>
  <property fmtid="{D5CDD505-2E9C-101B-9397-08002B2CF9AE}" pid="43" name="IVID344CCFFC">
    <vt:lpwstr/>
  </property>
  <property fmtid="{D5CDD505-2E9C-101B-9397-08002B2CF9AE}" pid="44" name="IVID1A7D12ED">
    <vt:lpwstr/>
  </property>
  <property fmtid="{D5CDD505-2E9C-101B-9397-08002B2CF9AE}" pid="45" name="IVID1B2115FE">
    <vt:lpwstr/>
  </property>
  <property fmtid="{D5CDD505-2E9C-101B-9397-08002B2CF9AE}" pid="46" name="IVID35431BD0">
    <vt:lpwstr/>
  </property>
  <property fmtid="{D5CDD505-2E9C-101B-9397-08002B2CF9AE}" pid="47" name="IVID4637A884">
    <vt:lpwstr/>
  </property>
  <property fmtid="{D5CDD505-2E9C-101B-9397-08002B2CF9AE}" pid="48" name="IVID127C14F5">
    <vt:lpwstr/>
  </property>
  <property fmtid="{D5CDD505-2E9C-101B-9397-08002B2CF9AE}" pid="49" name="IVID1834F0DD">
    <vt:lpwstr/>
  </property>
  <property fmtid="{D5CDD505-2E9C-101B-9397-08002B2CF9AE}" pid="50" name="IVID312119E0">
    <vt:lpwstr/>
  </property>
  <property fmtid="{D5CDD505-2E9C-101B-9397-08002B2CF9AE}" pid="51" name="IVID1C5812DA">
    <vt:lpwstr/>
  </property>
  <property fmtid="{D5CDD505-2E9C-101B-9397-08002B2CF9AE}" pid="52" name="IVID173907ED">
    <vt:lpwstr/>
  </property>
  <property fmtid="{D5CDD505-2E9C-101B-9397-08002B2CF9AE}" pid="53" name="IVID274B1CF5">
    <vt:lpwstr/>
  </property>
  <property fmtid="{D5CDD505-2E9C-101B-9397-08002B2CF9AE}" pid="54" name="IVID2B4E17FA">
    <vt:lpwstr/>
  </property>
  <property fmtid="{D5CDD505-2E9C-101B-9397-08002B2CF9AE}" pid="55" name="IVID204114FA">
    <vt:lpwstr/>
  </property>
  <property fmtid="{D5CDD505-2E9C-101B-9397-08002B2CF9AE}" pid="56" name="IVID2A7117D7">
    <vt:lpwstr/>
  </property>
  <property fmtid="{D5CDD505-2E9C-101B-9397-08002B2CF9AE}" pid="57" name="IVIDE331703">
    <vt:lpwstr/>
  </property>
  <property fmtid="{D5CDD505-2E9C-101B-9397-08002B2CF9AE}" pid="58" name="IVID416E11FD">
    <vt:lpwstr/>
  </property>
  <property fmtid="{D5CDD505-2E9C-101B-9397-08002B2CF9AE}" pid="59" name="IVID52D0E06">
    <vt:lpwstr/>
  </property>
  <property fmtid="{D5CDD505-2E9C-101B-9397-08002B2CF9AE}" pid="60" name="IVID365C19D4">
    <vt:lpwstr/>
  </property>
  <property fmtid="{D5CDD505-2E9C-101B-9397-08002B2CF9AE}" pid="61" name="IVID253D11EF">
    <vt:lpwstr/>
  </property>
  <property fmtid="{D5CDD505-2E9C-101B-9397-08002B2CF9AE}" pid="62" name="IVID173E1206">
    <vt:lpwstr/>
  </property>
  <property fmtid="{D5CDD505-2E9C-101B-9397-08002B2CF9AE}" pid="63" name="IVID232310EC">
    <vt:lpwstr/>
  </property>
  <property fmtid="{D5CDD505-2E9C-101B-9397-08002B2CF9AE}" pid="64" name="IVID133D1AE5">
    <vt:lpwstr/>
  </property>
  <property fmtid="{D5CDD505-2E9C-101B-9397-08002B2CF9AE}" pid="65" name="IVIDF6113D9">
    <vt:lpwstr/>
  </property>
  <property fmtid="{D5CDD505-2E9C-101B-9397-08002B2CF9AE}" pid="66" name="IVID307414D1">
    <vt:lpwstr/>
  </property>
  <property fmtid="{D5CDD505-2E9C-101B-9397-08002B2CF9AE}" pid="67" name="IVID344B1400">
    <vt:lpwstr/>
  </property>
  <property fmtid="{D5CDD505-2E9C-101B-9397-08002B2CF9AE}" pid="68" name="IVID135B1DF5">
    <vt:lpwstr/>
  </property>
  <property fmtid="{D5CDD505-2E9C-101B-9397-08002B2CF9AE}" pid="69" name="IVID1A3716D3">
    <vt:lpwstr/>
  </property>
  <property fmtid="{D5CDD505-2E9C-101B-9397-08002B2CF9AE}" pid="70" name="IVIDD1916DB">
    <vt:lpwstr/>
  </property>
  <property fmtid="{D5CDD505-2E9C-101B-9397-08002B2CF9AE}" pid="71" name="IVID11431AF1">
    <vt:lpwstr/>
  </property>
  <property fmtid="{D5CDD505-2E9C-101B-9397-08002B2CF9AE}" pid="72" name="IVID1B2C19F3">
    <vt:lpwstr/>
  </property>
  <property fmtid="{D5CDD505-2E9C-101B-9397-08002B2CF9AE}" pid="73" name="IVIDD5E0FE6">
    <vt:lpwstr/>
  </property>
  <property fmtid="{D5CDD505-2E9C-101B-9397-08002B2CF9AE}" pid="74" name="IVID162D1605">
    <vt:lpwstr/>
  </property>
  <property fmtid="{D5CDD505-2E9C-101B-9397-08002B2CF9AE}" pid="75" name="IVIDA3E11E9">
    <vt:lpwstr/>
  </property>
  <property fmtid="{D5CDD505-2E9C-101B-9397-08002B2CF9AE}" pid="76" name="IVID1A3517F4">
    <vt:lpwstr/>
  </property>
  <property fmtid="{D5CDD505-2E9C-101B-9397-08002B2CF9AE}" pid="77" name="IVID375215CF">
    <vt:lpwstr/>
  </property>
  <property fmtid="{D5CDD505-2E9C-101B-9397-08002B2CF9AE}" pid="78" name="IVID1D401702">
    <vt:lpwstr/>
  </property>
  <property fmtid="{D5CDD505-2E9C-101B-9397-08002B2CF9AE}" pid="79" name="IVID382E16DB">
    <vt:lpwstr/>
  </property>
  <property fmtid="{D5CDD505-2E9C-101B-9397-08002B2CF9AE}" pid="80" name="IVID30321805">
    <vt:lpwstr/>
  </property>
  <property fmtid="{D5CDD505-2E9C-101B-9397-08002B2CF9AE}" pid="81" name="IVIDF3415DD">
    <vt:lpwstr/>
  </property>
  <property fmtid="{D5CDD505-2E9C-101B-9397-08002B2CF9AE}" pid="82" name="IVID112118DE">
    <vt:lpwstr/>
  </property>
  <property fmtid="{D5CDD505-2E9C-101B-9397-08002B2CF9AE}" pid="83" name="IVID2C0E11E8">
    <vt:lpwstr/>
  </property>
  <property fmtid="{D5CDD505-2E9C-101B-9397-08002B2CF9AE}" pid="84" name="IVID233A10E1">
    <vt:lpwstr/>
  </property>
  <property fmtid="{D5CDD505-2E9C-101B-9397-08002B2CF9AE}" pid="85" name="IVID3E3919D4">
    <vt:lpwstr/>
  </property>
  <property fmtid="{D5CDD505-2E9C-101B-9397-08002B2CF9AE}" pid="86" name="IVID113E1ADD">
    <vt:lpwstr/>
  </property>
  <property fmtid="{D5CDD505-2E9C-101B-9397-08002B2CF9AE}" pid="87" name="IVID113D14F9">
    <vt:lpwstr/>
  </property>
  <property fmtid="{D5CDD505-2E9C-101B-9397-08002B2CF9AE}" pid="88" name="IVID1D3F17E2">
    <vt:lpwstr/>
  </property>
  <property fmtid="{D5CDD505-2E9C-101B-9397-08002B2CF9AE}" pid="89" name="IVID13451200">
    <vt:lpwstr/>
  </property>
  <property fmtid="{D5CDD505-2E9C-101B-9397-08002B2CF9AE}" pid="90" name="IVID121617DE">
    <vt:lpwstr/>
  </property>
  <property fmtid="{D5CDD505-2E9C-101B-9397-08002B2CF9AE}" pid="91" name="IVID13691AF2">
    <vt:lpwstr/>
  </property>
  <property fmtid="{D5CDD505-2E9C-101B-9397-08002B2CF9AE}" pid="92" name="IVID265C1905">
    <vt:lpwstr/>
  </property>
  <property fmtid="{D5CDD505-2E9C-101B-9397-08002B2CF9AE}" pid="93" name="IVID32281CED">
    <vt:lpwstr/>
  </property>
  <property fmtid="{D5CDD505-2E9C-101B-9397-08002B2CF9AE}" pid="94" name="IVID102124BA">
    <vt:lpwstr/>
  </property>
  <property fmtid="{D5CDD505-2E9C-101B-9397-08002B2CF9AE}" pid="95" name="IVID3D1509D0">
    <vt:lpwstr/>
  </property>
  <property fmtid="{D5CDD505-2E9C-101B-9397-08002B2CF9AE}" pid="96" name="IVID35641901">
    <vt:lpwstr/>
  </property>
  <property fmtid="{D5CDD505-2E9C-101B-9397-08002B2CF9AE}" pid="97" name="IVID45E1ED9">
    <vt:lpwstr/>
  </property>
  <property fmtid="{D5CDD505-2E9C-101B-9397-08002B2CF9AE}" pid="98" name="IVID324113D1">
    <vt:lpwstr/>
  </property>
  <property fmtid="{D5CDD505-2E9C-101B-9397-08002B2CF9AE}" pid="99" name="IVID1A2D1903">
    <vt:lpwstr/>
  </property>
  <property fmtid="{D5CDD505-2E9C-101B-9397-08002B2CF9AE}" pid="100" name="IVID370C1506">
    <vt:lpwstr/>
  </property>
  <property fmtid="{D5CDD505-2E9C-101B-9397-08002B2CF9AE}" pid="101" name="IVID12581504">
    <vt:lpwstr/>
  </property>
  <property fmtid="{D5CDD505-2E9C-101B-9397-08002B2CF9AE}" pid="102" name="IVID366A14F0">
    <vt:lpwstr/>
  </property>
  <property fmtid="{D5CDD505-2E9C-101B-9397-08002B2CF9AE}" pid="103" name="IVID10761BDE">
    <vt:lpwstr/>
  </property>
  <property fmtid="{D5CDD505-2E9C-101B-9397-08002B2CF9AE}" pid="104" name="IVID355E0AD7">
    <vt:lpwstr/>
  </property>
  <property fmtid="{D5CDD505-2E9C-101B-9397-08002B2CF9AE}" pid="105" name="IVID242419FF">
    <vt:lpwstr/>
  </property>
  <property fmtid="{D5CDD505-2E9C-101B-9397-08002B2CF9AE}" pid="106" name="IVID17690D05">
    <vt:lpwstr/>
  </property>
  <property fmtid="{D5CDD505-2E9C-101B-9397-08002B2CF9AE}" pid="107" name="IVID1A3B0AF0">
    <vt:lpwstr/>
  </property>
  <property fmtid="{D5CDD505-2E9C-101B-9397-08002B2CF9AE}" pid="108" name="IVID294416DA">
    <vt:lpwstr/>
  </property>
  <property fmtid="{D5CDD505-2E9C-101B-9397-08002B2CF9AE}" pid="109" name="IVID224A1AD0">
    <vt:lpwstr/>
  </property>
  <property fmtid="{D5CDD505-2E9C-101B-9397-08002B2CF9AE}" pid="110" name="IVID331F11E2">
    <vt:lpwstr/>
  </property>
  <property fmtid="{D5CDD505-2E9C-101B-9397-08002B2CF9AE}" pid="111" name="IVID1306391F">
    <vt:lpwstr/>
  </property>
  <property fmtid="{D5CDD505-2E9C-101B-9397-08002B2CF9AE}" pid="112" name="IVID3A281BD0">
    <vt:lpwstr/>
  </property>
  <property fmtid="{D5CDD505-2E9C-101B-9397-08002B2CF9AE}" pid="113" name="IVID2A2E1805">
    <vt:lpwstr/>
  </property>
  <property fmtid="{D5CDD505-2E9C-101B-9397-08002B2CF9AE}" pid="114" name="IVID3C5018D1">
    <vt:lpwstr/>
  </property>
  <property fmtid="{D5CDD505-2E9C-101B-9397-08002B2CF9AE}" pid="115" name="IVID3B3616E1">
    <vt:lpwstr/>
  </property>
  <property fmtid="{D5CDD505-2E9C-101B-9397-08002B2CF9AE}" pid="116" name="IVID291114D3">
    <vt:lpwstr/>
  </property>
  <property fmtid="{D5CDD505-2E9C-101B-9397-08002B2CF9AE}" pid="117" name="IVID402F12D9">
    <vt:lpwstr/>
  </property>
  <property fmtid="{D5CDD505-2E9C-101B-9397-08002B2CF9AE}" pid="118" name="IVID352F10D9">
    <vt:lpwstr/>
  </property>
  <property fmtid="{D5CDD505-2E9C-101B-9397-08002B2CF9AE}" pid="119" name="IVID383A16E2">
    <vt:lpwstr/>
  </property>
  <property fmtid="{D5CDD505-2E9C-101B-9397-08002B2CF9AE}" pid="120" name="IVID281911E9">
    <vt:lpwstr/>
  </property>
  <property fmtid="{D5CDD505-2E9C-101B-9397-08002B2CF9AE}" pid="121" name="IVID89EFF3FC">
    <vt:lpwstr/>
  </property>
  <property fmtid="{D5CDD505-2E9C-101B-9397-08002B2CF9AE}" pid="122" name="IVIDA3B1CD3">
    <vt:lpwstr/>
  </property>
  <property fmtid="{D5CDD505-2E9C-101B-9397-08002B2CF9AE}" pid="123" name="IVID24428E10">
    <vt:lpwstr/>
  </property>
  <property fmtid="{D5CDD505-2E9C-101B-9397-08002B2CF9AE}" pid="124" name="IVID296C11F7">
    <vt:lpwstr/>
  </property>
  <property fmtid="{D5CDD505-2E9C-101B-9397-08002B2CF9AE}" pid="125" name="IVID1E3210E2">
    <vt:lpwstr/>
  </property>
  <property fmtid="{D5CDD505-2E9C-101B-9397-08002B2CF9AE}" pid="126" name="IVIDD3911FD">
    <vt:lpwstr/>
  </property>
  <property fmtid="{D5CDD505-2E9C-101B-9397-08002B2CF9AE}" pid="127" name="IVID362611EA">
    <vt:lpwstr/>
  </property>
  <property fmtid="{D5CDD505-2E9C-101B-9397-08002B2CF9AE}" pid="128" name="IVID250607C8">
    <vt:lpwstr/>
  </property>
  <property fmtid="{D5CDD505-2E9C-101B-9397-08002B2CF9AE}" pid="129" name="IVID89475BC5">
    <vt:lpwstr/>
  </property>
  <property fmtid="{D5CDD505-2E9C-101B-9397-08002B2CF9AE}" pid="130" name="IVID2A5F13D5">
    <vt:lpwstr/>
  </property>
  <property fmtid="{D5CDD505-2E9C-101B-9397-08002B2CF9AE}" pid="131" name="IVID1A4D17E3">
    <vt:lpwstr/>
  </property>
  <property fmtid="{D5CDD505-2E9C-101B-9397-08002B2CF9AE}" pid="132" name="IVID285E1306">
    <vt:lpwstr/>
  </property>
  <property fmtid="{D5CDD505-2E9C-101B-9397-08002B2CF9AE}" pid="133" name="IVID24551DE1">
    <vt:lpwstr/>
  </property>
  <property fmtid="{D5CDD505-2E9C-101B-9397-08002B2CF9AE}" pid="134" name="IVID154C1709">
    <vt:lpwstr/>
  </property>
  <property fmtid="{D5CDD505-2E9C-101B-9397-08002B2CF9AE}" pid="135" name="IVID14A8E3B7">
    <vt:lpwstr/>
  </property>
  <property fmtid="{D5CDD505-2E9C-101B-9397-08002B2CF9AE}" pid="136" name="IVIDB81AB6AE">
    <vt:lpwstr/>
  </property>
  <property fmtid="{D5CDD505-2E9C-101B-9397-08002B2CF9AE}" pid="137" name="IVID380A8D9C">
    <vt:lpwstr/>
  </property>
  <property fmtid="{D5CDD505-2E9C-101B-9397-08002B2CF9AE}" pid="138" name="IVIDE4A8B685">
    <vt:lpwstr/>
  </property>
  <property fmtid="{D5CDD505-2E9C-101B-9397-08002B2CF9AE}" pid="139" name="IVIDECBFC9AA">
    <vt:lpwstr/>
  </property>
  <property fmtid="{D5CDD505-2E9C-101B-9397-08002B2CF9AE}" pid="140" name="IVID8A77A1EA">
    <vt:lpwstr/>
  </property>
  <property fmtid="{D5CDD505-2E9C-101B-9397-08002B2CF9AE}" pid="141" name="IVIDA0D53319">
    <vt:lpwstr/>
  </property>
  <property fmtid="{D5CDD505-2E9C-101B-9397-08002B2CF9AE}" pid="142" name="IVID384F12E1">
    <vt:lpwstr/>
  </property>
  <property fmtid="{D5CDD505-2E9C-101B-9397-08002B2CF9AE}" pid="143" name="IVID8A75AB65">
    <vt:lpwstr/>
  </property>
  <property fmtid="{D5CDD505-2E9C-101B-9397-08002B2CF9AE}" pid="144" name="IVID224B15D4">
    <vt:lpwstr/>
  </property>
  <property fmtid="{D5CDD505-2E9C-101B-9397-08002B2CF9AE}" pid="145" name="IVIDE7513D4">
    <vt:lpwstr/>
  </property>
</Properties>
</file>