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D:\desktop\estimates\MGNREGS WORKS\2025-26 MGNREGS\Line estimate\"/>
    </mc:Choice>
  </mc:AlternateContent>
  <xr:revisionPtr revIDLastSave="0" documentId="13_ncr:1_{1A42E8B2-C1AE-4E36-BB52-7AD6158F6F3F}" xr6:coauthVersionLast="47" xr6:coauthVersionMax="47" xr10:uidLastSave="{00000000-0000-0000-0000-000000000000}"/>
  <bookViews>
    <workbookView xWindow="-120" yWindow="-120" windowWidth="20730" windowHeight="11160" tabRatio="750" xr2:uid="{00000000-000D-0000-FFFF-FFFF00000000}"/>
  </bookViews>
  <sheets>
    <sheet name="COVER" sheetId="19" r:id="rId1"/>
    <sheet name="SPE" sheetId="20" r:id="rId2"/>
    <sheet name="A.M" sheetId="105" state="hidden" r:id="rId3"/>
    <sheet name="input data" sheetId="100" state="hidden" r:id="rId4"/>
    <sheet name="Abstract" sheetId="132" r:id="rId5"/>
    <sheet name="MAIN" sheetId="23" r:id="rId6"/>
    <sheet name="SUB-1" sheetId="127" state="hidden" r:id="rId7"/>
    <sheet name="SUB-2" sheetId="133" state="hidden" r:id="rId8"/>
    <sheet name="SUB-3" sheetId="134" r:id="rId9"/>
    <sheet name="SUB-4" sheetId="135" state="hidden" r:id="rId10"/>
    <sheet name="sub-5" sheetId="131" state="hidden" r:id="rId11"/>
    <sheet name="sub-6" sheetId="137" r:id="rId12"/>
    <sheet name="seigneorage" sheetId="93" r:id="rId13"/>
    <sheet name="lead 2025-26" sheetId="42" r:id="rId14"/>
    <sheet name="data 2025-26" sheetId="25" r:id="rId15"/>
    <sheet name="CD WORK DATA" sheetId="126" r:id="rId16"/>
    <sheet name="field notes" sheetId="141" state="hidden" r:id="rId17"/>
    <sheet name="Data Road safety" sheetId="136" r:id="rId18"/>
    <sheet name="CS" sheetId="120" state="hidden" r:id="rId19"/>
    <sheet name="CR" sheetId="139" state="hidden" r:id="rId20"/>
    <sheet name="R-1" sheetId="122" state="hidden" r:id="rId21"/>
    <sheet name="R-2" sheetId="123" state="hidden" r:id="rId22"/>
    <sheet name="C-1" sheetId="106" state="hidden" r:id="rId23"/>
    <sheet name="CC f -2" sheetId="107" state="hidden" r:id="rId24"/>
    <sheet name="ccbc  (2)" sheetId="108" state="hidden" r:id="rId25"/>
    <sheet name="seigneorage (2)" sheetId="140" state="hidden" r:id="rId26"/>
    <sheet name="CERTI " sheetId="110" state="hidden" r:id="rId27"/>
    <sheet name="RE-DE" sheetId="111" state="hidden" r:id="rId28"/>
    <sheet name="voucer part" sheetId="112" state="hidden" r:id="rId29"/>
    <sheet name="1" sheetId="113" state="hidden" r:id="rId30"/>
    <sheet name="2" sheetId="114" state="hidden" r:id="rId31"/>
    <sheet name="3" sheetId="115" state="hidden" r:id="rId32"/>
    <sheet name="M-1 " sheetId="116" state="hidden" r:id="rId33"/>
    <sheet name="M-2" sheetId="117" state="hidden" r:id="rId34"/>
    <sheet name="work list" sheetId="104" state="hidden" r:id="rId35"/>
    <sheet name="CON 2025-26" sheetId="43" state="hidden" r:id="rId36"/>
    <sheet name="CC f" sheetId="101" state="hidden" r:id="rId37"/>
    <sheet name="ccbc " sheetId="102" state="hidden" r:id="rId38"/>
  </sheets>
  <externalReferences>
    <externalReference r:id="rId39"/>
    <externalReference r:id="rId40"/>
    <externalReference r:id="rId41"/>
    <externalReference r:id="rId42"/>
  </externalReferences>
  <definedNames>
    <definedName name="______can430">40.73</definedName>
    <definedName name="______can435">43.3</definedName>
    <definedName name="_____can430">40.73</definedName>
    <definedName name="_____can435">43.3</definedName>
    <definedName name="____can430">40.73</definedName>
    <definedName name="____can435">43.3</definedName>
    <definedName name="___can430">40.73</definedName>
    <definedName name="___can435">43.3</definedName>
    <definedName name="__can430">40.73</definedName>
    <definedName name="__can435">43.3</definedName>
    <definedName name="_3" localSheetId="29" hidden="1">'[1]final abstract'!#REF!</definedName>
    <definedName name="_3" localSheetId="30" hidden="1">'[1]final abstract'!#REF!</definedName>
    <definedName name="_3" localSheetId="31" hidden="1">'[1]final abstract'!#REF!</definedName>
    <definedName name="_3" localSheetId="2" hidden="1">'[1]final abstract'!#REF!</definedName>
    <definedName name="_3" localSheetId="4" hidden="1">'[1]final abstract'!#REF!</definedName>
    <definedName name="_3" localSheetId="15" hidden="1">'[1]final abstract'!#REF!</definedName>
    <definedName name="_3" localSheetId="19" hidden="1">'[1]final abstract'!#REF!</definedName>
    <definedName name="_3" localSheetId="33" hidden="1">'[1]final abstract'!#REF!</definedName>
    <definedName name="_3" localSheetId="20" hidden="1">'[1]final abstract'!#REF!</definedName>
    <definedName name="_3" localSheetId="21" hidden="1">'[1]final abstract'!#REF!</definedName>
    <definedName name="_3" localSheetId="12" hidden="1">'[1]final abstract'!#REF!</definedName>
    <definedName name="_3" localSheetId="25" hidden="1">'[1]final abstract'!#REF!</definedName>
    <definedName name="_3" localSheetId="6" hidden="1">'[1]final abstract'!#REF!</definedName>
    <definedName name="_3" localSheetId="7" hidden="1">'[1]final abstract'!#REF!</definedName>
    <definedName name="_3" localSheetId="8" hidden="1">'[1]final abstract'!#REF!</definedName>
    <definedName name="_3" localSheetId="9" hidden="1">'[1]final abstract'!#REF!</definedName>
    <definedName name="_3" localSheetId="10" hidden="1">'[1]final abstract'!#REF!</definedName>
    <definedName name="_3" localSheetId="11" hidden="1">'[1]final abstract'!#REF!</definedName>
    <definedName name="_3" hidden="1">'[1]final abstract'!#REF!</definedName>
    <definedName name="_can430">40.73</definedName>
    <definedName name="_can435">43.3</definedName>
    <definedName name="_Fill" localSheetId="29" hidden="1">'[1]final abstract'!#REF!</definedName>
    <definedName name="_Fill" localSheetId="30" hidden="1">'[1]final abstract'!#REF!</definedName>
    <definedName name="_Fill" localSheetId="31" hidden="1">'[1]final abstract'!#REF!</definedName>
    <definedName name="_Fill" localSheetId="2" hidden="1">'[1]final abstract'!#REF!</definedName>
    <definedName name="_Fill" localSheetId="4" hidden="1">'[1]final abstract'!#REF!</definedName>
    <definedName name="_Fill" localSheetId="15" hidden="1">'[1]final abstract'!#REF!</definedName>
    <definedName name="_Fill" localSheetId="19" hidden="1">'[1]final abstract'!#REF!</definedName>
    <definedName name="_Fill" localSheetId="33" hidden="1">'[1]final abstract'!#REF!</definedName>
    <definedName name="_Fill" localSheetId="20" hidden="1">'[1]final abstract'!#REF!</definedName>
    <definedName name="_Fill" localSheetId="21" hidden="1">'[1]final abstract'!#REF!</definedName>
    <definedName name="_Fill" localSheetId="12" hidden="1">'[1]final abstract'!#REF!</definedName>
    <definedName name="_Fill" localSheetId="25" hidden="1">'[1]final abstract'!#REF!</definedName>
    <definedName name="_Fill" localSheetId="6" hidden="1">'[1]final abstract'!#REF!</definedName>
    <definedName name="_Fill" localSheetId="7" hidden="1">'[1]final abstract'!#REF!</definedName>
    <definedName name="_Fill" localSheetId="8" hidden="1">'[1]final abstract'!#REF!</definedName>
    <definedName name="_Fill" localSheetId="9" hidden="1">'[1]final abstract'!#REF!</definedName>
    <definedName name="_Fill" localSheetId="10" hidden="1">'[1]final abstract'!#REF!</definedName>
    <definedName name="_Fill" localSheetId="11" hidden="1">'[1]final abstract'!#REF!</definedName>
    <definedName name="_Fill" hidden="1">'[1]final abstract'!#REF!</definedName>
    <definedName name="_xlnm._FilterDatabase" localSheetId="2" hidden="1">A.M!$A$6:$H$48</definedName>
    <definedName name="_xlnm._FilterDatabase" localSheetId="15" hidden="1">'CD WORK DATA'!$A$5:$H$164</definedName>
    <definedName name="_xlnm._FilterDatabase" localSheetId="14" hidden="1">'data 2025-26'!$A$5:$H$228</definedName>
    <definedName name="_xlnm._FilterDatabase" localSheetId="17" hidden="1">'Data Road safety'!$A$4:$G$232</definedName>
    <definedName name="_xlnm._FilterDatabase" localSheetId="3" hidden="1">'input data'!$A$9:$G$26</definedName>
    <definedName name="_xlnm._FilterDatabase" localSheetId="20" hidden="1">'R-1'!$A$4:$J$67</definedName>
    <definedName name="_xlnm._FilterDatabase" localSheetId="21" hidden="1">'R-2'!$A$4:$P$63</definedName>
    <definedName name="aa" localSheetId="29" hidden="1">'[1]final abstract'!#REF!</definedName>
    <definedName name="aa" localSheetId="30" hidden="1">'[1]final abstract'!#REF!</definedName>
    <definedName name="aa" localSheetId="31" hidden="1">'[1]final abstract'!#REF!</definedName>
    <definedName name="aa" localSheetId="2" hidden="1">'[1]final abstract'!#REF!</definedName>
    <definedName name="aa" localSheetId="4" hidden="1">'[1]final abstract'!#REF!</definedName>
    <definedName name="aa" localSheetId="15" hidden="1">'[1]final abstract'!#REF!</definedName>
    <definedName name="aa" localSheetId="19" hidden="1">'[1]final abstract'!#REF!</definedName>
    <definedName name="aa" localSheetId="20" hidden="1">'[1]final abstract'!#REF!</definedName>
    <definedName name="aa" localSheetId="21" hidden="1">'[1]final abstract'!#REF!</definedName>
    <definedName name="aa" localSheetId="25" hidden="1">'[1]final abstract'!#REF!</definedName>
    <definedName name="aa" localSheetId="6" hidden="1">'[1]final abstract'!#REF!</definedName>
    <definedName name="aa" localSheetId="7" hidden="1">'[1]final abstract'!#REF!</definedName>
    <definedName name="aa" localSheetId="8" hidden="1">'[1]final abstract'!#REF!</definedName>
    <definedName name="aa" localSheetId="9" hidden="1">'[1]final abstract'!#REF!</definedName>
    <definedName name="aa" localSheetId="10" hidden="1">'[1]final abstract'!#REF!</definedName>
    <definedName name="aa" localSheetId="11" hidden="1">'[1]final abstract'!#REF!</definedName>
    <definedName name="aa" hidden="1">'[1]final abstract'!#REF!</definedName>
    <definedName name="academic" localSheetId="29" hidden="1">'[1]final abstract'!#REF!</definedName>
    <definedName name="academic" localSheetId="30" hidden="1">'[1]final abstract'!#REF!</definedName>
    <definedName name="academic" localSheetId="31" hidden="1">'[1]final abstract'!#REF!</definedName>
    <definedName name="academic" localSheetId="2" hidden="1">'[1]final abstract'!#REF!</definedName>
    <definedName name="academic" localSheetId="4" hidden="1">'[1]final abstract'!#REF!</definedName>
    <definedName name="academic" localSheetId="15" hidden="1">'[1]final abstract'!#REF!</definedName>
    <definedName name="academic" localSheetId="19" hidden="1">'[1]final abstract'!#REF!</definedName>
    <definedName name="academic" localSheetId="20" hidden="1">'[1]final abstract'!#REF!</definedName>
    <definedName name="academic" localSheetId="21" hidden="1">'[1]final abstract'!#REF!</definedName>
    <definedName name="academic" localSheetId="25" hidden="1">'[1]final abstract'!#REF!</definedName>
    <definedName name="academic" localSheetId="6" hidden="1">'[1]final abstract'!#REF!</definedName>
    <definedName name="academic" localSheetId="7" hidden="1">'[1]final abstract'!#REF!</definedName>
    <definedName name="academic" localSheetId="8" hidden="1">'[1]final abstract'!#REF!</definedName>
    <definedName name="academic" localSheetId="9" hidden="1">'[1]final abstract'!#REF!</definedName>
    <definedName name="academic" localSheetId="10" hidden="1">'[1]final abstract'!#REF!</definedName>
    <definedName name="academic" localSheetId="11" hidden="1">'[1]final abstract'!#REF!</definedName>
    <definedName name="academic" hidden="1">'[1]final abstract'!#REF!</definedName>
    <definedName name="anscount" hidden="1">1</definedName>
    <definedName name="ASDF" localSheetId="17" hidden="1">{"'ridftotal'!$A$4:$S$27"}</definedName>
    <definedName name="ASDF" localSheetId="16" hidden="1">{"'ridftotal'!$A$4:$S$27"}</definedName>
    <definedName name="ASDF" hidden="1">{"'ridftotal'!$A$4:$S$27"}</definedName>
    <definedName name="ASFDA" localSheetId="19" hidden="1">{"'ridftotal'!$A$4:$S$27"}</definedName>
    <definedName name="ASFDA" localSheetId="18" hidden="1">{"'ridftotal'!$A$4:$S$27"}</definedName>
    <definedName name="ASFDA" localSheetId="17" hidden="1">{"'ridftotal'!$A$4:$S$27"}</definedName>
    <definedName name="ASFDA" localSheetId="16" hidden="1">{"'ridftotal'!$A$4:$S$27"}</definedName>
    <definedName name="ASFDA" localSheetId="20" hidden="1">{"'ridftotal'!$A$4:$S$27"}</definedName>
    <definedName name="ASFDA" hidden="1">{"'ridftotal'!$A$4:$S$27"}</definedName>
    <definedName name="data1" localSheetId="29" hidden="1">#REF!</definedName>
    <definedName name="data1" localSheetId="30" hidden="1">#REF!</definedName>
    <definedName name="data1" localSheetId="31" hidden="1">#REF!</definedName>
    <definedName name="data1" localSheetId="2" hidden="1">#REF!</definedName>
    <definedName name="data1" localSheetId="4" hidden="1">#REF!</definedName>
    <definedName name="data1" localSheetId="15" hidden="1">#REF!</definedName>
    <definedName name="data1" localSheetId="19" hidden="1">#REF!</definedName>
    <definedName name="data1" localSheetId="18" hidden="1">#REF!</definedName>
    <definedName name="data1" localSheetId="20" hidden="1">#REF!</definedName>
    <definedName name="data1" localSheetId="21" hidden="1">#REF!</definedName>
    <definedName name="data1" localSheetId="25" hidden="1">#REF!</definedName>
    <definedName name="data1" localSheetId="6" hidden="1">#REF!</definedName>
    <definedName name="data1" localSheetId="7" hidden="1">#REF!</definedName>
    <definedName name="data1" localSheetId="8" hidden="1">#REF!</definedName>
    <definedName name="data1" localSheetId="9" hidden="1">#REF!</definedName>
    <definedName name="data1" localSheetId="10" hidden="1">#REF!</definedName>
    <definedName name="data1" localSheetId="11" hidden="1">#REF!</definedName>
    <definedName name="data1" hidden="1">#REF!</definedName>
    <definedName name="data2" localSheetId="29" hidden="1">#REF!</definedName>
    <definedName name="data2" localSheetId="30" hidden="1">#REF!</definedName>
    <definedName name="data2" localSheetId="31" hidden="1">#REF!</definedName>
    <definedName name="data2" localSheetId="2" hidden="1">#REF!</definedName>
    <definedName name="data2" localSheetId="4" hidden="1">#REF!</definedName>
    <definedName name="data2" localSheetId="15" hidden="1">#REF!</definedName>
    <definedName name="data2" localSheetId="19" hidden="1">#REF!</definedName>
    <definedName name="data2" localSheetId="18" hidden="1">#REF!</definedName>
    <definedName name="data2" localSheetId="17" hidden="1">#REF!</definedName>
    <definedName name="data2" localSheetId="20" hidden="1">#REF!</definedName>
    <definedName name="data2" localSheetId="21" hidden="1">#REF!</definedName>
    <definedName name="data2" localSheetId="25" hidden="1">#REF!</definedName>
    <definedName name="data2" localSheetId="6" hidden="1">#REF!</definedName>
    <definedName name="data2" localSheetId="7" hidden="1">#REF!</definedName>
    <definedName name="data2" localSheetId="8" hidden="1">#REF!</definedName>
    <definedName name="data2" localSheetId="9" hidden="1">#REF!</definedName>
    <definedName name="data2" localSheetId="10" hidden="1">#REF!</definedName>
    <definedName name="data2" localSheetId="11" hidden="1">#REF!</definedName>
    <definedName name="data2" hidden="1">#REF!</definedName>
    <definedName name="data3" localSheetId="29" hidden="1">#REF!</definedName>
    <definedName name="data3" localSheetId="30" hidden="1">#REF!</definedName>
    <definedName name="data3" localSheetId="31" hidden="1">#REF!</definedName>
    <definedName name="data3" localSheetId="2" hidden="1">#REF!</definedName>
    <definedName name="data3" localSheetId="4" hidden="1">#REF!</definedName>
    <definedName name="data3" localSheetId="15" hidden="1">#REF!</definedName>
    <definedName name="data3" localSheetId="19" hidden="1">#REF!</definedName>
    <definedName name="data3" localSheetId="18" hidden="1">#REF!</definedName>
    <definedName name="data3" localSheetId="17" hidden="1">#REF!</definedName>
    <definedName name="data3" localSheetId="20" hidden="1">#REF!</definedName>
    <definedName name="data3" localSheetId="21" hidden="1">#REF!</definedName>
    <definedName name="data3" localSheetId="25" hidden="1">#REF!</definedName>
    <definedName name="data3" localSheetId="6" hidden="1">#REF!</definedName>
    <definedName name="data3" localSheetId="7" hidden="1">#REF!</definedName>
    <definedName name="data3" localSheetId="8" hidden="1">#REF!</definedName>
    <definedName name="data3" localSheetId="9" hidden="1">#REF!</definedName>
    <definedName name="data3" localSheetId="10" hidden="1">#REF!</definedName>
    <definedName name="data3" localSheetId="11" hidden="1">#REF!</definedName>
    <definedName name="data3" hidden="1">#REF!</definedName>
    <definedName name="ddd" localSheetId="29" hidden="1">'[1]final abstract'!#REF!</definedName>
    <definedName name="ddd" localSheetId="30" hidden="1">'[1]final abstract'!#REF!</definedName>
    <definedName name="ddd" localSheetId="31" hidden="1">'[1]final abstract'!#REF!</definedName>
    <definedName name="ddd" localSheetId="2" hidden="1">'[1]final abstract'!#REF!</definedName>
    <definedName name="ddd" localSheetId="4" hidden="1">'[1]final abstract'!#REF!</definedName>
    <definedName name="ddd" localSheetId="15" hidden="1">'[1]final abstract'!#REF!</definedName>
    <definedName name="ddd" localSheetId="19" hidden="1">'[1]final abstract'!#REF!</definedName>
    <definedName name="ddd" localSheetId="18" hidden="1">'[1]final abstract'!#REF!</definedName>
    <definedName name="ddd" localSheetId="20" hidden="1">'[1]final abstract'!#REF!</definedName>
    <definedName name="ddd" localSheetId="21" hidden="1">'[1]final abstract'!#REF!</definedName>
    <definedName name="ddd" localSheetId="25" hidden="1">'[1]final abstract'!#REF!</definedName>
    <definedName name="ddd" localSheetId="6" hidden="1">'[1]final abstract'!#REF!</definedName>
    <definedName name="ddd" localSheetId="7" hidden="1">'[1]final abstract'!#REF!</definedName>
    <definedName name="ddd" localSheetId="8" hidden="1">'[1]final abstract'!#REF!</definedName>
    <definedName name="ddd" localSheetId="9" hidden="1">'[1]final abstract'!#REF!</definedName>
    <definedName name="ddd" localSheetId="10" hidden="1">'[1]final abstract'!#REF!</definedName>
    <definedName name="ddd" localSheetId="11" hidden="1">'[1]final abstract'!#REF!</definedName>
    <definedName name="ddd" hidden="1">'[1]final abstract'!#REF!</definedName>
    <definedName name="dfas" localSheetId="29" hidden="1">'[1]final abstract'!#REF!</definedName>
    <definedName name="dfas" localSheetId="30" hidden="1">'[1]final abstract'!#REF!</definedName>
    <definedName name="dfas" localSheetId="31" hidden="1">'[1]final abstract'!#REF!</definedName>
    <definedName name="dfas" localSheetId="2" hidden="1">'[1]final abstract'!#REF!</definedName>
    <definedName name="dfas" localSheetId="4" hidden="1">'[1]final abstract'!#REF!</definedName>
    <definedName name="dfas" localSheetId="15" hidden="1">'[1]final abstract'!#REF!</definedName>
    <definedName name="dfas" localSheetId="19" hidden="1">'[1]final abstract'!#REF!</definedName>
    <definedName name="dfas" localSheetId="18" hidden="1">'[1]final abstract'!#REF!</definedName>
    <definedName name="dfas" localSheetId="17" hidden="1">'[1]final abstract'!#REF!</definedName>
    <definedName name="dfas" localSheetId="20" hidden="1">'[1]final abstract'!#REF!</definedName>
    <definedName name="dfas" localSheetId="21" hidden="1">'[1]final abstract'!#REF!</definedName>
    <definedName name="dfas" localSheetId="25" hidden="1">'[1]final abstract'!#REF!</definedName>
    <definedName name="dfas" localSheetId="6" hidden="1">'[1]final abstract'!#REF!</definedName>
    <definedName name="dfas" localSheetId="7" hidden="1">'[1]final abstract'!#REF!</definedName>
    <definedName name="dfas" localSheetId="8" hidden="1">'[1]final abstract'!#REF!</definedName>
    <definedName name="dfas" localSheetId="9" hidden="1">'[1]final abstract'!#REF!</definedName>
    <definedName name="dfas" localSheetId="10" hidden="1">'[1]final abstract'!#REF!</definedName>
    <definedName name="dfas" localSheetId="11" hidden="1">'[1]final abstract'!#REF!</definedName>
    <definedName name="dfas" hidden="1">'[1]final abstract'!#REF!</definedName>
    <definedName name="Discount" localSheetId="29" hidden="1">#REF!</definedName>
    <definedName name="Discount" localSheetId="30" hidden="1">#REF!</definedName>
    <definedName name="Discount" localSheetId="31" hidden="1">#REF!</definedName>
    <definedName name="Discount" localSheetId="2" hidden="1">#REF!</definedName>
    <definedName name="Discount" localSheetId="4" hidden="1">#REF!</definedName>
    <definedName name="Discount" localSheetId="15" hidden="1">#REF!</definedName>
    <definedName name="Discount" localSheetId="19" hidden="1">#REF!</definedName>
    <definedName name="Discount" localSheetId="18" hidden="1">#REF!</definedName>
    <definedName name="Discount" localSheetId="17" hidden="1">#REF!</definedName>
    <definedName name="Discount" localSheetId="20" hidden="1">#REF!</definedName>
    <definedName name="Discount" localSheetId="21" hidden="1">#REF!</definedName>
    <definedName name="Discount" localSheetId="25" hidden="1">#REF!</definedName>
    <definedName name="Discount" localSheetId="6" hidden="1">#REF!</definedName>
    <definedName name="Discount" localSheetId="7" hidden="1">#REF!</definedName>
    <definedName name="Discount" localSheetId="8" hidden="1">#REF!</definedName>
    <definedName name="Discount" localSheetId="9" hidden="1">#REF!</definedName>
    <definedName name="Discount" localSheetId="10" hidden="1">#REF!</definedName>
    <definedName name="Discount" localSheetId="11" hidden="1">#REF!</definedName>
    <definedName name="Discount" hidden="1">#REF!</definedName>
    <definedName name="display_area_2" localSheetId="29" hidden="1">#REF!</definedName>
    <definedName name="display_area_2" localSheetId="30" hidden="1">#REF!</definedName>
    <definedName name="display_area_2" localSheetId="31" hidden="1">#REF!</definedName>
    <definedName name="display_area_2" localSheetId="2" hidden="1">#REF!</definedName>
    <definedName name="display_area_2" localSheetId="4" hidden="1">#REF!</definedName>
    <definedName name="display_area_2" localSheetId="15" hidden="1">#REF!</definedName>
    <definedName name="display_area_2" localSheetId="19" hidden="1">#REF!</definedName>
    <definedName name="display_area_2" localSheetId="18" hidden="1">#REF!</definedName>
    <definedName name="display_area_2" localSheetId="17" hidden="1">#REF!</definedName>
    <definedName name="display_area_2" localSheetId="20" hidden="1">#REF!</definedName>
    <definedName name="display_area_2" localSheetId="21" hidden="1">#REF!</definedName>
    <definedName name="display_area_2" localSheetId="25" hidden="1">#REF!</definedName>
    <definedName name="display_area_2" localSheetId="6" hidden="1">#REF!</definedName>
    <definedName name="display_area_2" localSheetId="7" hidden="1">#REF!</definedName>
    <definedName name="display_area_2" localSheetId="8" hidden="1">#REF!</definedName>
    <definedName name="display_area_2" localSheetId="9" hidden="1">#REF!</definedName>
    <definedName name="display_area_2" localSheetId="10" hidden="1">#REF!</definedName>
    <definedName name="display_area_2" localSheetId="11" hidden="1">#REF!</definedName>
    <definedName name="display_area_2" hidden="1">#REF!</definedName>
    <definedName name="Excel_BuiltIn_Print_Titles">NA()</definedName>
    <definedName name="FCode" localSheetId="29" hidden="1">#REF!</definedName>
    <definedName name="FCode" localSheetId="30" hidden="1">#REF!</definedName>
    <definedName name="FCode" localSheetId="31" hidden="1">#REF!</definedName>
    <definedName name="FCode" localSheetId="2" hidden="1">#REF!</definedName>
    <definedName name="FCode" localSheetId="4" hidden="1">#REF!</definedName>
    <definedName name="FCode" localSheetId="15" hidden="1">#REF!</definedName>
    <definedName name="FCode" localSheetId="19" hidden="1">#REF!</definedName>
    <definedName name="FCode" localSheetId="18" hidden="1">#REF!</definedName>
    <definedName name="FCode" localSheetId="17" hidden="1">#REF!</definedName>
    <definedName name="FCode" localSheetId="20" hidden="1">#REF!</definedName>
    <definedName name="FCode" localSheetId="21" hidden="1">#REF!</definedName>
    <definedName name="FCode" localSheetId="25" hidden="1">#REF!</definedName>
    <definedName name="FCode" localSheetId="6" hidden="1">#REF!</definedName>
    <definedName name="FCode" localSheetId="7" hidden="1">#REF!</definedName>
    <definedName name="FCode" localSheetId="8" hidden="1">#REF!</definedName>
    <definedName name="FCode" localSheetId="9" hidden="1">#REF!</definedName>
    <definedName name="FCode" localSheetId="10" hidden="1">#REF!</definedName>
    <definedName name="FCode" localSheetId="11" hidden="1">#REF!</definedName>
    <definedName name="FCode" hidden="1">#REF!</definedName>
    <definedName name="FGD" localSheetId="19" hidden="1">{"'ridftotal'!$A$4:$S$27"}</definedName>
    <definedName name="FGD" localSheetId="18" hidden="1">{"'ridftotal'!$A$4:$S$27"}</definedName>
    <definedName name="FGD" localSheetId="17" hidden="1">{"'ridftotal'!$A$4:$S$27"}</definedName>
    <definedName name="FGD" localSheetId="16" hidden="1">{"'ridftotal'!$A$4:$S$27"}</definedName>
    <definedName name="FGD" localSheetId="20" hidden="1">{"'ridftotal'!$A$4:$S$27"}</definedName>
    <definedName name="FGD" hidden="1">{"'ridftotal'!$A$4:$S$27"}</definedName>
    <definedName name="FGHH" localSheetId="19" hidden="1">{"'ridftotal'!$A$4:$S$27"}</definedName>
    <definedName name="FGHH" localSheetId="18" hidden="1">{"'ridftotal'!$A$4:$S$27"}</definedName>
    <definedName name="FGHH" localSheetId="17" hidden="1">{"'ridftotal'!$A$4:$S$27"}</definedName>
    <definedName name="FGHH" localSheetId="16" hidden="1">{"'ridftotal'!$A$4:$S$27"}</definedName>
    <definedName name="FGHH" localSheetId="20" hidden="1">{"'ridftotal'!$A$4:$S$27"}</definedName>
    <definedName name="FGHH" hidden="1">{"'ridftotal'!$A$4:$S$27"}</definedName>
    <definedName name="GHJK" localSheetId="19" hidden="1">{"'ridftotal'!$A$4:$S$27"}</definedName>
    <definedName name="GHJK" localSheetId="18" hidden="1">{"'ridftotal'!$A$4:$S$27"}</definedName>
    <definedName name="GHJK" localSheetId="17" hidden="1">{"'ridftotal'!$A$4:$S$27"}</definedName>
    <definedName name="GHJK" localSheetId="16" hidden="1">{"'ridftotal'!$A$4:$S$27"}</definedName>
    <definedName name="GHJK" localSheetId="20" hidden="1">{"'ridftotal'!$A$4:$S$27"}</definedName>
    <definedName name="GHJK" hidden="1">{"'ridftotal'!$A$4:$S$27"}</definedName>
    <definedName name="GHJKJK" localSheetId="19" hidden="1">{"'ridftotal'!$A$4:$S$27"}</definedName>
    <definedName name="GHJKJK" localSheetId="18" hidden="1">{"'ridftotal'!$A$4:$S$27"}</definedName>
    <definedName name="GHJKJK" localSheetId="17" hidden="1">{"'ridftotal'!$A$4:$S$27"}</definedName>
    <definedName name="GHJKJK" localSheetId="16" hidden="1">{"'ridftotal'!$A$4:$S$27"}</definedName>
    <definedName name="GHJKJK" localSheetId="20" hidden="1">{"'ridftotal'!$A$4:$S$27"}</definedName>
    <definedName name="GHJKJK" hidden="1">{"'ridftotal'!$A$4:$S$27"}</definedName>
    <definedName name="GN" localSheetId="17" hidden="1">{"'ridftotal'!$A$4:$S$27"}</definedName>
    <definedName name="GN" localSheetId="16" hidden="1">{"'ridftotal'!$A$4:$S$27"}</definedName>
    <definedName name="GN" hidden="1">{"'ridftotal'!$A$4:$S$27"}</definedName>
    <definedName name="Header_Row" localSheetId="30">ROW(#REF!)</definedName>
    <definedName name="Header_Row" localSheetId="31">ROW(#REF!)</definedName>
    <definedName name="Header_Row" localSheetId="2">ROW(#REF!)</definedName>
    <definedName name="Header_Row" localSheetId="4">ROW(#REF!)</definedName>
    <definedName name="Header_Row" localSheetId="15">ROW(#REF!)</definedName>
    <definedName name="Header_Row" localSheetId="19">ROW(#REF!)</definedName>
    <definedName name="Header_Row" localSheetId="20">ROW(#REF!)</definedName>
    <definedName name="Header_Row" localSheetId="21">ROW(#REF!)</definedName>
    <definedName name="Header_Row" localSheetId="25">ROW(#REF!)</definedName>
    <definedName name="Header_Row" localSheetId="6">ROW(#REF!)</definedName>
    <definedName name="Header_Row" localSheetId="7">ROW(#REF!)</definedName>
    <definedName name="Header_Row" localSheetId="8">ROW(#REF!)</definedName>
    <definedName name="Header_Row" localSheetId="9">ROW(#REF!)</definedName>
    <definedName name="Header_Row" localSheetId="10">ROW(#REF!)</definedName>
    <definedName name="Header_Row" localSheetId="11">ROW(#REF!)</definedName>
    <definedName name="Header_Row">ROW(#REF!)</definedName>
    <definedName name="HiddenRows" localSheetId="29" hidden="1">#REF!</definedName>
    <definedName name="HiddenRows" localSheetId="30" hidden="1">#REF!</definedName>
    <definedName name="HiddenRows" localSheetId="31" hidden="1">#REF!</definedName>
    <definedName name="HiddenRows" localSheetId="2" hidden="1">#REF!</definedName>
    <definedName name="HiddenRows" localSheetId="4" hidden="1">#REF!</definedName>
    <definedName name="HiddenRows" localSheetId="15" hidden="1">#REF!</definedName>
    <definedName name="HiddenRows" localSheetId="19" hidden="1">#REF!</definedName>
    <definedName name="HiddenRows" localSheetId="18" hidden="1">#REF!</definedName>
    <definedName name="HiddenRows" localSheetId="17" hidden="1">#REF!</definedName>
    <definedName name="HiddenRows" localSheetId="20" hidden="1">#REF!</definedName>
    <definedName name="HiddenRows" localSheetId="21" hidden="1">#REF!</definedName>
    <definedName name="HiddenRows" localSheetId="25" hidden="1">#REF!</definedName>
    <definedName name="HiddenRows" localSheetId="6" hidden="1">#REF!</definedName>
    <definedName name="HiddenRows" localSheetId="7" hidden="1">#REF!</definedName>
    <definedName name="HiddenRows" localSheetId="8" hidden="1">#REF!</definedName>
    <definedName name="HiddenRows" localSheetId="9" hidden="1">#REF!</definedName>
    <definedName name="HiddenRows" localSheetId="10" hidden="1">#REF!</definedName>
    <definedName name="HiddenRows" localSheetId="11" hidden="1">#REF!</definedName>
    <definedName name="HiddenRows" hidden="1">#REF!</definedName>
    <definedName name="HJ" localSheetId="19" hidden="1">{"'ridftotal'!$A$4:$S$27"}</definedName>
    <definedName name="HJ" localSheetId="18" hidden="1">{"'ridftotal'!$A$4:$S$27"}</definedName>
    <definedName name="HJ" localSheetId="17" hidden="1">{"'ridftotal'!$A$4:$S$27"}</definedName>
    <definedName name="HJ" localSheetId="16" hidden="1">{"'ridftotal'!$A$4:$S$27"}</definedName>
    <definedName name="HJ" localSheetId="20" hidden="1">{"'ridftotal'!$A$4:$S$27"}</definedName>
    <definedName name="HJ" hidden="1">{"'ridftotal'!$A$4:$S$27"}</definedName>
    <definedName name="HTML_CodePage" hidden="1">1252</definedName>
    <definedName name="HTML_Control" localSheetId="19" hidden="1">{"'ridftotal'!$A$4:$S$27"}</definedName>
    <definedName name="HTML_Control" localSheetId="18" hidden="1">{"'ridftotal'!$A$4:$S$27"}</definedName>
    <definedName name="HTML_Control" localSheetId="17" hidden="1">{"'ridftotal'!$A$4:$S$27"}</definedName>
    <definedName name="HTML_Control" localSheetId="16" hidden="1">{"'ridftotal'!$A$4:$S$27"}</definedName>
    <definedName name="HTML_Control" localSheetId="20"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19" hidden="1">{"'ridftotal'!$A$4:$S$27"}</definedName>
    <definedName name="IK" localSheetId="18" hidden="1">{"'ridftotal'!$A$4:$S$27"}</definedName>
    <definedName name="IK" localSheetId="17" hidden="1">{"'ridftotal'!$A$4:$S$27"}</definedName>
    <definedName name="IK" localSheetId="16" hidden="1">{"'ridftotal'!$A$4:$S$27"}</definedName>
    <definedName name="IK" localSheetId="20" hidden="1">{"'ridftotal'!$A$4:$S$27"}</definedName>
    <definedName name="IK" hidden="1">{"'ridftotal'!$A$4:$S$27"}</definedName>
    <definedName name="Index" localSheetId="19" hidden="1">{"'ridftotal'!$A$4:$S$27"}</definedName>
    <definedName name="Index" localSheetId="18" hidden="1">{"'ridftotal'!$A$4:$S$27"}</definedName>
    <definedName name="Index" localSheetId="17" hidden="1">{"'ridftotal'!$A$4:$S$27"}</definedName>
    <definedName name="Index" localSheetId="16" hidden="1">{"'ridftotal'!$A$4:$S$27"}</definedName>
    <definedName name="Index" localSheetId="20" hidden="1">{"'ridftotal'!$A$4:$S$27"}</definedName>
    <definedName name="Index" hidden="1">{"'ridftotal'!$A$4:$S$27"}</definedName>
    <definedName name="io" localSheetId="4">DATE(YEAR([0]!Loan_Start),MONTH([0]!Loan_Start)+Payment_Number,DAY([0]!Loan_Start))</definedName>
    <definedName name="io" localSheetId="15">DATE(YEAR([0]!Loan_Start),MONTH([0]!Loan_Start)+Payment_Number,DAY([0]!Loan_Start))</definedName>
    <definedName name="io" localSheetId="19">DATE(YEAR([0]!Loan_Start),MONTH([0]!Loan_Start)+Payment_Number,DAY([0]!Loan_Start))</definedName>
    <definedName name="io" localSheetId="17">DATE(YEAR([0]!Loan_Start),MONTH([0]!Loan_Start)+Payment_Number,DAY([0]!Loan_Start))</definedName>
    <definedName name="io" localSheetId="16">DATE(YEAR([0]!Loan_Start),MONTH([0]!Loan_Start)+Payment_Number,DAY([0]!Loan_Start))</definedName>
    <definedName name="io" localSheetId="20">DATE(YEAR([0]!Loan_Start),MONTH([0]!Loan_Start)+Payment_Number,DAY([0]!Loan_Start))</definedName>
    <definedName name="io" localSheetId="21">DATE(YEAR([0]!Loan_Start),MONTH([0]!Loan_Start)+Payment_Number,DAY([0]!Loan_Start))</definedName>
    <definedName name="io" localSheetId="25">DATE(YEAR([0]!Loan_Start),MONTH([0]!Loan_Start)+Payment_Number,DAY([0]!Loan_Start))</definedName>
    <definedName name="io" localSheetId="6">DATE(YEAR([0]!Loan_Start),MONTH([0]!Loan_Start)+Payment_Number,DAY([0]!Loan_Start))</definedName>
    <definedName name="io" localSheetId="7">DATE(YEAR([0]!Loan_Start),MONTH([0]!Loan_Start)+Payment_Number,DAY([0]!Loan_Start))</definedName>
    <definedName name="io" localSheetId="8">DATE(YEAR([0]!Loan_Start),MONTH([0]!Loan_Start)+Payment_Number,DAY([0]!Loan_Start))</definedName>
    <definedName name="io" localSheetId="9">DATE(YEAR([0]!Loan_Start),MONTH([0]!Loan_Start)+Payment_Number,DAY([0]!Loan_Start))</definedName>
    <definedName name="io" localSheetId="10">DATE(YEAR([0]!Loan_Start),MONTH([0]!Loan_Start)+Payment_Number,DAY([0]!Loan_Start))</definedName>
    <definedName name="io" localSheetId="11">DATE(YEAR([0]!Loan_Start),MONTH([0]!Loan_Start)+Payment_Number,DAY([0]!Loan_Start))</definedName>
    <definedName name="io">DATE(YEAR([0]!Loan_Start),MONTH([0]!Loan_Start)+Payment_Number,DAY([0]!Loan_Start))</definedName>
    <definedName name="jk" localSheetId="19" hidden="1">{"'ridftotal'!$A$4:$S$27"}</definedName>
    <definedName name="jk" localSheetId="18" hidden="1">{"'ridftotal'!$A$4:$S$27"}</definedName>
    <definedName name="jk" localSheetId="17" hidden="1">{"'ridftotal'!$A$4:$S$27"}</definedName>
    <definedName name="jk" localSheetId="16" hidden="1">{"'ridftotal'!$A$4:$S$27"}</definedName>
    <definedName name="jk" localSheetId="20" hidden="1">{"'ridftotal'!$A$4:$S$27"}</definedName>
    <definedName name="jk" hidden="1">{"'ridftotal'!$A$4:$S$27"}</definedName>
    <definedName name="KADA" localSheetId="19" hidden="1">{"'ridftotal'!$A$4:$S$27"}</definedName>
    <definedName name="KADA" localSheetId="18" hidden="1">{"'ridftotal'!$A$4:$S$27"}</definedName>
    <definedName name="KADA" localSheetId="17" hidden="1">{"'ridftotal'!$A$4:$S$27"}</definedName>
    <definedName name="KADA" localSheetId="16" hidden="1">{"'ridftotal'!$A$4:$S$27"}</definedName>
    <definedName name="KADA" localSheetId="20" hidden="1">{"'ridftotal'!$A$4:$S$27"}</definedName>
    <definedName name="KADA" hidden="1">{"'ridftotal'!$A$4:$S$27"}</definedName>
    <definedName name="kADAPA" localSheetId="19" hidden="1">{"'ridftotal'!$A$4:$S$27"}</definedName>
    <definedName name="kADAPA" localSheetId="18" hidden="1">{"'ridftotal'!$A$4:$S$27"}</definedName>
    <definedName name="kADAPA" localSheetId="17" hidden="1">{"'ridftotal'!$A$4:$S$27"}</definedName>
    <definedName name="kADAPA" localSheetId="16" hidden="1">{"'ridftotal'!$A$4:$S$27"}</definedName>
    <definedName name="kADAPA" localSheetId="20" hidden="1">{"'ridftotal'!$A$4:$S$27"}</definedName>
    <definedName name="kADAPA" hidden="1">{"'ridftotal'!$A$4:$S$27"}</definedName>
    <definedName name="KJ" localSheetId="16" hidden="1">{"'ridftotal'!$A$4:$S$27"}</definedName>
    <definedName name="KJ" hidden="1">{"'ridftotal'!$A$4:$S$27"}</definedName>
    <definedName name="kjghd" localSheetId="17">OFFSET([0]!Full_Print,0,0,[2]CR!Last_Row)</definedName>
    <definedName name="kjghd" localSheetId="16">OFFSET([0]!Full_Print,0,0,[2]CR!Last_Row)</definedName>
    <definedName name="kjghd" localSheetId="25">#N/A</definedName>
    <definedName name="kjghd">OFFSET([0]!Full_Print,0,0,[2]CR!Last_Row)</definedName>
    <definedName name="Last_Row" localSheetId="17">IF([2]CR!Values_Entered,[0]!Header_Row+[2]CR!Number_of_Payments,[0]!Header_Row)</definedName>
    <definedName name="Last_Row" localSheetId="16">IF([2]CR!Values_Entered,[0]!Header_Row+[2]CR!Number_of_Payments,[0]!Header_Row)</definedName>
    <definedName name="Last_Row" localSheetId="25">#N/A</definedName>
    <definedName name="Last_Row">IF([2]CR!Values_Entered,[0]!Header_Row+[2]CR!Number_of_Payments,[0]!Header_Row)</definedName>
    <definedName name="MK" localSheetId="19" hidden="1">{"'ridftotal'!$A$4:$S$27"}</definedName>
    <definedName name="MK" localSheetId="18" hidden="1">{"'ridftotal'!$A$4:$S$27"}</definedName>
    <definedName name="MK" localSheetId="17" hidden="1">{"'ridftotal'!$A$4:$S$27"}</definedName>
    <definedName name="MK" localSheetId="16" hidden="1">{"'ridftotal'!$A$4:$S$27"}</definedName>
    <definedName name="MK" localSheetId="20" hidden="1">{"'ridftotal'!$A$4:$S$27"}</definedName>
    <definedName name="MK" hidden="1">{"'ridftotal'!$A$4:$S$27"}</definedName>
    <definedName name="NM" localSheetId="19" hidden="1">{"'ridftotal'!$A$4:$S$27"}</definedName>
    <definedName name="NM" localSheetId="18" hidden="1">{"'ridftotal'!$A$4:$S$27"}</definedName>
    <definedName name="NM" localSheetId="17" hidden="1">{"'ridftotal'!$A$4:$S$27"}</definedName>
    <definedName name="NM" localSheetId="16" hidden="1">{"'ridftotal'!$A$4:$S$27"}</definedName>
    <definedName name="NM" localSheetId="20" hidden="1">{"'ridftotal'!$A$4:$S$27"}</definedName>
    <definedName name="NM" hidden="1">{"'ridftotal'!$A$4:$S$27"}</definedName>
    <definedName name="nn" localSheetId="17" hidden="1">{"'ridftotal'!$A$4:$S$27"}</definedName>
    <definedName name="nn" localSheetId="16" hidden="1">{"'ridftotal'!$A$4:$S$27"}</definedName>
    <definedName name="nn" hidden="1">{"'ridftotal'!$A$4:$S$27"}</definedName>
    <definedName name="Number_of_Payments" localSheetId="4">MATCH(0.01,[0]!End_Bal,-1)+1</definedName>
    <definedName name="Number_of_Payments" localSheetId="15">MATCH(0.01,[0]!End_Bal,-1)+1</definedName>
    <definedName name="Number_of_Payments" localSheetId="19">MATCH(0.01,[0]!End_Bal,-1)+1</definedName>
    <definedName name="Number_of_Payments" localSheetId="17">MATCH(0.01,[0]!End_Bal,-1)+1</definedName>
    <definedName name="Number_of_Payments" localSheetId="16">MATCH(0.01,[0]!End_Bal,-1)+1</definedName>
    <definedName name="Number_of_Payments" localSheetId="20">MATCH(0.01,[0]!End_Bal,-1)+1</definedName>
    <definedName name="Number_of_Payments" localSheetId="21">MATCH(0.01,[0]!End_Bal,-1)+1</definedName>
    <definedName name="Number_of_Payments" localSheetId="25">MATCH(0.01,[0]!End_Bal,-1)+1</definedName>
    <definedName name="Number_of_Payments" localSheetId="6">MATCH(0.01,[0]!End_Bal,-1)+1</definedName>
    <definedName name="Number_of_Payments" localSheetId="7">MATCH(0.01,[0]!End_Bal,-1)+1</definedName>
    <definedName name="Number_of_Payments" localSheetId="8">MATCH(0.01,[0]!End_Bal,-1)+1</definedName>
    <definedName name="Number_of_Payments" localSheetId="9">MATCH(0.01,[0]!End_Bal,-1)+1</definedName>
    <definedName name="Number_of_Payments" localSheetId="10">MATCH(0.01,[0]!End_Bal,-1)+1</definedName>
    <definedName name="Number_of_Payments" localSheetId="11">MATCH(0.01,[0]!End_Bal,-1)+1</definedName>
    <definedName name="Number_of_Payments">MATCH(0.01,[0]!End_Bal,-1)+1</definedName>
    <definedName name="OrderTable" localSheetId="29" hidden="1">#REF!</definedName>
    <definedName name="OrderTable" localSheetId="30" hidden="1">#REF!</definedName>
    <definedName name="OrderTable" localSheetId="31" hidden="1">#REF!</definedName>
    <definedName name="OrderTable" localSheetId="2" hidden="1">#REF!</definedName>
    <definedName name="OrderTable" localSheetId="4" hidden="1">#REF!</definedName>
    <definedName name="OrderTable" localSheetId="15" hidden="1">#REF!</definedName>
    <definedName name="OrderTable" localSheetId="19" hidden="1">#REF!</definedName>
    <definedName name="OrderTable" localSheetId="18" hidden="1">#REF!</definedName>
    <definedName name="OrderTable" localSheetId="17" hidden="1">#REF!</definedName>
    <definedName name="OrderTable" localSheetId="20" hidden="1">#REF!</definedName>
    <definedName name="OrderTable" localSheetId="21" hidden="1">#REF!</definedName>
    <definedName name="OrderTable" localSheetId="25" hidden="1">#REF!</definedName>
    <definedName name="OrderTable" localSheetId="6" hidden="1">#REF!</definedName>
    <definedName name="OrderTable" localSheetId="7" hidden="1">#REF!</definedName>
    <definedName name="OrderTable" localSheetId="8" hidden="1">#REF!</definedName>
    <definedName name="OrderTable" localSheetId="9" hidden="1">#REF!</definedName>
    <definedName name="OrderTable" localSheetId="10" hidden="1">#REF!</definedName>
    <definedName name="OrderTable" localSheetId="11" hidden="1">#REF!</definedName>
    <definedName name="OrderTable" hidden="1">#REF!</definedName>
    <definedName name="Payment_Date" localSheetId="4">DATE(YEAR([0]!Loan_Start),MONTH([0]!Loan_Start)+Payment_Number,DAY([0]!Loan_Start))</definedName>
    <definedName name="Payment_Date" localSheetId="15">DATE(YEAR([0]!Loan_Start),MONTH([0]!Loan_Start)+Payment_Number,DAY([0]!Loan_Start))</definedName>
    <definedName name="Payment_Date" localSheetId="19">DATE(YEAR([0]!Loan_Start),MONTH([0]!Loan_Start)+Payment_Number,DAY([0]!Loan_Start))</definedName>
    <definedName name="Payment_Date" localSheetId="17">DATE(YEAR([0]!Loan_Start),MONTH([0]!Loan_Start)+Payment_Number,DAY([0]!Loan_Start))</definedName>
    <definedName name="Payment_Date" localSheetId="16">DATE(YEAR([0]!Loan_Start),MONTH([0]!Loan_Start)+Payment_Number,DAY([0]!Loan_Start))</definedName>
    <definedName name="Payment_Date" localSheetId="20">DATE(YEAR([0]!Loan_Start),MONTH([0]!Loan_Start)+Payment_Number,DAY([0]!Loan_Start))</definedName>
    <definedName name="Payment_Date" localSheetId="21">DATE(YEAR([0]!Loan_Start),MONTH([0]!Loan_Start)+Payment_Number,DAY([0]!Loan_Start))</definedName>
    <definedName name="Payment_Date" localSheetId="25">DATE(YEAR([0]!Loan_Start),MONTH([0]!Loan_Start)+Payment_Number,DAY([0]!Loan_Start))</definedName>
    <definedName name="Payment_Date" localSheetId="6">DATE(YEAR([0]!Loan_Start),MONTH([0]!Loan_Start)+Payment_Number,DAY([0]!Loan_Start))</definedName>
    <definedName name="Payment_Date" localSheetId="7">DATE(YEAR([0]!Loan_Start),MONTH([0]!Loan_Start)+Payment_Number,DAY([0]!Loan_Start))</definedName>
    <definedName name="Payment_Date" localSheetId="8">DATE(YEAR([0]!Loan_Start),MONTH([0]!Loan_Start)+Payment_Number,DAY([0]!Loan_Start))</definedName>
    <definedName name="Payment_Date" localSheetId="9">DATE(YEAR([0]!Loan_Start),MONTH([0]!Loan_Start)+Payment_Number,DAY([0]!Loan_Start))</definedName>
    <definedName name="Payment_Date" localSheetId="10">DATE(YEAR([0]!Loan_Start),MONTH([0]!Loan_Start)+Payment_Number,DAY([0]!Loan_Start))</definedName>
    <definedName name="Payment_Date" localSheetId="11">DATE(YEAR([0]!Loan_Start),MONTH([0]!Loan_Start)+Payment_Number,DAY([0]!Loan_Start))</definedName>
    <definedName name="Payment_Date">DATE(YEAR([0]!Loan_Start),MONTH([0]!Loan_Start)+Payment_Number,DAY([0]!Loan_Start))</definedName>
    <definedName name="pi">3.1415</definedName>
    <definedName name="_xlnm.Print_Area" localSheetId="29">'1'!$A$1:$I$20</definedName>
    <definedName name="_xlnm.Print_Area" localSheetId="30">'2'!$A$1:$I$20</definedName>
    <definedName name="_xlnm.Print_Area" localSheetId="31">'3'!$A$1:$I$20</definedName>
    <definedName name="_xlnm.Print_Area" localSheetId="2">A.M!$A$1:$H$54</definedName>
    <definedName name="_xlnm.Print_Area" localSheetId="4">Abstract!$A$1:$M$29</definedName>
    <definedName name="_xlnm.Print_Area" localSheetId="22">'C-1'!$A$1:$G$57</definedName>
    <definedName name="_xlnm.Print_Area" localSheetId="36">'CC f'!$A$1:$J$30</definedName>
    <definedName name="_xlnm.Print_Area" localSheetId="23">'CC f -2'!$A$1:$J$49</definedName>
    <definedName name="_xlnm.Print_Area" localSheetId="15">'CD WORK DATA'!$A$1:$H$230</definedName>
    <definedName name="_xlnm.Print_Area" localSheetId="35">'CON 2025-26'!$A$124</definedName>
    <definedName name="_xlnm.Print_Area" localSheetId="19">CR!$A$1:$M$78</definedName>
    <definedName name="_xlnm.Print_Area" localSheetId="18">CS!$A$1:$M$78</definedName>
    <definedName name="_xlnm.Print_Area" localSheetId="14">'data 2025-26'!$A$1:$H$236</definedName>
    <definedName name="_xlnm.Print_Area" localSheetId="17">'Data Road safety'!$A$1:$G$240</definedName>
    <definedName name="_xlnm.Print_Area" localSheetId="3">'input data'!$A$1:$G$35</definedName>
    <definedName name="_xlnm.Print_Area" localSheetId="13">'lead 2025-26'!$A$1:$L$39</definedName>
    <definedName name="_xlnm.Print_Area" localSheetId="5">MAIN!$A$1:$M$90</definedName>
    <definedName name="_xlnm.Print_Area" localSheetId="20">'R-1'!$A$1:$J$78</definedName>
    <definedName name="_xlnm.Print_Area" localSheetId="21">'R-2'!$A$1:$P$71</definedName>
    <definedName name="_xlnm.Print_Area" localSheetId="12">seigneorage!$A$1:$O$91</definedName>
    <definedName name="_xlnm.Print_Area" localSheetId="25">'seigneorage (2)'!$A$1:$O$80</definedName>
    <definedName name="_xlnm.Print_Area" localSheetId="1">SPE!$A$1:$I$29</definedName>
    <definedName name="_xlnm.Print_Area" localSheetId="6">'SUB-1'!$A$1:$M$68</definedName>
    <definedName name="_xlnm.Print_Area" localSheetId="7">'SUB-2'!$A$1:$M$70</definedName>
    <definedName name="_xlnm.Print_Area" localSheetId="8">'SUB-3'!$A$1:$M$58</definedName>
    <definedName name="_xlnm.Print_Area" localSheetId="9">'SUB-4'!$A$1:$M$58</definedName>
    <definedName name="_xlnm.Print_Area" localSheetId="10">'sub-5'!$A$1:$M$31</definedName>
    <definedName name="_xlnm.Print_Area" localSheetId="11">'sub-6'!$A$1:$M$40</definedName>
    <definedName name="_xlnm.Print_Area" localSheetId="28">'voucer part'!$A$1:$L$25</definedName>
    <definedName name="Print_Area_Reset" localSheetId="4">OFFSET([0]!Full_Print,0,0,[0]!Last_Row)</definedName>
    <definedName name="Print_Area_Reset" localSheetId="15">OFFSET([0]!Full_Print,0,0,[0]!Last_Row)</definedName>
    <definedName name="Print_Area_Reset" localSheetId="19">OFFSET([0]!Full_Print,0,0,[0]!Last_Row)</definedName>
    <definedName name="Print_Area_Reset" localSheetId="17">OFFSET([0]!Full_Print,0,0,'Data Road safety'!Last_Row)</definedName>
    <definedName name="Print_Area_Reset" localSheetId="16">OFFSET([0]!Full_Print,0,0,'field notes'!Last_Row)</definedName>
    <definedName name="Print_Area_Reset" localSheetId="20">OFFSET([0]!Full_Print,0,0,[0]!Last_Row)</definedName>
    <definedName name="Print_Area_Reset" localSheetId="21">OFFSET([0]!Full_Print,0,0,[0]!Last_Row)</definedName>
    <definedName name="Print_Area_Reset" localSheetId="25">OFFSET([0]!Full_Print,0,0,'seigneorage (2)'!Last_Row)</definedName>
    <definedName name="Print_Area_Reset" localSheetId="6">OFFSET([0]!Full_Print,0,0,[0]!Last_Row)</definedName>
    <definedName name="Print_Area_Reset" localSheetId="7">OFFSET([0]!Full_Print,0,0,[0]!Last_Row)</definedName>
    <definedName name="Print_Area_Reset" localSheetId="8">OFFSET([0]!Full_Print,0,0,[0]!Last_Row)</definedName>
    <definedName name="Print_Area_Reset" localSheetId="9">OFFSET([0]!Full_Print,0,0,[0]!Last_Row)</definedName>
    <definedName name="Print_Area_Reset" localSheetId="10">OFFSET([0]!Full_Print,0,0,[0]!Last_Row)</definedName>
    <definedName name="Print_Area_Reset" localSheetId="11">OFFSET([0]!Full_Print,0,0,[0]!Last_Row)</definedName>
    <definedName name="Print_Area_Reset">OFFSET([0]!Full_Print,0,0,Last_Row)</definedName>
    <definedName name="_xlnm.Print_Titles" localSheetId="2">A.M!$4:$6</definedName>
    <definedName name="_xlnm.Print_Titles" localSheetId="4">Abstract!$4:$6</definedName>
    <definedName name="_xlnm.Print_Titles" localSheetId="36">'CC f'!$13:$14</definedName>
    <definedName name="_xlnm.Print_Titles" localSheetId="15">'CD WORK DATA'!$4:$5</definedName>
    <definedName name="_xlnm.Print_Titles" localSheetId="19">CR!$4:$6</definedName>
    <definedName name="_xlnm.Print_Titles" localSheetId="18">CS!$4:$6</definedName>
    <definedName name="_xlnm.Print_Titles" localSheetId="14">'data 2025-26'!$4:$5</definedName>
    <definedName name="_xlnm.Print_Titles" localSheetId="17">'Data Road safety'!$3:$4</definedName>
    <definedName name="_xlnm.Print_Titles" localSheetId="13">'lead 2025-26'!$6:$7</definedName>
    <definedName name="_xlnm.Print_Titles" localSheetId="5">MAIN!$4:$6</definedName>
    <definedName name="_xlnm.Print_Titles" localSheetId="20">'R-1'!$4:$4</definedName>
    <definedName name="_xlnm.Print_Titles" localSheetId="21">'R-2'!$4:$4</definedName>
    <definedName name="_xlnm.Print_Titles" localSheetId="6">'SUB-1'!$4:$6</definedName>
    <definedName name="_xlnm.Print_Titles" localSheetId="7">'SUB-2'!$5:$7</definedName>
    <definedName name="_xlnm.Print_Titles" localSheetId="8">'SUB-3'!$5:$7</definedName>
    <definedName name="_xlnm.Print_Titles" localSheetId="9">'SUB-4'!$5:$7</definedName>
    <definedName name="_xlnm.Print_Titles" localSheetId="10">'sub-5'!$5:$7</definedName>
    <definedName name="_xlnm.Print_Titles" localSheetId="11">'sub-6'!$5:$7</definedName>
    <definedName name="ProdForm" localSheetId="29" hidden="1">#REF!</definedName>
    <definedName name="ProdForm" localSheetId="30" hidden="1">#REF!</definedName>
    <definedName name="ProdForm" localSheetId="31" hidden="1">#REF!</definedName>
    <definedName name="ProdForm" localSheetId="2" hidden="1">#REF!</definedName>
    <definedName name="ProdForm" localSheetId="4" hidden="1">#REF!</definedName>
    <definedName name="ProdForm" localSheetId="15" hidden="1">#REF!</definedName>
    <definedName name="ProdForm" localSheetId="19" hidden="1">#REF!</definedName>
    <definedName name="ProdForm" localSheetId="18" hidden="1">#REF!</definedName>
    <definedName name="ProdForm" localSheetId="17" hidden="1">#REF!</definedName>
    <definedName name="ProdForm" localSheetId="20" hidden="1">#REF!</definedName>
    <definedName name="ProdForm" localSheetId="21" hidden="1">#REF!</definedName>
    <definedName name="ProdForm" localSheetId="25" hidden="1">#REF!</definedName>
    <definedName name="ProdForm" localSheetId="6" hidden="1">#REF!</definedName>
    <definedName name="ProdForm" localSheetId="7" hidden="1">#REF!</definedName>
    <definedName name="ProdForm" localSheetId="8" hidden="1">#REF!</definedName>
    <definedName name="ProdForm" localSheetId="9" hidden="1">#REF!</definedName>
    <definedName name="ProdForm" localSheetId="10" hidden="1">#REF!</definedName>
    <definedName name="ProdForm" localSheetId="11" hidden="1">#REF!</definedName>
    <definedName name="ProdForm" hidden="1">#REF!</definedName>
    <definedName name="Product" localSheetId="29" hidden="1">#REF!</definedName>
    <definedName name="Product" localSheetId="30" hidden="1">#REF!</definedName>
    <definedName name="Product" localSheetId="31" hidden="1">#REF!</definedName>
    <definedName name="Product" localSheetId="2" hidden="1">#REF!</definedName>
    <definedName name="Product" localSheetId="4" hidden="1">#REF!</definedName>
    <definedName name="Product" localSheetId="15" hidden="1">#REF!</definedName>
    <definedName name="Product" localSheetId="19" hidden="1">#REF!</definedName>
    <definedName name="Product" localSheetId="18" hidden="1">#REF!</definedName>
    <definedName name="Product" localSheetId="20" hidden="1">#REF!</definedName>
    <definedName name="Product" localSheetId="21" hidden="1">#REF!</definedName>
    <definedName name="Product" localSheetId="25" hidden="1">#REF!</definedName>
    <definedName name="Product" localSheetId="6" hidden="1">#REF!</definedName>
    <definedName name="Product" localSheetId="7" hidden="1">#REF!</definedName>
    <definedName name="Product" localSheetId="8" hidden="1">#REF!</definedName>
    <definedName name="Product" localSheetId="9" hidden="1">#REF!</definedName>
    <definedName name="Product" localSheetId="10" hidden="1">#REF!</definedName>
    <definedName name="Product" localSheetId="11" hidden="1">#REF!</definedName>
    <definedName name="Product" hidden="1">#REF!</definedName>
    <definedName name="RCArea" localSheetId="29" hidden="1">#REF!</definedName>
    <definedName name="RCArea" localSheetId="30" hidden="1">#REF!</definedName>
    <definedName name="RCArea" localSheetId="31" hidden="1">#REF!</definedName>
    <definedName name="RCArea" localSheetId="2" hidden="1">#REF!</definedName>
    <definedName name="RCArea" localSheetId="4" hidden="1">#REF!</definedName>
    <definedName name="RCArea" localSheetId="15" hidden="1">#REF!</definedName>
    <definedName name="RCArea" localSheetId="19" hidden="1">#REF!</definedName>
    <definedName name="RCArea" localSheetId="18" hidden="1">#REF!</definedName>
    <definedName name="RCArea" localSheetId="17" hidden="1">#REF!</definedName>
    <definedName name="RCArea" localSheetId="20" hidden="1">#REF!</definedName>
    <definedName name="RCArea" localSheetId="21" hidden="1">#REF!</definedName>
    <definedName name="RCArea" localSheetId="25" hidden="1">#REF!</definedName>
    <definedName name="RCArea" localSheetId="6" hidden="1">#REF!</definedName>
    <definedName name="RCArea" localSheetId="7" hidden="1">#REF!</definedName>
    <definedName name="RCArea" localSheetId="8" hidden="1">#REF!</definedName>
    <definedName name="RCArea" localSheetId="9" hidden="1">#REF!</definedName>
    <definedName name="RCArea" localSheetId="10" hidden="1">#REF!</definedName>
    <definedName name="RCArea" localSheetId="11" hidden="1">#REF!</definedName>
    <definedName name="RCArea" hidden="1">#REF!</definedName>
    <definedName name="S.F" localSheetId="29" hidden="1">'[1]final abstract'!#REF!</definedName>
    <definedName name="S.F" localSheetId="30" hidden="1">'[1]final abstract'!#REF!</definedName>
    <definedName name="S.F" localSheetId="31" hidden="1">'[1]final abstract'!#REF!</definedName>
    <definedName name="S.F" localSheetId="2" hidden="1">'[1]final abstract'!#REF!</definedName>
    <definedName name="S.F" localSheetId="4" hidden="1">'[1]final abstract'!#REF!</definedName>
    <definedName name="S.F" localSheetId="15" hidden="1">'[1]final abstract'!#REF!</definedName>
    <definedName name="S.F" localSheetId="19" hidden="1">'[1]final abstract'!#REF!</definedName>
    <definedName name="S.F" localSheetId="18" hidden="1">'[1]final abstract'!#REF!</definedName>
    <definedName name="S.F" localSheetId="20" hidden="1">'[1]final abstract'!#REF!</definedName>
    <definedName name="S.F" localSheetId="21" hidden="1">'[1]final abstract'!#REF!</definedName>
    <definedName name="S.F" localSheetId="25" hidden="1">'[1]final abstract'!#REF!</definedName>
    <definedName name="S.F" localSheetId="6" hidden="1">'[1]final abstract'!#REF!</definedName>
    <definedName name="S.F" localSheetId="7" hidden="1">'[1]final abstract'!#REF!</definedName>
    <definedName name="S.F" localSheetId="8" hidden="1">'[1]final abstract'!#REF!</definedName>
    <definedName name="S.F" localSheetId="9" hidden="1">'[1]final abstract'!#REF!</definedName>
    <definedName name="S.F" localSheetId="10" hidden="1">'[1]final abstract'!#REF!</definedName>
    <definedName name="S.F" localSheetId="11" hidden="1">'[1]final abstract'!#REF!</definedName>
    <definedName name="S.F" hidden="1">'[1]final abstract'!#REF!</definedName>
    <definedName name="SKDIRD" localSheetId="19" hidden="1">{"'ridftotal'!$A$4:$S$27"}</definedName>
    <definedName name="SKDIRD" localSheetId="18" hidden="1">{"'ridftotal'!$A$4:$S$27"}</definedName>
    <definedName name="SKDIRD" localSheetId="17" hidden="1">{"'ridftotal'!$A$4:$S$27"}</definedName>
    <definedName name="SKDIRD" localSheetId="16" hidden="1">{"'ridftotal'!$A$4:$S$27"}</definedName>
    <definedName name="SKDIRD" localSheetId="20" hidden="1">{"'ridftotal'!$A$4:$S$27"}</definedName>
    <definedName name="SKDIRD" hidden="1">{"'ridftotal'!$A$4:$S$27"}</definedName>
    <definedName name="SpecialPrice" localSheetId="29" hidden="1">#REF!</definedName>
    <definedName name="SpecialPrice" localSheetId="30" hidden="1">#REF!</definedName>
    <definedName name="SpecialPrice" localSheetId="31" hidden="1">#REF!</definedName>
    <definedName name="SpecialPrice" localSheetId="2" hidden="1">#REF!</definedName>
    <definedName name="SpecialPrice" localSheetId="4" hidden="1">#REF!</definedName>
    <definedName name="SpecialPrice" localSheetId="15" hidden="1">#REF!</definedName>
    <definedName name="SpecialPrice" localSheetId="19" hidden="1">#REF!</definedName>
    <definedName name="SpecialPrice" localSheetId="18" hidden="1">#REF!</definedName>
    <definedName name="SpecialPrice" localSheetId="17" hidden="1">#REF!</definedName>
    <definedName name="SpecialPrice" localSheetId="20" hidden="1">#REF!</definedName>
    <definedName name="SpecialPrice" localSheetId="21" hidden="1">#REF!</definedName>
    <definedName name="SpecialPrice" localSheetId="25" hidden="1">#REF!</definedName>
    <definedName name="SpecialPrice" localSheetId="6" hidden="1">#REF!</definedName>
    <definedName name="SpecialPrice" localSheetId="7" hidden="1">#REF!</definedName>
    <definedName name="SpecialPrice" localSheetId="8" hidden="1">#REF!</definedName>
    <definedName name="SpecialPrice" localSheetId="9" hidden="1">#REF!</definedName>
    <definedName name="SpecialPrice" localSheetId="10" hidden="1">#REF!</definedName>
    <definedName name="SpecialPrice" localSheetId="11" hidden="1">#REF!</definedName>
    <definedName name="SpecialPrice" hidden="1">#REF!</definedName>
    <definedName name="tbl_ProdInfo" localSheetId="29" hidden="1">#REF!</definedName>
    <definedName name="tbl_ProdInfo" localSheetId="30" hidden="1">#REF!</definedName>
    <definedName name="tbl_ProdInfo" localSheetId="31" hidden="1">#REF!</definedName>
    <definedName name="tbl_ProdInfo" localSheetId="2" hidden="1">#REF!</definedName>
    <definedName name="tbl_ProdInfo" localSheetId="4" hidden="1">#REF!</definedName>
    <definedName name="tbl_ProdInfo" localSheetId="15" hidden="1">#REF!</definedName>
    <definedName name="tbl_ProdInfo" localSheetId="19" hidden="1">#REF!</definedName>
    <definedName name="tbl_ProdInfo" localSheetId="18" hidden="1">#REF!</definedName>
    <definedName name="tbl_ProdInfo" localSheetId="17" hidden="1">#REF!</definedName>
    <definedName name="tbl_ProdInfo" localSheetId="20" hidden="1">#REF!</definedName>
    <definedName name="tbl_ProdInfo" localSheetId="21" hidden="1">#REF!</definedName>
    <definedName name="tbl_ProdInfo" localSheetId="25" hidden="1">#REF!</definedName>
    <definedName name="tbl_ProdInfo" localSheetId="6" hidden="1">#REF!</definedName>
    <definedName name="tbl_ProdInfo" localSheetId="7" hidden="1">#REF!</definedName>
    <definedName name="tbl_ProdInfo" localSheetId="8" hidden="1">#REF!</definedName>
    <definedName name="tbl_ProdInfo" localSheetId="9" hidden="1">#REF!</definedName>
    <definedName name="tbl_ProdInfo" localSheetId="10" hidden="1">#REF!</definedName>
    <definedName name="tbl_ProdInfo" localSheetId="11" hidden="1">#REF!</definedName>
    <definedName name="tbl_ProdInfo" hidden="1">#REF!</definedName>
    <definedName name="Values_Entered" localSheetId="4">IF([0]!Loan_Amount*[0]!Interest_Rate*[0]!Loan_Years*[0]!Loan_Start&gt;0,1,0)</definedName>
    <definedName name="Values_Entered" localSheetId="15">IF([0]!Loan_Amount*[0]!Interest_Rate*[0]!Loan_Years*[0]!Loan_Start&gt;0,1,0)</definedName>
    <definedName name="Values_Entered" localSheetId="19">IF([0]!Loan_Amount*[0]!Interest_Rate*[0]!Loan_Years*[0]!Loan_Start&gt;0,1,0)</definedName>
    <definedName name="Values_Entered" localSheetId="17">IF([0]!Loan_Amount*[0]!Interest_Rate*[0]!Loan_Years*[0]!Loan_Start&gt;0,1,0)</definedName>
    <definedName name="Values_Entered" localSheetId="16">IF([0]!Loan_Amount*[0]!Interest_Rate*[0]!Loan_Years*[0]!Loan_Start&gt;0,1,0)</definedName>
    <definedName name="Values_Entered" localSheetId="20">IF([0]!Loan_Amount*[0]!Interest_Rate*[0]!Loan_Years*[0]!Loan_Start&gt;0,1,0)</definedName>
    <definedName name="Values_Entered" localSheetId="21">IF([0]!Loan_Amount*[0]!Interest_Rate*[0]!Loan_Years*[0]!Loan_Start&gt;0,1,0)</definedName>
    <definedName name="Values_Entered" localSheetId="25">IF([0]!Loan_Amount*[0]!Interest_Rate*[0]!Loan_Years*[0]!Loan_Start&gt;0,1,0)</definedName>
    <definedName name="Values_Entered" localSheetId="6">IF([0]!Loan_Amount*[0]!Interest_Rate*[0]!Loan_Years*[0]!Loan_Start&gt;0,1,0)</definedName>
    <definedName name="Values_Entered" localSheetId="7">IF([0]!Loan_Amount*[0]!Interest_Rate*[0]!Loan_Years*[0]!Loan_Start&gt;0,1,0)</definedName>
    <definedName name="Values_Entered" localSheetId="8">IF([0]!Loan_Amount*[0]!Interest_Rate*[0]!Loan_Years*[0]!Loan_Start&gt;0,1,0)</definedName>
    <definedName name="Values_Entered" localSheetId="9">IF([0]!Loan_Amount*[0]!Interest_Rate*[0]!Loan_Years*[0]!Loan_Start&gt;0,1,0)</definedName>
    <definedName name="Values_Entered" localSheetId="10">IF([0]!Loan_Amount*[0]!Interest_Rate*[0]!Loan_Years*[0]!Loan_Start&gt;0,1,0)</definedName>
    <definedName name="Values_Entered" localSheetId="11">IF([0]!Loan_Amount*[0]!Interest_Rate*[0]!Loan_Years*[0]!Loan_Start&gt;0,1,0)</definedName>
    <definedName name="Values_Entered">IF([0]!Loan_Amount*[0]!Interest_Rate*[0]!Loan_Years*[0]!Loan_Start&gt;0,1,0)</definedName>
    <definedName name="VB" localSheetId="19" hidden="1">{"'ridftotal'!$A$4:$S$27"}</definedName>
    <definedName name="VB" localSheetId="18" hidden="1">{"'ridftotal'!$A$4:$S$27"}</definedName>
    <definedName name="VB" localSheetId="17" hidden="1">{"'ridftotal'!$A$4:$S$27"}</definedName>
    <definedName name="VB" localSheetId="16" hidden="1">{"'ridftotal'!$A$4:$S$27"}</definedName>
    <definedName name="VB" localSheetId="20" hidden="1">{"'ridftotal'!$A$4:$S$27"}</definedName>
    <definedName name="VB" hidden="1">{"'ridftotal'!$A$4:$S$27"}</definedName>
    <definedName name="wgl" localSheetId="19" hidden="1">{"'ridftotal'!$A$4:$S$27"}</definedName>
    <definedName name="wgl" localSheetId="18" hidden="1">{"'ridftotal'!$A$4:$S$27"}</definedName>
    <definedName name="wgl" localSheetId="17" hidden="1">{"'ridftotal'!$A$4:$S$27"}</definedName>
    <definedName name="wgl" localSheetId="16" hidden="1">{"'ridftotal'!$A$4:$S$27"}</definedName>
    <definedName name="wgl" localSheetId="20" hidden="1">{"'ridftotal'!$A$4:$S$27"}</definedName>
    <definedName name="wgl" hidden="1">{"'ridftotal'!$A$4:$S$27"}</definedName>
    <definedName name="x" localSheetId="29" hidden="1">'[1]final abstract'!#REF!</definedName>
    <definedName name="x" localSheetId="30" hidden="1">'[1]final abstract'!#REF!</definedName>
    <definedName name="x" localSheetId="31" hidden="1">'[1]final abstract'!#REF!</definedName>
    <definedName name="x" localSheetId="2" hidden="1">'[1]final abstract'!#REF!</definedName>
    <definedName name="x" localSheetId="4" hidden="1">'[1]final abstract'!#REF!</definedName>
    <definedName name="x" localSheetId="15" hidden="1">'[1]final abstract'!#REF!</definedName>
    <definedName name="x" localSheetId="19" hidden="1">'[1]final abstract'!#REF!</definedName>
    <definedName name="x" localSheetId="33" hidden="1">'[1]final abstract'!#REF!</definedName>
    <definedName name="x" localSheetId="20" hidden="1">'[1]final abstract'!#REF!</definedName>
    <definedName name="x" localSheetId="21" hidden="1">'[1]final abstract'!#REF!</definedName>
    <definedName name="x" localSheetId="12" hidden="1">'[1]final abstract'!#REF!</definedName>
    <definedName name="x" localSheetId="25" hidden="1">'[1]final abstract'!#REF!</definedName>
    <definedName name="x" localSheetId="6" hidden="1">'[1]final abstract'!#REF!</definedName>
    <definedName name="x" localSheetId="7" hidden="1">'[1]final abstract'!#REF!</definedName>
    <definedName name="x" localSheetId="8" hidden="1">'[1]final abstract'!#REF!</definedName>
    <definedName name="x" localSheetId="9" hidden="1">'[1]final abstract'!#REF!</definedName>
    <definedName name="x" localSheetId="10" hidden="1">'[1]final abstract'!#REF!</definedName>
    <definedName name="x" localSheetId="11" hidden="1">'[1]final abstract'!#REF!</definedName>
    <definedName name="x" hidden="1">'[1]final abstract'!#REF!</definedName>
    <definedName name="xx" localSheetId="19" hidden="1">{"'ridftotal'!$A$4:$S$27"}</definedName>
    <definedName name="xx" localSheetId="18" hidden="1">{"'ridftotal'!$A$4:$S$27"}</definedName>
    <definedName name="xx" localSheetId="17" hidden="1">{"'ridftotal'!$A$4:$S$27"}</definedName>
    <definedName name="xx" localSheetId="16" hidden="1">{"'ridftotal'!$A$4:$S$27"}</definedName>
    <definedName name="xx" localSheetId="20" hidden="1">{"'ridftotal'!$A$4:$S$27"}</definedName>
    <definedName name="xx" hidden="1">{"'ridftotal'!$A$4:$S$27"}</definedName>
    <definedName name="xxxx" localSheetId="19" hidden="1">{"'ridftotal'!$A$4:$S$27"}</definedName>
    <definedName name="xxxx" localSheetId="18" hidden="1">{"'ridftotal'!$A$4:$S$27"}</definedName>
    <definedName name="xxxx" localSheetId="17" hidden="1">{"'ridftotal'!$A$4:$S$27"}</definedName>
    <definedName name="xxxx" localSheetId="16" hidden="1">{"'ridftotal'!$A$4:$S$27"}</definedName>
    <definedName name="xxxx" localSheetId="20" hidden="1">{"'ridftotal'!$A$4:$S$27"}</definedName>
    <definedName name="xxxx" hidden="1">{"'ridftotal'!$A$4:$S$27"}</definedName>
  </definedNames>
  <calcPr calcId="191029"/>
  <fileRecoveryPr autoRecover="0"/>
</workbook>
</file>

<file path=xl/calcChain.xml><?xml version="1.0" encoding="utf-8"?>
<calcChain xmlns="http://schemas.openxmlformats.org/spreadsheetml/2006/main">
  <c r="B23" i="23" l="1"/>
  <c r="F31" i="23"/>
  <c r="F45" i="23" s="1"/>
  <c r="F49" i="23" s="1"/>
  <c r="F53" i="23" s="1"/>
  <c r="F57" i="23" s="1"/>
  <c r="F71" i="23" s="1"/>
  <c r="F75" i="23" s="1"/>
  <c r="B31" i="23"/>
  <c r="B35" i="23" s="1"/>
  <c r="I23" i="23"/>
  <c r="I31" i="137"/>
  <c r="G232" i="136"/>
  <c r="F231" i="136"/>
  <c r="G231" i="136" s="1"/>
  <c r="F225" i="136"/>
  <c r="F203" i="136"/>
  <c r="F183" i="136"/>
  <c r="F158" i="136"/>
  <c r="F134" i="136"/>
  <c r="F172" i="136"/>
  <c r="F178" i="136" s="1"/>
  <c r="B45" i="23" l="1"/>
  <c r="B49" i="23" s="1"/>
  <c r="B53" i="23" s="1"/>
  <c r="B57" i="23" s="1"/>
  <c r="B71" i="23" s="1"/>
  <c r="B75" i="23" s="1"/>
  <c r="F174" i="25" l="1"/>
  <c r="F173" i="25"/>
  <c r="J24" i="42"/>
  <c r="C15" i="43" l="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C47" i="43" s="1"/>
  <c r="C48" i="43" s="1"/>
  <c r="C49" i="43" s="1"/>
  <c r="C50" i="43" s="1"/>
  <c r="C51" i="43" s="1"/>
  <c r="C52" i="43" s="1"/>
  <c r="C53" i="43" s="1"/>
  <c r="C54" i="43" s="1"/>
  <c r="C55" i="43" s="1"/>
  <c r="C56" i="43" s="1"/>
  <c r="C57" i="43" s="1"/>
  <c r="C58" i="43" s="1"/>
  <c r="C59" i="43" s="1"/>
  <c r="C60" i="43" s="1"/>
  <c r="C61" i="43" s="1"/>
  <c r="C62" i="43" s="1"/>
  <c r="C63" i="43" s="1"/>
  <c r="C64" i="43" s="1"/>
  <c r="C65" i="43" s="1"/>
  <c r="C66" i="43" s="1"/>
  <c r="C67" i="43" s="1"/>
  <c r="C68" i="43" s="1"/>
  <c r="C69" i="43" s="1"/>
  <c r="C70" i="43" s="1"/>
  <c r="C71" i="43" s="1"/>
  <c r="C72" i="43" s="1"/>
  <c r="C73" i="43" s="1"/>
  <c r="C74" i="43" s="1"/>
  <c r="C75" i="43" s="1"/>
  <c r="C76" i="43" s="1"/>
  <c r="C77" i="43" s="1"/>
  <c r="C78" i="43" s="1"/>
  <c r="C79" i="43" s="1"/>
  <c r="C80" i="43" s="1"/>
  <c r="C81" i="43" s="1"/>
  <c r="C82" i="43" s="1"/>
  <c r="C83" i="43" s="1"/>
  <c r="C84" i="43" s="1"/>
  <c r="C85" i="43" s="1"/>
  <c r="C86" i="43" s="1"/>
  <c r="C87" i="43" s="1"/>
  <c r="C88" i="43" s="1"/>
  <c r="C89" i="43" s="1"/>
  <c r="C90" i="43" s="1"/>
  <c r="C91" i="43" s="1"/>
  <c r="C92" i="43" s="1"/>
  <c r="C93" i="43" s="1"/>
  <c r="C94" i="43" s="1"/>
  <c r="C95" i="43" s="1"/>
  <c r="C96" i="43" s="1"/>
  <c r="C97" i="43" s="1"/>
  <c r="C98" i="43" s="1"/>
  <c r="C99" i="43" s="1"/>
  <c r="C100" i="43" s="1"/>
  <c r="C101" i="43" s="1"/>
  <c r="C102" i="43" s="1"/>
  <c r="C103" i="43" s="1"/>
  <c r="C104" i="43" s="1"/>
  <c r="C105" i="43" s="1"/>
  <c r="C106" i="43" s="1"/>
  <c r="C107" i="43" s="1"/>
  <c r="C108" i="43" s="1"/>
  <c r="C109" i="43" s="1"/>
  <c r="C110" i="43" s="1"/>
  <c r="C111" i="43" s="1"/>
  <c r="C112" i="43" s="1"/>
  <c r="C113" i="43" s="1"/>
  <c r="C114" i="43" s="1"/>
  <c r="C115" i="43" s="1"/>
  <c r="C116" i="43" s="1"/>
  <c r="C117" i="43" s="1"/>
  <c r="C118" i="43" s="1"/>
  <c r="C119" i="43" s="1"/>
  <c r="C120" i="43" s="1"/>
  <c r="C121" i="43" s="1"/>
  <c r="C122" i="43" s="1"/>
  <c r="C123" i="43" s="1"/>
  <c r="C124" i="43" s="1"/>
  <c r="C125" i="43" s="1"/>
  <c r="C126" i="43" s="1"/>
  <c r="C127" i="43" s="1"/>
  <c r="C128" i="43" s="1"/>
  <c r="C129" i="43" s="1"/>
  <c r="C130" i="43" s="1"/>
  <c r="C131" i="43" s="1"/>
  <c r="C132" i="43" s="1"/>
  <c r="C133" i="43" s="1"/>
  <c r="C134" i="43" s="1"/>
  <c r="C135" i="43" s="1"/>
  <c r="C136" i="43" s="1"/>
  <c r="C137" i="43" s="1"/>
  <c r="C138" i="43" s="1"/>
  <c r="C139" i="43" s="1"/>
  <c r="C140" i="43" s="1"/>
  <c r="C141" i="43" s="1"/>
  <c r="C142" i="43" s="1"/>
  <c r="C143" i="43" s="1"/>
  <c r="C144" i="43" s="1"/>
  <c r="C145" i="43" s="1"/>
  <c r="C146" i="43" s="1"/>
  <c r="C147" i="43" s="1"/>
  <c r="C148" i="43" s="1"/>
  <c r="C149" i="43" s="1"/>
  <c r="C150" i="43" s="1"/>
  <c r="C151" i="43" s="1"/>
  <c r="C152" i="43" s="1"/>
  <c r="C153" i="43" s="1"/>
  <c r="C154" i="43" s="1"/>
  <c r="C155" i="43" s="1"/>
  <c r="C156" i="43" s="1"/>
  <c r="C157" i="43" s="1"/>
  <c r="C158" i="43" s="1"/>
  <c r="C159" i="43" s="1"/>
  <c r="C160" i="43" s="1"/>
  <c r="C161" i="43" s="1"/>
  <c r="C162" i="43" s="1"/>
  <c r="C163" i="43" s="1"/>
  <c r="C164" i="43" s="1"/>
  <c r="C165" i="43" s="1"/>
  <c r="C166" i="43" s="1"/>
  <c r="C167" i="43" s="1"/>
  <c r="C168" i="43" s="1"/>
  <c r="C169" i="43" s="1"/>
  <c r="C170" i="43" s="1"/>
  <c r="C171" i="43" s="1"/>
  <c r="C172" i="43" s="1"/>
  <c r="C173" i="43" s="1"/>
  <c r="C174" i="43" s="1"/>
  <c r="C175" i="43" s="1"/>
  <c r="C176" i="43" s="1"/>
  <c r="C177" i="43" s="1"/>
  <c r="C178" i="43" s="1"/>
  <c r="C179" i="43" s="1"/>
  <c r="C180" i="43" s="1"/>
  <c r="C181" i="43" s="1"/>
  <c r="C182" i="43" s="1"/>
  <c r="C183" i="43" s="1"/>
  <c r="C184" i="43" s="1"/>
  <c r="C185" i="43" s="1"/>
  <c r="C186" i="43" s="1"/>
  <c r="C187" i="43" s="1"/>
  <c r="C188" i="43" s="1"/>
  <c r="C189" i="43" s="1"/>
  <c r="C190" i="43" s="1"/>
  <c r="C191" i="43" s="1"/>
  <c r="C192" i="43" s="1"/>
  <c r="C193" i="43" s="1"/>
  <c r="C194" i="43" s="1"/>
  <c r="C195" i="43" s="1"/>
  <c r="C196" i="43" s="1"/>
  <c r="C197" i="43" s="1"/>
  <c r="C198" i="43" s="1"/>
  <c r="C199" i="43" s="1"/>
  <c r="C200" i="43" s="1"/>
  <c r="C201" i="43" s="1"/>
  <c r="C202" i="43" s="1"/>
  <c r="C203" i="43" s="1"/>
  <c r="C204" i="43" s="1"/>
  <c r="C205" i="43" s="1"/>
  <c r="C206" i="43" s="1"/>
  <c r="C207" i="43" s="1"/>
  <c r="C208" i="43" s="1"/>
  <c r="C209" i="43" s="1"/>
  <c r="C210" i="43" s="1"/>
  <c r="C211" i="43" s="1"/>
  <c r="C212" i="43" s="1"/>
  <c r="C213" i="43" s="1"/>
  <c r="C214" i="43" s="1"/>
  <c r="C215" i="43" s="1"/>
  <c r="C216" i="43" s="1"/>
  <c r="C217" i="43" s="1"/>
  <c r="C218" i="43" s="1"/>
  <c r="C219" i="43" s="1"/>
  <c r="C220" i="43" s="1"/>
  <c r="C221" i="43" s="1"/>
  <c r="C222" i="43" s="1"/>
  <c r="C223" i="43" s="1"/>
  <c r="C224" i="43" s="1"/>
  <c r="C225" i="43" s="1"/>
  <c r="C226" i="43" s="1"/>
  <c r="C227" i="43" s="1"/>
  <c r="C228" i="43" s="1"/>
  <c r="C229" i="43" s="1"/>
  <c r="C230" i="43" s="1"/>
  <c r="C231" i="43" s="1"/>
  <c r="C232" i="43" s="1"/>
  <c r="C233" i="43" s="1"/>
  <c r="C234" i="43" s="1"/>
  <c r="C235" i="43" s="1"/>
  <c r="C236" i="43" s="1"/>
  <c r="C237" i="43" s="1"/>
  <c r="C238" i="43" s="1"/>
  <c r="C239" i="43" s="1"/>
  <c r="C240" i="43" s="1"/>
  <c r="C241" i="43" s="1"/>
  <c r="C242" i="43" s="1"/>
  <c r="C243" i="43" s="1"/>
  <c r="C244" i="43" s="1"/>
  <c r="C245" i="43" s="1"/>
  <c r="C246" i="43" s="1"/>
  <c r="C247" i="43" s="1"/>
  <c r="C248" i="43" s="1"/>
  <c r="C249" i="43" s="1"/>
  <c r="C250" i="43" s="1"/>
  <c r="C251" i="43" s="1"/>
  <c r="C252" i="43" s="1"/>
  <c r="C253" i="43" s="1"/>
  <c r="C254" i="43" s="1"/>
  <c r="C255" i="43" s="1"/>
  <c r="C256" i="43" s="1"/>
  <c r="C257" i="43" s="1"/>
  <c r="C258" i="43" s="1"/>
  <c r="C259" i="43" s="1"/>
  <c r="C260" i="43" s="1"/>
  <c r="C261" i="43" s="1"/>
  <c r="C262" i="43" s="1"/>
  <c r="C263" i="43" s="1"/>
  <c r="C264" i="43" s="1"/>
  <c r="C265" i="43" s="1"/>
  <c r="C266" i="43" s="1"/>
  <c r="C267" i="43" s="1"/>
  <c r="C268" i="43" s="1"/>
  <c r="C269" i="43" s="1"/>
  <c r="C270" i="43" s="1"/>
  <c r="C271" i="43" s="1"/>
  <c r="C272" i="43" s="1"/>
  <c r="C273" i="43" s="1"/>
  <c r="C274" i="43" s="1"/>
  <c r="C275" i="43" s="1"/>
  <c r="C276" i="43" s="1"/>
  <c r="C277" i="43" s="1"/>
  <c r="C278" i="43" s="1"/>
  <c r="C279" i="43" s="1"/>
  <c r="C280" i="43" s="1"/>
  <c r="C281" i="43" s="1"/>
  <c r="C282" i="43" s="1"/>
  <c r="C283" i="43" s="1"/>
  <c r="C284" i="43" s="1"/>
  <c r="C285" i="43" s="1"/>
  <c r="C286" i="43" s="1"/>
  <c r="C287" i="43" s="1"/>
  <c r="C288" i="43" s="1"/>
  <c r="C289" i="43" s="1"/>
  <c r="C290" i="43" s="1"/>
  <c r="C291" i="43" s="1"/>
  <c r="C292" i="43" s="1"/>
  <c r="C293" i="43" s="1"/>
  <c r="C294" i="43" s="1"/>
  <c r="C295" i="43" s="1"/>
  <c r="C296" i="43" s="1"/>
  <c r="C297" i="43" s="1"/>
  <c r="C298" i="43" s="1"/>
  <c r="C299" i="43" s="1"/>
  <c r="C300" i="43" s="1"/>
  <c r="C301" i="43" s="1"/>
  <c r="C302" i="43" s="1"/>
  <c r="C303" i="43" s="1"/>
  <c r="C304" i="43" s="1"/>
  <c r="C305" i="43" s="1"/>
  <c r="D13" i="43"/>
  <c r="D14" i="43" s="1"/>
  <c r="D15" i="43" s="1"/>
  <c r="D16" i="43" s="1"/>
  <c r="D17" i="43" s="1"/>
  <c r="D18" i="43" s="1"/>
  <c r="D19" i="43" s="1"/>
  <c r="D20" i="43" s="1"/>
  <c r="D21" i="43" s="1"/>
  <c r="D22" i="43" s="1"/>
  <c r="D23" i="43" s="1"/>
  <c r="D24" i="43" s="1"/>
  <c r="D25" i="43" s="1"/>
  <c r="D26" i="43" s="1"/>
  <c r="D27" i="43" s="1"/>
  <c r="D28" i="43" s="1"/>
  <c r="D29" i="43" s="1"/>
  <c r="D30" i="43" s="1"/>
  <c r="D31" i="43" s="1"/>
  <c r="D32" i="43" s="1"/>
  <c r="D33" i="43" s="1"/>
  <c r="D34" i="43" s="1"/>
  <c r="D35" i="43" s="1"/>
  <c r="D36" i="43" s="1"/>
  <c r="D37" i="43" s="1"/>
  <c r="D38" i="43" s="1"/>
  <c r="D39" i="43" s="1"/>
  <c r="D40" i="43" s="1"/>
  <c r="D41" i="43" s="1"/>
  <c r="D42" i="43" s="1"/>
  <c r="D43" i="43" s="1"/>
  <c r="D44" i="43" s="1"/>
  <c r="D45" i="43" s="1"/>
  <c r="D46" i="43" s="1"/>
  <c r="D47" i="43" s="1"/>
  <c r="D48" i="43" s="1"/>
  <c r="D49" i="43" s="1"/>
  <c r="D50" i="43" s="1"/>
  <c r="D51" i="43" s="1"/>
  <c r="D52" i="43" s="1"/>
  <c r="D53" i="43" s="1"/>
  <c r="D54" i="43" s="1"/>
  <c r="D55" i="43" s="1"/>
  <c r="D56" i="43" s="1"/>
  <c r="D57" i="43" s="1"/>
  <c r="D58" i="43" s="1"/>
  <c r="D59" i="43" s="1"/>
  <c r="D60" i="43" s="1"/>
  <c r="D61" i="43" s="1"/>
  <c r="D62" i="43" s="1"/>
  <c r="D63" i="43" s="1"/>
  <c r="D64" i="43" s="1"/>
  <c r="D65" i="43" s="1"/>
  <c r="D66" i="43" s="1"/>
  <c r="D67" i="43" s="1"/>
  <c r="D68" i="43" s="1"/>
  <c r="D69" i="43" s="1"/>
  <c r="D70" i="43" s="1"/>
  <c r="D71" i="43" s="1"/>
  <c r="D72" i="43" s="1"/>
  <c r="D73" i="43" s="1"/>
  <c r="D74" i="43" s="1"/>
  <c r="D75" i="43" s="1"/>
  <c r="D76" i="43" s="1"/>
  <c r="D77" i="43" s="1"/>
  <c r="D78" i="43" s="1"/>
  <c r="D79" i="43" s="1"/>
  <c r="D80" i="43" s="1"/>
  <c r="D81" i="43" s="1"/>
  <c r="D82" i="43" s="1"/>
  <c r="D83" i="43" s="1"/>
  <c r="D84" i="43" s="1"/>
  <c r="D85" i="43" s="1"/>
  <c r="D86" i="43" s="1"/>
  <c r="D87" i="43" s="1"/>
  <c r="D88" i="43" s="1"/>
  <c r="D89" i="43" s="1"/>
  <c r="D90" i="43" s="1"/>
  <c r="D91" i="43" s="1"/>
  <c r="D92" i="43" s="1"/>
  <c r="D93" i="43" s="1"/>
  <c r="D94" i="43" s="1"/>
  <c r="D95" i="43" s="1"/>
  <c r="D96" i="43" s="1"/>
  <c r="D97" i="43" s="1"/>
  <c r="D98" i="43" s="1"/>
  <c r="D99" i="43" s="1"/>
  <c r="D100" i="43" s="1"/>
  <c r="D101" i="43" s="1"/>
  <c r="D102" i="43" s="1"/>
  <c r="D103" i="43" s="1"/>
  <c r="D104" i="43" s="1"/>
  <c r="D105" i="43" s="1"/>
  <c r="D106" i="43" s="1"/>
  <c r="D107" i="43" s="1"/>
  <c r="D108" i="43" s="1"/>
  <c r="D109" i="43" s="1"/>
  <c r="D110" i="43" s="1"/>
  <c r="D111" i="43" s="1"/>
  <c r="D112" i="43" s="1"/>
  <c r="D113" i="43" s="1"/>
  <c r="D114" i="43" s="1"/>
  <c r="D115" i="43" s="1"/>
  <c r="D116" i="43" s="1"/>
  <c r="D117" i="43" s="1"/>
  <c r="D118" i="43" s="1"/>
  <c r="D119" i="43" s="1"/>
  <c r="D120" i="43" s="1"/>
  <c r="D121" i="43" s="1"/>
  <c r="D122" i="43" s="1"/>
  <c r="D123" i="43" s="1"/>
  <c r="D124" i="43" s="1"/>
  <c r="D125" i="43" s="1"/>
  <c r="D126" i="43" s="1"/>
  <c r="D127" i="43" s="1"/>
  <c r="D128" i="43" s="1"/>
  <c r="D129" i="43" s="1"/>
  <c r="D130" i="43" s="1"/>
  <c r="D131" i="43" s="1"/>
  <c r="D132" i="43" s="1"/>
  <c r="D133" i="43" s="1"/>
  <c r="D134" i="43" s="1"/>
  <c r="D135" i="43" s="1"/>
  <c r="D136" i="43" s="1"/>
  <c r="D137" i="43" s="1"/>
  <c r="D138" i="43" s="1"/>
  <c r="D139" i="43" s="1"/>
  <c r="D140" i="43" s="1"/>
  <c r="D141" i="43" s="1"/>
  <c r="D142" i="43" s="1"/>
  <c r="D143" i="43" s="1"/>
  <c r="D144" i="43" s="1"/>
  <c r="D145" i="43" s="1"/>
  <c r="D146" i="43" s="1"/>
  <c r="D147" i="43" s="1"/>
  <c r="D148" i="43" s="1"/>
  <c r="D149" i="43" s="1"/>
  <c r="D150" i="43" s="1"/>
  <c r="D151" i="43" s="1"/>
  <c r="D152" i="43" s="1"/>
  <c r="D153" i="43" s="1"/>
  <c r="D154" i="43" s="1"/>
  <c r="D155" i="43" s="1"/>
  <c r="D156" i="43" s="1"/>
  <c r="D157" i="43" s="1"/>
  <c r="D158" i="43" s="1"/>
  <c r="D159" i="43" s="1"/>
  <c r="D160" i="43" s="1"/>
  <c r="D161" i="43" s="1"/>
  <c r="D162" i="43" s="1"/>
  <c r="D163" i="43" s="1"/>
  <c r="D164" i="43" s="1"/>
  <c r="D165" i="43" s="1"/>
  <c r="D166" i="43" s="1"/>
  <c r="D167" i="43" s="1"/>
  <c r="D168" i="43" s="1"/>
  <c r="D169" i="43" s="1"/>
  <c r="D170" i="43" s="1"/>
  <c r="D171" i="43" s="1"/>
  <c r="D172" i="43" s="1"/>
  <c r="D173" i="43" s="1"/>
  <c r="D174" i="43" s="1"/>
  <c r="D175" i="43" s="1"/>
  <c r="D176" i="43" s="1"/>
  <c r="D177" i="43" s="1"/>
  <c r="D178" i="43" s="1"/>
  <c r="D179" i="43" s="1"/>
  <c r="D180" i="43" s="1"/>
  <c r="D181" i="43" s="1"/>
  <c r="D182" i="43" s="1"/>
  <c r="D183" i="43" s="1"/>
  <c r="D184" i="43" s="1"/>
  <c r="D185" i="43" s="1"/>
  <c r="D186" i="43" s="1"/>
  <c r="D187" i="43" s="1"/>
  <c r="D188" i="43" s="1"/>
  <c r="D189" i="43" s="1"/>
  <c r="D190" i="43" s="1"/>
  <c r="D191" i="43" s="1"/>
  <c r="D192" i="43" s="1"/>
  <c r="D193" i="43" s="1"/>
  <c r="D194" i="43" s="1"/>
  <c r="D195" i="43" s="1"/>
  <c r="D196" i="43" s="1"/>
  <c r="D197" i="43" s="1"/>
  <c r="D198" i="43" s="1"/>
  <c r="D199" i="43" s="1"/>
  <c r="D200" i="43" s="1"/>
  <c r="D201" i="43" s="1"/>
  <c r="D202" i="43" s="1"/>
  <c r="D203" i="43" s="1"/>
  <c r="D204" i="43" s="1"/>
  <c r="D205" i="43" s="1"/>
  <c r="D206" i="43" s="1"/>
  <c r="D207" i="43" s="1"/>
  <c r="D208" i="43" s="1"/>
  <c r="D209" i="43" s="1"/>
  <c r="D210" i="43" s="1"/>
  <c r="D211" i="43" s="1"/>
  <c r="D212" i="43" s="1"/>
  <c r="D213" i="43" s="1"/>
  <c r="D214" i="43" s="1"/>
  <c r="D215" i="43" s="1"/>
  <c r="D216" i="43" s="1"/>
  <c r="D217" i="43" s="1"/>
  <c r="D218" i="43" s="1"/>
  <c r="D219" i="43" s="1"/>
  <c r="D220" i="43" s="1"/>
  <c r="D221" i="43" s="1"/>
  <c r="D222" i="43" s="1"/>
  <c r="D223" i="43" s="1"/>
  <c r="D224" i="43" s="1"/>
  <c r="D225" i="43" s="1"/>
  <c r="D226" i="43" s="1"/>
  <c r="D227" i="43" s="1"/>
  <c r="D228" i="43" s="1"/>
  <c r="D229" i="43" s="1"/>
  <c r="D230" i="43" s="1"/>
  <c r="D231" i="43" s="1"/>
  <c r="D232" i="43" s="1"/>
  <c r="D233" i="43" s="1"/>
  <c r="D234" i="43" s="1"/>
  <c r="D235" i="43" s="1"/>
  <c r="D236" i="43" s="1"/>
  <c r="D237" i="43" s="1"/>
  <c r="D238" i="43" s="1"/>
  <c r="D239" i="43" s="1"/>
  <c r="D240" i="43" s="1"/>
  <c r="D241" i="43" s="1"/>
  <c r="D242" i="43" s="1"/>
  <c r="D243" i="43" s="1"/>
  <c r="D244" i="43" s="1"/>
  <c r="D245" i="43" s="1"/>
  <c r="D246" i="43" s="1"/>
  <c r="D247" i="43" s="1"/>
  <c r="D248" i="43" s="1"/>
  <c r="D249" i="43" s="1"/>
  <c r="D250" i="43" s="1"/>
  <c r="D251" i="43" s="1"/>
  <c r="D252" i="43" s="1"/>
  <c r="D253" i="43" s="1"/>
  <c r="D254" i="43" s="1"/>
  <c r="D255" i="43" s="1"/>
  <c r="D256" i="43" s="1"/>
  <c r="D257" i="43" s="1"/>
  <c r="D258" i="43" s="1"/>
  <c r="D259" i="43" s="1"/>
  <c r="D260" i="43" s="1"/>
  <c r="D261" i="43" s="1"/>
  <c r="D262" i="43" s="1"/>
  <c r="D263" i="43" s="1"/>
  <c r="D264" i="43" s="1"/>
  <c r="D265" i="43" s="1"/>
  <c r="D266" i="43" s="1"/>
  <c r="D267" i="43" s="1"/>
  <c r="D268" i="43" s="1"/>
  <c r="D269" i="43" s="1"/>
  <c r="D270" i="43" s="1"/>
  <c r="D271" i="43" s="1"/>
  <c r="D272" i="43" s="1"/>
  <c r="D273" i="43" s="1"/>
  <c r="D274" i="43" s="1"/>
  <c r="D275" i="43" s="1"/>
  <c r="D276" i="43" s="1"/>
  <c r="D277" i="43" s="1"/>
  <c r="D278" i="43" s="1"/>
  <c r="D279" i="43" s="1"/>
  <c r="D280" i="43" s="1"/>
  <c r="D281" i="43" s="1"/>
  <c r="D282" i="43" s="1"/>
  <c r="D283" i="43" s="1"/>
  <c r="D284" i="43" s="1"/>
  <c r="D285" i="43" s="1"/>
  <c r="D286" i="43" s="1"/>
  <c r="D287" i="43" s="1"/>
  <c r="D288" i="43" s="1"/>
  <c r="D289" i="43" s="1"/>
  <c r="D290" i="43" s="1"/>
  <c r="D291" i="43" s="1"/>
  <c r="D292" i="43" s="1"/>
  <c r="D293" i="43" s="1"/>
  <c r="D294" i="43" s="1"/>
  <c r="D295" i="43" s="1"/>
  <c r="D296" i="43" s="1"/>
  <c r="D297" i="43" s="1"/>
  <c r="D298" i="43" s="1"/>
  <c r="D299" i="43" s="1"/>
  <c r="D300" i="43" s="1"/>
  <c r="D301" i="43" s="1"/>
  <c r="D302" i="43" s="1"/>
  <c r="D303" i="43" s="1"/>
  <c r="D304" i="43" s="1"/>
  <c r="D305" i="43" s="1"/>
  <c r="C12" i="43"/>
  <c r="C13" i="43" s="1"/>
  <c r="C14" i="43" s="1"/>
  <c r="D11" i="43"/>
  <c r="D12" i="43" s="1"/>
  <c r="C11" i="43"/>
  <c r="B11" i="43"/>
  <c r="B12" i="43" s="1"/>
  <c r="B13" i="43" s="1"/>
  <c r="B14" i="43" s="1"/>
  <c r="B15" i="43" s="1"/>
  <c r="B16" i="43" s="1"/>
  <c r="B17" i="43" s="1"/>
  <c r="B18" i="43" s="1"/>
  <c r="B19" i="43" s="1"/>
  <c r="B20" i="43" s="1"/>
  <c r="B21" i="43" s="1"/>
  <c r="B22" i="43" s="1"/>
  <c r="B23" i="43" s="1"/>
  <c r="B24" i="43" s="1"/>
  <c r="B25" i="43" s="1"/>
  <c r="B26" i="43" s="1"/>
  <c r="B27" i="43" s="1"/>
  <c r="B28" i="43" s="1"/>
  <c r="B29" i="43" s="1"/>
  <c r="B30" i="43" s="1"/>
  <c r="B31" i="43" s="1"/>
  <c r="B32" i="43" s="1"/>
  <c r="B33" i="43" s="1"/>
  <c r="B34" i="43" s="1"/>
  <c r="B35" i="43" s="1"/>
  <c r="B36" i="43" s="1"/>
  <c r="B37" i="43" s="1"/>
  <c r="B38" i="43" s="1"/>
  <c r="B39" i="43" s="1"/>
  <c r="B40" i="43" s="1"/>
  <c r="B41" i="43" s="1"/>
  <c r="B42" i="43" s="1"/>
  <c r="B43" i="43" s="1"/>
  <c r="B44" i="43" s="1"/>
  <c r="B45" i="43" s="1"/>
  <c r="B46" i="43" s="1"/>
  <c r="B47" i="43" s="1"/>
  <c r="B48" i="43" s="1"/>
  <c r="B49" i="43" s="1"/>
  <c r="B50" i="43" s="1"/>
  <c r="B51" i="43" s="1"/>
  <c r="B52" i="43" s="1"/>
  <c r="B53" i="43" s="1"/>
  <c r="B54" i="43" s="1"/>
  <c r="B55" i="43" s="1"/>
  <c r="B56" i="43" s="1"/>
  <c r="B57" i="43" s="1"/>
  <c r="B58" i="43" s="1"/>
  <c r="B59" i="43" s="1"/>
  <c r="B60" i="43" s="1"/>
  <c r="B61" i="43" s="1"/>
  <c r="B62" i="43" s="1"/>
  <c r="B63" i="43" s="1"/>
  <c r="B64" i="43" s="1"/>
  <c r="B65" i="43" s="1"/>
  <c r="B66" i="43" s="1"/>
  <c r="B67" i="43" s="1"/>
  <c r="B68" i="43" s="1"/>
  <c r="B69" i="43" s="1"/>
  <c r="B70" i="43" s="1"/>
  <c r="B71" i="43" s="1"/>
  <c r="B72" i="43" s="1"/>
  <c r="B73" i="43" s="1"/>
  <c r="B74" i="43" s="1"/>
  <c r="B75" i="43" s="1"/>
  <c r="B76" i="43" s="1"/>
  <c r="B77" i="43" s="1"/>
  <c r="B78" i="43" s="1"/>
  <c r="B79" i="43" s="1"/>
  <c r="B80" i="43" s="1"/>
  <c r="B81" i="43" s="1"/>
  <c r="B82" i="43" s="1"/>
  <c r="B83" i="43" s="1"/>
  <c r="B84" i="43" s="1"/>
  <c r="B85" i="43" s="1"/>
  <c r="B86" i="43" s="1"/>
  <c r="B87" i="43" s="1"/>
  <c r="B88" i="43" s="1"/>
  <c r="B89" i="43" s="1"/>
  <c r="B90" i="43" s="1"/>
  <c r="B91" i="43" s="1"/>
  <c r="B92" i="43" s="1"/>
  <c r="B93" i="43" s="1"/>
  <c r="B94" i="43" s="1"/>
  <c r="B95" i="43" s="1"/>
  <c r="B96" i="43" s="1"/>
  <c r="B97" i="43" s="1"/>
  <c r="B98" i="43" s="1"/>
  <c r="B99" i="43" s="1"/>
  <c r="B100" i="43" s="1"/>
  <c r="B101" i="43" s="1"/>
  <c r="B102" i="43" s="1"/>
  <c r="B103" i="43" s="1"/>
  <c r="B104" i="43" s="1"/>
  <c r="B105" i="43" s="1"/>
  <c r="B106" i="43" s="1"/>
  <c r="B107" i="43" s="1"/>
  <c r="B108" i="43" s="1"/>
  <c r="B109" i="43" s="1"/>
  <c r="B110" i="43" s="1"/>
  <c r="B111" i="43" s="1"/>
  <c r="B112" i="43" s="1"/>
  <c r="B113" i="43" s="1"/>
  <c r="B114" i="43" s="1"/>
  <c r="B115" i="43" s="1"/>
  <c r="B116" i="43" s="1"/>
  <c r="B117" i="43" s="1"/>
  <c r="B118" i="43" s="1"/>
  <c r="B119" i="43" s="1"/>
  <c r="B120" i="43" s="1"/>
  <c r="B121" i="43" s="1"/>
  <c r="B122" i="43" s="1"/>
  <c r="B123" i="43" s="1"/>
  <c r="B124" i="43" s="1"/>
  <c r="B125" i="43" s="1"/>
  <c r="B126" i="43" s="1"/>
  <c r="B127" i="43" s="1"/>
  <c r="B128" i="43" s="1"/>
  <c r="B129" i="43" s="1"/>
  <c r="B130" i="43" s="1"/>
  <c r="B131" i="43" s="1"/>
  <c r="B132" i="43" s="1"/>
  <c r="B133" i="43" s="1"/>
  <c r="B134" i="43" s="1"/>
  <c r="B135" i="43" s="1"/>
  <c r="B136" i="43" s="1"/>
  <c r="B137" i="43" s="1"/>
  <c r="B138" i="43" s="1"/>
  <c r="B139" i="43" s="1"/>
  <c r="B140" i="43" s="1"/>
  <c r="B141" i="43" s="1"/>
  <c r="B142" i="43" s="1"/>
  <c r="B143" i="43" s="1"/>
  <c r="B144" i="43" s="1"/>
  <c r="B145" i="43" s="1"/>
  <c r="B146" i="43" s="1"/>
  <c r="B147" i="43" s="1"/>
  <c r="B148" i="43" s="1"/>
  <c r="B149" i="43" s="1"/>
  <c r="B150" i="43" s="1"/>
  <c r="B151" i="43" s="1"/>
  <c r="B152" i="43" s="1"/>
  <c r="B153" i="43" s="1"/>
  <c r="B154" i="43" s="1"/>
  <c r="B155" i="43" s="1"/>
  <c r="B156" i="43" s="1"/>
  <c r="B157" i="43" s="1"/>
  <c r="B158" i="43" s="1"/>
  <c r="B159" i="43" s="1"/>
  <c r="B160" i="43" s="1"/>
  <c r="B161" i="43" s="1"/>
  <c r="B162" i="43" s="1"/>
  <c r="B163" i="43" s="1"/>
  <c r="B164" i="43" s="1"/>
  <c r="B165" i="43" s="1"/>
  <c r="B166" i="43" s="1"/>
  <c r="B167" i="43" s="1"/>
  <c r="B168" i="43" s="1"/>
  <c r="B169" i="43" s="1"/>
  <c r="B170" i="43" s="1"/>
  <c r="B171" i="43" s="1"/>
  <c r="B172" i="43" s="1"/>
  <c r="B173" i="43" s="1"/>
  <c r="B174" i="43" s="1"/>
  <c r="B175" i="43" s="1"/>
  <c r="B176" i="43" s="1"/>
  <c r="B177" i="43" s="1"/>
  <c r="B178" i="43" s="1"/>
  <c r="B179" i="43" s="1"/>
  <c r="B180" i="43" s="1"/>
  <c r="B181" i="43" s="1"/>
  <c r="B182" i="43" s="1"/>
  <c r="B183" i="43" s="1"/>
  <c r="B184" i="43" s="1"/>
  <c r="B185" i="43" s="1"/>
  <c r="B186" i="43" s="1"/>
  <c r="B187" i="43" s="1"/>
  <c r="B188" i="43" s="1"/>
  <c r="B189" i="43" s="1"/>
  <c r="B190" i="43" s="1"/>
  <c r="B191" i="43" s="1"/>
  <c r="B192" i="43" s="1"/>
  <c r="B193" i="43" s="1"/>
  <c r="B194" i="43" s="1"/>
  <c r="B195" i="43" s="1"/>
  <c r="B196" i="43" s="1"/>
  <c r="B197" i="43" s="1"/>
  <c r="B198" i="43" s="1"/>
  <c r="B199" i="43" s="1"/>
  <c r="B200" i="43" s="1"/>
  <c r="B201" i="43" s="1"/>
  <c r="B202" i="43" s="1"/>
  <c r="B203" i="43" s="1"/>
  <c r="B204" i="43" s="1"/>
  <c r="B205" i="43" s="1"/>
  <c r="B206" i="43" s="1"/>
  <c r="B207" i="43" s="1"/>
  <c r="B208" i="43" s="1"/>
  <c r="B209" i="43" s="1"/>
  <c r="B210" i="43" s="1"/>
  <c r="B211" i="43" s="1"/>
  <c r="B212" i="43" s="1"/>
  <c r="B213" i="43" s="1"/>
  <c r="B214" i="43" s="1"/>
  <c r="B215" i="43" s="1"/>
  <c r="B216" i="43" s="1"/>
  <c r="B217" i="43" s="1"/>
  <c r="B218" i="43" s="1"/>
  <c r="B219" i="43" s="1"/>
  <c r="B220" i="43" s="1"/>
  <c r="B221" i="43" s="1"/>
  <c r="B222" i="43" s="1"/>
  <c r="B223" i="43" s="1"/>
  <c r="B224" i="43" s="1"/>
  <c r="B225" i="43" s="1"/>
  <c r="B226" i="43" s="1"/>
  <c r="B227" i="43" s="1"/>
  <c r="B228" i="43" s="1"/>
  <c r="B229" i="43" s="1"/>
  <c r="B230" i="43" s="1"/>
  <c r="B231" i="43" s="1"/>
  <c r="B232" i="43" s="1"/>
  <c r="B233" i="43" s="1"/>
  <c r="B234" i="43" s="1"/>
  <c r="B235" i="43" s="1"/>
  <c r="B236" i="43" s="1"/>
  <c r="B237" i="43" s="1"/>
  <c r="B238" i="43" s="1"/>
  <c r="B239" i="43" s="1"/>
  <c r="B240" i="43" s="1"/>
  <c r="B241" i="43" s="1"/>
  <c r="B242" i="43" s="1"/>
  <c r="B243" i="43" s="1"/>
  <c r="B244" i="43" s="1"/>
  <c r="B245" i="43" s="1"/>
  <c r="B246" i="43" s="1"/>
  <c r="B247" i="43" s="1"/>
  <c r="B248" i="43" s="1"/>
  <c r="B249" i="43" s="1"/>
  <c r="B250" i="43" s="1"/>
  <c r="B251" i="43" s="1"/>
  <c r="B252" i="43" s="1"/>
  <c r="B253" i="43" s="1"/>
  <c r="B254" i="43" s="1"/>
  <c r="B255" i="43" s="1"/>
  <c r="B256" i="43" s="1"/>
  <c r="B257" i="43" s="1"/>
  <c r="B258" i="43" s="1"/>
  <c r="B259" i="43" s="1"/>
  <c r="B260" i="43" s="1"/>
  <c r="B261" i="43" s="1"/>
  <c r="B262" i="43" s="1"/>
  <c r="B263" i="43" s="1"/>
  <c r="B264" i="43" s="1"/>
  <c r="B265" i="43" s="1"/>
  <c r="B266" i="43" s="1"/>
  <c r="B267" i="43" s="1"/>
  <c r="B268" i="43" s="1"/>
  <c r="B269" i="43" s="1"/>
  <c r="B270" i="43" s="1"/>
  <c r="B271" i="43" s="1"/>
  <c r="B272" i="43" s="1"/>
  <c r="B273" i="43" s="1"/>
  <c r="B274" i="43" s="1"/>
  <c r="B275" i="43" s="1"/>
  <c r="B276" i="43" s="1"/>
  <c r="B277" i="43" s="1"/>
  <c r="B278" i="43" s="1"/>
  <c r="B279" i="43" s="1"/>
  <c r="B280" i="43" s="1"/>
  <c r="B281" i="43" s="1"/>
  <c r="B282" i="43" s="1"/>
  <c r="B283" i="43" s="1"/>
  <c r="B284" i="43" s="1"/>
  <c r="B285" i="43" s="1"/>
  <c r="B286" i="43" s="1"/>
  <c r="B287" i="43" s="1"/>
  <c r="B288" i="43" s="1"/>
  <c r="B289" i="43" s="1"/>
  <c r="B290" i="43" s="1"/>
  <c r="B291" i="43" s="1"/>
  <c r="B292" i="43" s="1"/>
  <c r="B293" i="43" s="1"/>
  <c r="B294" i="43" s="1"/>
  <c r="B295" i="43" s="1"/>
  <c r="B296" i="43" s="1"/>
  <c r="B297" i="43" s="1"/>
  <c r="B298" i="43" s="1"/>
  <c r="B299" i="43" s="1"/>
  <c r="B300" i="43" s="1"/>
  <c r="B301" i="43" s="1"/>
  <c r="B302" i="43" s="1"/>
  <c r="B303" i="43" s="1"/>
  <c r="B304" i="43" s="1"/>
  <c r="B305" i="43" s="1"/>
  <c r="G28" i="42" l="1"/>
  <c r="K26" i="141"/>
  <c r="K24" i="141"/>
  <c r="N24" i="141" s="1"/>
  <c r="K22" i="141"/>
  <c r="N22" i="141" s="1"/>
  <c r="K20" i="141"/>
  <c r="K18" i="141"/>
  <c r="K16" i="141"/>
  <c r="G18" i="141"/>
  <c r="G16" i="141"/>
  <c r="G14" i="141"/>
  <c r="G10" i="141"/>
  <c r="N26" i="141" l="1"/>
  <c r="N20" i="141"/>
  <c r="N18" i="141"/>
  <c r="N16" i="141"/>
  <c r="N14" i="141"/>
  <c r="N12" i="141"/>
  <c r="N10" i="141"/>
  <c r="F67" i="23" l="1"/>
  <c r="F41" i="23"/>
  <c r="D17" i="105"/>
  <c r="A17" i="105"/>
  <c r="A16" i="105"/>
  <c r="I12" i="127"/>
  <c r="O11" i="127"/>
  <c r="N11" i="127"/>
  <c r="H24" i="126"/>
  <c r="H22" i="126"/>
  <c r="H25" i="126" s="1"/>
  <c r="H26" i="126" s="1"/>
  <c r="K14" i="127" s="1"/>
  <c r="F17" i="105" s="1"/>
  <c r="H14" i="126"/>
  <c r="H13" i="126"/>
  <c r="H12" i="126"/>
  <c r="H10" i="126"/>
  <c r="H9" i="126"/>
  <c r="I8" i="127"/>
  <c r="O7" i="127"/>
  <c r="N7" i="127"/>
  <c r="H15" i="126" l="1"/>
  <c r="K10" i="127" s="1"/>
  <c r="M10" i="127" s="1"/>
  <c r="H17" i="105"/>
  <c r="M14" i="127"/>
  <c r="K29" i="23" l="1"/>
  <c r="F16" i="105" s="1"/>
  <c r="I27" i="23"/>
  <c r="D16" i="105" s="1"/>
  <c r="O26" i="23"/>
  <c r="N26" i="23"/>
  <c r="H16" i="105" l="1"/>
  <c r="M29" i="23"/>
  <c r="A12" i="105" l="1"/>
  <c r="A13" i="105"/>
  <c r="A14" i="105"/>
  <c r="A15" i="105"/>
  <c r="A18" i="105"/>
  <c r="A19" i="105"/>
  <c r="A20" i="105"/>
  <c r="A21" i="105"/>
  <c r="A22" i="105"/>
  <c r="A23" i="105"/>
  <c r="A24" i="105"/>
  <c r="A25" i="105"/>
  <c r="A26" i="105"/>
  <c r="A27" i="105"/>
  <c r="A28" i="105"/>
  <c r="A29" i="105"/>
  <c r="A30" i="105"/>
  <c r="A31" i="105"/>
  <c r="A32" i="105"/>
  <c r="A33" i="105"/>
  <c r="A34" i="105"/>
  <c r="A35" i="105"/>
  <c r="A36" i="105"/>
  <c r="A37" i="105"/>
  <c r="A38" i="105"/>
  <c r="A39" i="105"/>
  <c r="A40" i="105"/>
  <c r="A41" i="105"/>
  <c r="A42" i="105"/>
  <c r="A43" i="105"/>
  <c r="A44" i="105"/>
  <c r="A45" i="105"/>
  <c r="A46" i="105"/>
  <c r="A47" i="105"/>
  <c r="A9" i="105"/>
  <c r="A11" i="105"/>
  <c r="A8" i="105"/>
  <c r="I41" i="23" l="1"/>
  <c r="I40" i="23"/>
  <c r="I39" i="23"/>
  <c r="I38" i="23"/>
  <c r="I37" i="23"/>
  <c r="I36" i="23"/>
  <c r="I35" i="23"/>
  <c r="F33" i="127"/>
  <c r="F32" i="127"/>
  <c r="F22" i="127"/>
  <c r="F35" i="127"/>
  <c r="F23" i="127"/>
  <c r="F21" i="127"/>
  <c r="I57" i="23"/>
  <c r="I75" i="23"/>
  <c r="I71" i="23" l="1"/>
  <c r="I67" i="23"/>
  <c r="I66" i="23"/>
  <c r="I65" i="23"/>
  <c r="I64" i="23"/>
  <c r="I63" i="23"/>
  <c r="I62" i="23"/>
  <c r="I61" i="23"/>
  <c r="I53" i="23"/>
  <c r="I49" i="23"/>
  <c r="I45" i="23"/>
  <c r="I25" i="23"/>
  <c r="I42" i="133"/>
  <c r="I41" i="133"/>
  <c r="I40" i="133"/>
  <c r="I39" i="133"/>
  <c r="I37" i="133"/>
  <c r="I36" i="133"/>
  <c r="I35" i="133"/>
  <c r="I34" i="133"/>
  <c r="I30" i="133"/>
  <c r="F19" i="133"/>
  <c r="I19" i="133" s="1"/>
  <c r="I25" i="133"/>
  <c r="I24" i="133"/>
  <c r="I23" i="133"/>
  <c r="I22" i="133"/>
  <c r="I20" i="133"/>
  <c r="I18" i="133"/>
  <c r="I17" i="133"/>
  <c r="I13" i="133"/>
  <c r="I12" i="133"/>
  <c r="I10" i="133"/>
  <c r="I9" i="133"/>
  <c r="I35" i="127"/>
  <c r="I34" i="127"/>
  <c r="I24" i="127"/>
  <c r="I22" i="127"/>
  <c r="I21" i="127"/>
  <c r="D7" i="93" l="1"/>
  <c r="H7" i="93" s="1"/>
  <c r="I55" i="23"/>
  <c r="I51" i="23"/>
  <c r="I47" i="23"/>
  <c r="I77" i="23"/>
  <c r="D33" i="105" s="1"/>
  <c r="I59" i="23"/>
  <c r="H174" i="25"/>
  <c r="A15" i="42"/>
  <c r="C15" i="42"/>
  <c r="J15" i="42"/>
  <c r="O15" i="42" s="1"/>
  <c r="G11" i="42"/>
  <c r="A14" i="42"/>
  <c r="J14" i="42"/>
  <c r="O14" i="42" s="1"/>
  <c r="F12" i="42"/>
  <c r="J11" i="42"/>
  <c r="O11" i="42" s="1"/>
  <c r="A11" i="42"/>
  <c r="H158" i="25"/>
  <c r="H159" i="25"/>
  <c r="H160" i="25"/>
  <c r="H163" i="25"/>
  <c r="H162" i="25"/>
  <c r="H161" i="25"/>
  <c r="H157" i="25"/>
  <c r="H155" i="25"/>
  <c r="H153" i="25"/>
  <c r="H152" i="25"/>
  <c r="D10" i="93" l="1"/>
  <c r="N10" i="93" s="1"/>
  <c r="D31" i="105"/>
  <c r="I73" i="23"/>
  <c r="K11" i="42"/>
  <c r="I53" i="127" l="1"/>
  <c r="I48" i="127"/>
  <c r="I40" i="127"/>
  <c r="I33" i="127"/>
  <c r="I32" i="127"/>
  <c r="F9" i="105" l="1"/>
  <c r="A10" i="42" l="1"/>
  <c r="A12" i="42"/>
  <c r="A13" i="42"/>
  <c r="A16" i="42"/>
  <c r="A17" i="42"/>
  <c r="A18" i="42"/>
  <c r="A19" i="42"/>
  <c r="A20" i="42"/>
  <c r="A21" i="42"/>
  <c r="A22" i="42"/>
  <c r="A23" i="42"/>
  <c r="A24" i="42"/>
  <c r="A25" i="42"/>
  <c r="A26" i="42"/>
  <c r="A27" i="42"/>
  <c r="A28" i="42"/>
  <c r="A29" i="42"/>
  <c r="A30" i="42"/>
  <c r="A31" i="42"/>
  <c r="A32" i="42"/>
  <c r="A9" i="42"/>
  <c r="G31" i="42" l="1"/>
  <c r="I79" i="23" l="1"/>
  <c r="F32" i="42"/>
  <c r="D13" i="93" l="1"/>
  <c r="D14" i="93" s="1"/>
  <c r="D15" i="93" s="1"/>
  <c r="I15" i="93" s="1"/>
  <c r="L13" i="93" l="1"/>
  <c r="M14" i="93"/>
  <c r="O13" i="93"/>
  <c r="A19" i="115"/>
  <c r="A3" i="115"/>
  <c r="A19" i="114"/>
  <c r="A3" i="114"/>
  <c r="A19" i="113"/>
  <c r="A3" i="113"/>
  <c r="E16" i="112"/>
  <c r="M80" i="140"/>
  <c r="M79" i="140"/>
  <c r="I79" i="140"/>
  <c r="M78" i="140"/>
  <c r="I78" i="140"/>
  <c r="D69" i="140"/>
  <c r="K69" i="140" s="1"/>
  <c r="D68" i="140"/>
  <c r="H68" i="140" s="1"/>
  <c r="D64" i="140"/>
  <c r="O64" i="140" s="1"/>
  <c r="D61" i="140"/>
  <c r="O61" i="140" s="1"/>
  <c r="D55" i="140"/>
  <c r="D56" i="140" s="1"/>
  <c r="I56" i="140" s="1"/>
  <c r="D50" i="140"/>
  <c r="L50" i="140" s="1"/>
  <c r="D47" i="140"/>
  <c r="L47" i="140" s="1"/>
  <c r="D36" i="140"/>
  <c r="D37" i="140" s="1"/>
  <c r="D33" i="140"/>
  <c r="D34" i="140" s="1"/>
  <c r="D27" i="140"/>
  <c r="K27" i="140" s="1"/>
  <c r="F9" i="140"/>
  <c r="D5" i="140"/>
  <c r="H5" i="140" s="1"/>
  <c r="M3" i="140"/>
  <c r="A2" i="140"/>
  <c r="D29" i="107"/>
  <c r="D30" i="107"/>
  <c r="R54" i="123"/>
  <c r="S49" i="123"/>
  <c r="R49" i="123"/>
  <c r="S48" i="123"/>
  <c r="R48" i="123"/>
  <c r="R45" i="123"/>
  <c r="S40" i="123"/>
  <c r="R40" i="123"/>
  <c r="S39" i="123"/>
  <c r="R39" i="123"/>
  <c r="R36" i="123"/>
  <c r="S31" i="123"/>
  <c r="R31" i="123"/>
  <c r="S30" i="123"/>
  <c r="R30" i="123"/>
  <c r="R27" i="123"/>
  <c r="R22" i="123"/>
  <c r="S22" i="123"/>
  <c r="E62" i="122"/>
  <c r="E63" i="122"/>
  <c r="E64" i="122"/>
  <c r="E65" i="122"/>
  <c r="E66" i="122"/>
  <c r="C62" i="122"/>
  <c r="C63" i="122"/>
  <c r="C64" i="122"/>
  <c r="C65" i="122"/>
  <c r="C66" i="122"/>
  <c r="C67" i="122"/>
  <c r="K78" i="139"/>
  <c r="K77" i="139"/>
  <c r="H77" i="139"/>
  <c r="K76" i="139"/>
  <c r="H76" i="139"/>
  <c r="N70" i="139"/>
  <c r="L70" i="139"/>
  <c r="K70" i="139"/>
  <c r="N69" i="139"/>
  <c r="N68" i="139"/>
  <c r="J68" i="139"/>
  <c r="N67" i="139"/>
  <c r="J67" i="139"/>
  <c r="N66" i="139"/>
  <c r="N65" i="139"/>
  <c r="N64" i="139"/>
  <c r="K3" i="139"/>
  <c r="A2" i="139"/>
  <c r="K17" i="120"/>
  <c r="L17" i="120"/>
  <c r="N17" i="120"/>
  <c r="K26" i="120"/>
  <c r="L26" i="120"/>
  <c r="N26" i="120"/>
  <c r="K35" i="120"/>
  <c r="L35" i="120"/>
  <c r="N35" i="120"/>
  <c r="K44" i="120"/>
  <c r="L44" i="120"/>
  <c r="N44" i="120"/>
  <c r="K53" i="120"/>
  <c r="L53" i="120"/>
  <c r="N53" i="120"/>
  <c r="K57" i="120"/>
  <c r="L57" i="120"/>
  <c r="N57" i="120"/>
  <c r="N64" i="120"/>
  <c r="N65" i="120"/>
  <c r="N66" i="120"/>
  <c r="N67" i="120"/>
  <c r="N68" i="120"/>
  <c r="N69" i="120"/>
  <c r="F52" i="120"/>
  <c r="F51" i="120"/>
  <c r="F49" i="120"/>
  <c r="F48" i="120"/>
  <c r="F47" i="120"/>
  <c r="F46" i="120"/>
  <c r="F45" i="120"/>
  <c r="J68" i="120"/>
  <c r="F68" i="139" s="1"/>
  <c r="J67" i="120"/>
  <c r="F67" i="139" s="1"/>
  <c r="F59" i="120"/>
  <c r="F58" i="120"/>
  <c r="F56" i="120"/>
  <c r="F55" i="120"/>
  <c r="F54" i="120"/>
  <c r="F43" i="120"/>
  <c r="F42" i="120"/>
  <c r="F40" i="120"/>
  <c r="F39" i="120"/>
  <c r="F38" i="120"/>
  <c r="F37" i="120"/>
  <c r="F36" i="120"/>
  <c r="F34" i="120"/>
  <c r="F33" i="120"/>
  <c r="F31" i="120"/>
  <c r="F30" i="120"/>
  <c r="F29" i="120"/>
  <c r="F28" i="120"/>
  <c r="F27" i="120"/>
  <c r="F22" i="120"/>
  <c r="F20" i="120"/>
  <c r="F12" i="120"/>
  <c r="F8" i="120"/>
  <c r="G92" i="136"/>
  <c r="G93" i="136"/>
  <c r="G95" i="136"/>
  <c r="G96" i="136"/>
  <c r="G178" i="136"/>
  <c r="G172" i="136"/>
  <c r="G171" i="136"/>
  <c r="O69" i="140" l="1"/>
  <c r="L33" i="140"/>
  <c r="L36" i="140"/>
  <c r="L67" i="120"/>
  <c r="D28" i="140"/>
  <c r="I28" i="140" s="1"/>
  <c r="O27" i="140"/>
  <c r="O47" i="140"/>
  <c r="O50" i="140"/>
  <c r="K55" i="140"/>
  <c r="P61" i="140"/>
  <c r="D65" i="140"/>
  <c r="D66" i="140" s="1"/>
  <c r="I66" i="140" s="1"/>
  <c r="M34" i="140"/>
  <c r="D35" i="140"/>
  <c r="I35" i="140" s="1"/>
  <c r="M37" i="140"/>
  <c r="D38" i="140"/>
  <c r="I38" i="140" s="1"/>
  <c r="O33" i="140"/>
  <c r="O36" i="140"/>
  <c r="P47" i="140"/>
  <c r="D51" i="140"/>
  <c r="O55" i="140"/>
  <c r="D62" i="140"/>
  <c r="M65" i="140"/>
  <c r="D70" i="140"/>
  <c r="I70" i="140" s="1"/>
  <c r="P33" i="140"/>
  <c r="D48" i="140"/>
  <c r="L61" i="140"/>
  <c r="L64" i="140"/>
  <c r="R21" i="123"/>
  <c r="L68" i="120"/>
  <c r="K67" i="120"/>
  <c r="L68" i="139"/>
  <c r="F66" i="122"/>
  <c r="K68" i="120"/>
  <c r="L67" i="139"/>
  <c r="F65" i="122"/>
  <c r="K67" i="139"/>
  <c r="K68" i="139"/>
  <c r="G97" i="136"/>
  <c r="G98" i="136" s="1"/>
  <c r="G99" i="136" s="1"/>
  <c r="G100" i="136" s="1"/>
  <c r="M48" i="140" l="1"/>
  <c r="D49" i="140"/>
  <c r="I49" i="140" s="1"/>
  <c r="D63" i="140"/>
  <c r="I63" i="140" s="1"/>
  <c r="M62" i="140"/>
  <c r="D52" i="140"/>
  <c r="I52" i="140" s="1"/>
  <c r="M51" i="140"/>
  <c r="S21" i="123"/>
  <c r="I17" i="137"/>
  <c r="I21" i="137"/>
  <c r="I25" i="137"/>
  <c r="K31" i="137"/>
  <c r="I29" i="137"/>
  <c r="I13" i="137"/>
  <c r="I15" i="137" s="1"/>
  <c r="L40" i="137"/>
  <c r="L39" i="137"/>
  <c r="G39" i="137"/>
  <c r="L38" i="137"/>
  <c r="G38" i="137"/>
  <c r="I9" i="137"/>
  <c r="I11" i="137" s="1"/>
  <c r="C2" i="137"/>
  <c r="A2" i="137"/>
  <c r="C2" i="136"/>
  <c r="G223" i="136"/>
  <c r="G221" i="136"/>
  <c r="G217" i="136"/>
  <c r="G201" i="136"/>
  <c r="G196" i="136"/>
  <c r="F198" i="136"/>
  <c r="G168" i="136"/>
  <c r="G156" i="136"/>
  <c r="G154" i="136"/>
  <c r="G153" i="136"/>
  <c r="G132" i="136"/>
  <c r="G130" i="136"/>
  <c r="G129" i="136"/>
  <c r="G110" i="136"/>
  <c r="G109" i="136"/>
  <c r="G107" i="136"/>
  <c r="G83" i="136"/>
  <c r="G82" i="136"/>
  <c r="G80" i="136"/>
  <c r="G79" i="136"/>
  <c r="G69" i="136"/>
  <c r="G67" i="136"/>
  <c r="G66" i="136"/>
  <c r="G52" i="136"/>
  <c r="G50" i="136"/>
  <c r="G49" i="136"/>
  <c r="G29" i="136"/>
  <c r="G28" i="136"/>
  <c r="G26" i="136"/>
  <c r="G25" i="136"/>
  <c r="G12" i="136"/>
  <c r="G13" i="136" s="1"/>
  <c r="G14" i="136" s="1"/>
  <c r="F122" i="136" s="1"/>
  <c r="G58" i="139" l="1"/>
  <c r="D37" i="105"/>
  <c r="G58" i="120"/>
  <c r="F42" i="105"/>
  <c r="I63" i="139"/>
  <c r="I63" i="120"/>
  <c r="N63" i="120" s="1"/>
  <c r="G62" i="139"/>
  <c r="G62" i="120"/>
  <c r="D41" i="105"/>
  <c r="G59" i="120"/>
  <c r="D38" i="105"/>
  <c r="G59" i="139"/>
  <c r="D40" i="105"/>
  <c r="G61" i="120"/>
  <c r="G61" i="139"/>
  <c r="D42" i="105"/>
  <c r="H42" i="105" s="1"/>
  <c r="G63" i="120"/>
  <c r="G63" i="139"/>
  <c r="D39" i="105"/>
  <c r="G60" i="120"/>
  <c r="G60" i="139"/>
  <c r="G84" i="136"/>
  <c r="G85" i="136" s="1"/>
  <c r="G86" i="136" s="1"/>
  <c r="F124" i="136" s="1"/>
  <c r="M31" i="137"/>
  <c r="G198" i="136"/>
  <c r="F219" i="136"/>
  <c r="G219" i="136" s="1"/>
  <c r="G220" i="136" s="1"/>
  <c r="G70" i="136"/>
  <c r="G71" i="136" s="1"/>
  <c r="G72" i="136" s="1"/>
  <c r="F126" i="136" s="1"/>
  <c r="G199" i="136"/>
  <c r="G173" i="136"/>
  <c r="G179" i="136"/>
  <c r="C59" i="122" l="1"/>
  <c r="C61" i="139"/>
  <c r="C60" i="122"/>
  <c r="C62" i="139"/>
  <c r="C61" i="122"/>
  <c r="J63" i="139"/>
  <c r="C63" i="139"/>
  <c r="C57" i="122"/>
  <c r="C59" i="139"/>
  <c r="C58" i="122"/>
  <c r="C60" i="139"/>
  <c r="J63" i="120"/>
  <c r="E61" i="122"/>
  <c r="E63" i="139"/>
  <c r="N63" i="139" s="1"/>
  <c r="C58" i="139"/>
  <c r="C56" i="122"/>
  <c r="F194" i="136"/>
  <c r="G194" i="136" s="1"/>
  <c r="F166" i="136"/>
  <c r="G166" i="136" s="1"/>
  <c r="F215" i="136"/>
  <c r="G215" i="136" s="1"/>
  <c r="F146" i="136"/>
  <c r="G122" i="136"/>
  <c r="F148" i="136"/>
  <c r="G148" i="136" s="1"/>
  <c r="G124" i="136"/>
  <c r="I58" i="122" l="1"/>
  <c r="C58" i="123" s="1"/>
  <c r="I56" i="122"/>
  <c r="C56" i="123" s="1"/>
  <c r="L63" i="120"/>
  <c r="K63" i="120"/>
  <c r="I57" i="122"/>
  <c r="C57" i="123" s="1"/>
  <c r="F63" i="139"/>
  <c r="K63" i="139" s="1"/>
  <c r="I59" i="122"/>
  <c r="C59" i="123" s="1"/>
  <c r="F190" i="136"/>
  <c r="G190" i="136" s="1"/>
  <c r="F164" i="136"/>
  <c r="G164" i="136" s="1"/>
  <c r="G146" i="136"/>
  <c r="F211" i="136"/>
  <c r="G211" i="136" s="1"/>
  <c r="F150" i="136"/>
  <c r="G150" i="136" s="1"/>
  <c r="G126" i="136"/>
  <c r="L63" i="139" l="1"/>
  <c r="F36" i="105" l="1"/>
  <c r="H45" i="105"/>
  <c r="G23" i="100" s="1"/>
  <c r="D5" i="93" l="1"/>
  <c r="H5" i="93" s="1"/>
  <c r="I216" i="126"/>
  <c r="I217" i="126" s="1"/>
  <c r="I218" i="126" s="1"/>
  <c r="H215" i="126"/>
  <c r="H214" i="126"/>
  <c r="H213" i="126"/>
  <c r="H212" i="126"/>
  <c r="I211" i="126"/>
  <c r="H211" i="126"/>
  <c r="B208" i="126"/>
  <c r="B207" i="126"/>
  <c r="I204" i="126"/>
  <c r="H204" i="126"/>
  <c r="I203" i="126"/>
  <c r="H203" i="126"/>
  <c r="I202" i="126"/>
  <c r="H202" i="126"/>
  <c r="I201" i="126"/>
  <c r="H201" i="126"/>
  <c r="I199" i="126"/>
  <c r="H199" i="126"/>
  <c r="I198" i="126"/>
  <c r="H198" i="126"/>
  <c r="I197" i="126"/>
  <c r="H197" i="126"/>
  <c r="I196" i="126"/>
  <c r="H196" i="126"/>
  <c r="I195" i="126"/>
  <c r="H195" i="126"/>
  <c r="L58" i="135"/>
  <c r="L57" i="135"/>
  <c r="G57" i="135"/>
  <c r="L56" i="135"/>
  <c r="G56" i="135"/>
  <c r="I34" i="135"/>
  <c r="O33" i="135"/>
  <c r="N33" i="135"/>
  <c r="H30" i="135"/>
  <c r="I30" i="135" s="1"/>
  <c r="F29" i="135"/>
  <c r="F42" i="135" s="1"/>
  <c r="F28" i="135"/>
  <c r="I28" i="135" s="1"/>
  <c r="D57" i="140" s="1"/>
  <c r="O27" i="135"/>
  <c r="N27" i="135"/>
  <c r="I24" i="135"/>
  <c r="O23" i="135"/>
  <c r="N23" i="135"/>
  <c r="F18" i="135"/>
  <c r="I18" i="135" s="1"/>
  <c r="G15" i="135"/>
  <c r="F15" i="135"/>
  <c r="F20" i="135" s="1"/>
  <c r="I20" i="135" s="1"/>
  <c r="G14" i="135"/>
  <c r="O13" i="135"/>
  <c r="N13" i="135"/>
  <c r="I10" i="135"/>
  <c r="D54" i="140" s="1"/>
  <c r="H54" i="140" s="1"/>
  <c r="F9" i="135"/>
  <c r="F17" i="135" s="1"/>
  <c r="C2" i="135"/>
  <c r="A2" i="135"/>
  <c r="F9" i="134"/>
  <c r="F17" i="134" s="1"/>
  <c r="L58" i="134"/>
  <c r="L57" i="134"/>
  <c r="G57" i="134"/>
  <c r="L56" i="134"/>
  <c r="G56" i="134"/>
  <c r="I34" i="134"/>
  <c r="O33" i="134"/>
  <c r="N33" i="134"/>
  <c r="H30" i="134"/>
  <c r="I30" i="134" s="1"/>
  <c r="F29" i="134"/>
  <c r="F42" i="134" s="1"/>
  <c r="F28" i="134"/>
  <c r="I28" i="134" s="1"/>
  <c r="O27" i="134"/>
  <c r="N27" i="134"/>
  <c r="I24" i="134"/>
  <c r="I26" i="134" s="1"/>
  <c r="O23" i="134"/>
  <c r="N23" i="134"/>
  <c r="F18" i="134"/>
  <c r="I18" i="134" s="1"/>
  <c r="G15" i="134"/>
  <c r="F15" i="134"/>
  <c r="I15" i="134" s="1"/>
  <c r="G14" i="134"/>
  <c r="O13" i="134"/>
  <c r="N13" i="134"/>
  <c r="I10" i="134"/>
  <c r="C2" i="134"/>
  <c r="A2" i="134"/>
  <c r="L70" i="133"/>
  <c r="L69" i="133"/>
  <c r="G69" i="133"/>
  <c r="L68" i="133"/>
  <c r="G68" i="133"/>
  <c r="I46" i="133"/>
  <c r="O45" i="133"/>
  <c r="N45" i="133"/>
  <c r="F54" i="133"/>
  <c r="D29" i="140"/>
  <c r="O33" i="133"/>
  <c r="N33" i="133"/>
  <c r="I29" i="133"/>
  <c r="O28" i="133"/>
  <c r="N28" i="133"/>
  <c r="O16" i="133"/>
  <c r="N16" i="133"/>
  <c r="D26" i="140"/>
  <c r="H26" i="140" s="1"/>
  <c r="C2" i="133"/>
  <c r="A2" i="133"/>
  <c r="I39" i="127"/>
  <c r="D19" i="140" s="1"/>
  <c r="I29" i="135" l="1"/>
  <c r="P19" i="140"/>
  <c r="L19" i="140"/>
  <c r="O19" i="140"/>
  <c r="D20" i="140"/>
  <c r="D58" i="140"/>
  <c r="K57" i="140"/>
  <c r="O57" i="140"/>
  <c r="D30" i="140"/>
  <c r="K29" i="140"/>
  <c r="O29" i="140"/>
  <c r="G47" i="120"/>
  <c r="G47" i="139"/>
  <c r="D52" i="93"/>
  <c r="P52" i="93" s="1"/>
  <c r="G40" i="120"/>
  <c r="G40" i="139"/>
  <c r="D66" i="93"/>
  <c r="G49" i="120"/>
  <c r="G49" i="139"/>
  <c r="I15" i="135"/>
  <c r="F55" i="133"/>
  <c r="I55" i="133" s="1"/>
  <c r="G29" i="139"/>
  <c r="G29" i="120"/>
  <c r="I50" i="133"/>
  <c r="I52" i="133" s="1"/>
  <c r="G31" i="120"/>
  <c r="G31" i="139"/>
  <c r="G38" i="139"/>
  <c r="G38" i="120"/>
  <c r="F20" i="134"/>
  <c r="I20" i="134" s="1"/>
  <c r="D38" i="93"/>
  <c r="F43" i="135"/>
  <c r="I43" i="135" s="1"/>
  <c r="I17" i="135"/>
  <c r="F47" i="135"/>
  <c r="I47" i="135" s="1"/>
  <c r="I42" i="135"/>
  <c r="I38" i="135"/>
  <c r="I40" i="135" s="1"/>
  <c r="I9" i="135"/>
  <c r="F14" i="135"/>
  <c r="I14" i="135" s="1"/>
  <c r="I29" i="134"/>
  <c r="I32" i="134" s="1"/>
  <c r="D43" i="140" s="1"/>
  <c r="F43" i="134"/>
  <c r="I43" i="134" s="1"/>
  <c r="I17" i="134"/>
  <c r="F47" i="134"/>
  <c r="I47" i="134" s="1"/>
  <c r="I42" i="134"/>
  <c r="I38" i="134"/>
  <c r="I40" i="134" s="1"/>
  <c r="I9" i="134"/>
  <c r="I12" i="134" s="1"/>
  <c r="D40" i="140" s="1"/>
  <c r="H40" i="140" s="1"/>
  <c r="F14" i="134"/>
  <c r="I14" i="134" s="1"/>
  <c r="F59" i="133"/>
  <c r="I59" i="133" s="1"/>
  <c r="I54" i="133"/>
  <c r="I45" i="134" l="1"/>
  <c r="K43" i="140"/>
  <c r="O43" i="140"/>
  <c r="D44" i="140"/>
  <c r="D45" i="140" s="1"/>
  <c r="I22" i="134"/>
  <c r="D41" i="140" s="1"/>
  <c r="D42" i="140" s="1"/>
  <c r="I42" i="140" s="1"/>
  <c r="D21" i="140"/>
  <c r="I21" i="140" s="1"/>
  <c r="M20" i="140"/>
  <c r="D59" i="140"/>
  <c r="L58" i="140"/>
  <c r="L30" i="140"/>
  <c r="D31" i="140"/>
  <c r="P38" i="93"/>
  <c r="L38" i="93"/>
  <c r="O38" i="93"/>
  <c r="D39" i="93"/>
  <c r="M39" i="93" s="1"/>
  <c r="D53" i="93"/>
  <c r="L52" i="93"/>
  <c r="O52" i="93"/>
  <c r="P66" i="93"/>
  <c r="L66" i="93"/>
  <c r="O66" i="93"/>
  <c r="D67" i="93"/>
  <c r="M67" i="93" s="1"/>
  <c r="D34" i="93"/>
  <c r="K34" i="93" s="1"/>
  <c r="G30" i="139"/>
  <c r="G30" i="120"/>
  <c r="G43" i="139"/>
  <c r="G43" i="120"/>
  <c r="D55" i="93"/>
  <c r="C47" i="122"/>
  <c r="C49" i="139"/>
  <c r="G36" i="120"/>
  <c r="G36" i="139"/>
  <c r="D45" i="93"/>
  <c r="H45" i="93" s="1"/>
  <c r="G45" i="120"/>
  <c r="G45" i="139"/>
  <c r="D59" i="93"/>
  <c r="H59" i="93" s="1"/>
  <c r="D60" i="93"/>
  <c r="O60" i="93" s="1"/>
  <c r="G46" i="120"/>
  <c r="G46" i="139"/>
  <c r="C27" i="122"/>
  <c r="C29" i="139"/>
  <c r="G34" i="139"/>
  <c r="G34" i="120"/>
  <c r="D41" i="93"/>
  <c r="G41" i="120"/>
  <c r="G41" i="139"/>
  <c r="G50" i="120"/>
  <c r="G50" i="139"/>
  <c r="G32" i="120"/>
  <c r="G32" i="139"/>
  <c r="C45" i="122"/>
  <c r="C47" i="139"/>
  <c r="G52" i="139"/>
  <c r="G52" i="120"/>
  <c r="D69" i="93"/>
  <c r="C29" i="122"/>
  <c r="C31" i="139"/>
  <c r="G27" i="120"/>
  <c r="G27" i="139"/>
  <c r="D31" i="93"/>
  <c r="H31" i="93" s="1"/>
  <c r="D48" i="93"/>
  <c r="K48" i="93" s="1"/>
  <c r="G39" i="139"/>
  <c r="G39" i="120"/>
  <c r="D62" i="93"/>
  <c r="G48" i="139"/>
  <c r="G48" i="120"/>
  <c r="C36" i="122"/>
  <c r="C38" i="139"/>
  <c r="C38" i="122"/>
  <c r="C40" i="139"/>
  <c r="D49" i="93"/>
  <c r="L44" i="140" l="1"/>
  <c r="G37" i="139"/>
  <c r="G37" i="120"/>
  <c r="D46" i="93"/>
  <c r="D47" i="93" s="1"/>
  <c r="I47" i="93" s="1"/>
  <c r="O41" i="140"/>
  <c r="K41" i="140"/>
  <c r="K60" i="93"/>
  <c r="D61" i="93"/>
  <c r="I61" i="93" s="1"/>
  <c r="D60" i="140"/>
  <c r="I60" i="140" s="1"/>
  <c r="M59" i="140"/>
  <c r="D46" i="140"/>
  <c r="I46" i="140" s="1"/>
  <c r="M45" i="140"/>
  <c r="M31" i="140"/>
  <c r="D32" i="140"/>
  <c r="I32" i="140" s="1"/>
  <c r="O46" i="93"/>
  <c r="D40" i="93"/>
  <c r="I40" i="93" s="1"/>
  <c r="O34" i="93"/>
  <c r="D35" i="93"/>
  <c r="K46" i="93"/>
  <c r="O48" i="93"/>
  <c r="M53" i="93"/>
  <c r="D54" i="93"/>
  <c r="I54" i="93" s="1"/>
  <c r="D68" i="93"/>
  <c r="I68" i="93" s="1"/>
  <c r="K62" i="93"/>
  <c r="O62" i="93"/>
  <c r="D63" i="93"/>
  <c r="C25" i="122"/>
  <c r="C27" i="139"/>
  <c r="C39" i="122"/>
  <c r="C41" i="139"/>
  <c r="C44" i="122"/>
  <c r="C46" i="139"/>
  <c r="C41" i="122"/>
  <c r="C43" i="139"/>
  <c r="I38" i="122"/>
  <c r="C38" i="123" s="1"/>
  <c r="I36" i="122"/>
  <c r="C36" i="123" s="1"/>
  <c r="I29" i="122"/>
  <c r="C29" i="123" s="1"/>
  <c r="C35" i="122"/>
  <c r="C37" i="139"/>
  <c r="C34" i="122"/>
  <c r="C36" i="139"/>
  <c r="I47" i="122"/>
  <c r="C47" i="123" s="1"/>
  <c r="C39" i="139"/>
  <c r="C37" i="122"/>
  <c r="C34" i="139"/>
  <c r="C32" i="122"/>
  <c r="G28" i="120"/>
  <c r="G28" i="139"/>
  <c r="G33" i="139"/>
  <c r="G33" i="120"/>
  <c r="G51" i="120"/>
  <c r="G51" i="139"/>
  <c r="G42" i="139"/>
  <c r="G42" i="120"/>
  <c r="D70" i="93"/>
  <c r="L69" i="93"/>
  <c r="O69" i="93"/>
  <c r="I45" i="122"/>
  <c r="C45" i="123" s="1"/>
  <c r="C48" i="122"/>
  <c r="C50" i="139"/>
  <c r="D42" i="93"/>
  <c r="L41" i="93"/>
  <c r="O41" i="93"/>
  <c r="C43" i="122"/>
  <c r="C45" i="139"/>
  <c r="D56" i="93"/>
  <c r="L55" i="93"/>
  <c r="O55" i="93"/>
  <c r="C30" i="139"/>
  <c r="C28" i="122"/>
  <c r="C52" i="139"/>
  <c r="C50" i="122"/>
  <c r="C48" i="139"/>
  <c r="C46" i="122"/>
  <c r="C30" i="122"/>
  <c r="C32" i="139"/>
  <c r="I27" i="122"/>
  <c r="C27" i="123" s="1"/>
  <c r="L49" i="93"/>
  <c r="D50" i="93"/>
  <c r="D32" i="93"/>
  <c r="D36" i="93" l="1"/>
  <c r="L35" i="93"/>
  <c r="J29" i="123"/>
  <c r="I29" i="123"/>
  <c r="G29" i="123"/>
  <c r="K29" i="123"/>
  <c r="J38" i="123"/>
  <c r="I38" i="123"/>
  <c r="G38" i="123"/>
  <c r="K38" i="123"/>
  <c r="J47" i="123"/>
  <c r="I47" i="123"/>
  <c r="K47" i="123"/>
  <c r="G47" i="123"/>
  <c r="I25" i="122"/>
  <c r="C25" i="123" s="1"/>
  <c r="I48" i="122"/>
  <c r="C48" i="123" s="1"/>
  <c r="C40" i="122"/>
  <c r="C42" i="139"/>
  <c r="I32" i="122"/>
  <c r="C32" i="123" s="1"/>
  <c r="G32" i="123" s="1"/>
  <c r="I37" i="122"/>
  <c r="C37" i="123" s="1"/>
  <c r="I34" i="122"/>
  <c r="C34" i="123" s="1"/>
  <c r="I41" i="122"/>
  <c r="C41" i="123" s="1"/>
  <c r="G41" i="123" s="1"/>
  <c r="I44" i="122"/>
  <c r="C44" i="123" s="1"/>
  <c r="D64" i="93"/>
  <c r="L63" i="93"/>
  <c r="I39" i="122"/>
  <c r="C39" i="123" s="1"/>
  <c r="I30" i="122"/>
  <c r="C30" i="123" s="1"/>
  <c r="I46" i="122"/>
  <c r="C46" i="123" s="1"/>
  <c r="I28" i="122"/>
  <c r="C28" i="123" s="1"/>
  <c r="D43" i="93"/>
  <c r="I43" i="93" s="1"/>
  <c r="M42" i="93"/>
  <c r="C49" i="122"/>
  <c r="C51" i="139"/>
  <c r="C31" i="122"/>
  <c r="C33" i="139"/>
  <c r="I50" i="122"/>
  <c r="C50" i="123" s="1"/>
  <c r="G50" i="123" s="1"/>
  <c r="M56" i="93"/>
  <c r="D57" i="93"/>
  <c r="I57" i="93" s="1"/>
  <c r="I43" i="122"/>
  <c r="C43" i="123" s="1"/>
  <c r="D71" i="93"/>
  <c r="I71" i="93" s="1"/>
  <c r="M70" i="93"/>
  <c r="C26" i="122"/>
  <c r="C28" i="139"/>
  <c r="I35" i="122"/>
  <c r="C35" i="123" s="1"/>
  <c r="D51" i="93"/>
  <c r="I51" i="93" s="1"/>
  <c r="M50" i="93"/>
  <c r="O32" i="93"/>
  <c r="D33" i="93"/>
  <c r="I33" i="93" s="1"/>
  <c r="K32" i="93"/>
  <c r="O38" i="127"/>
  <c r="N38" i="127"/>
  <c r="I28" i="123" l="1"/>
  <c r="J28" i="123"/>
  <c r="K28" i="123"/>
  <c r="G28" i="123"/>
  <c r="H28" i="123"/>
  <c r="D37" i="93"/>
  <c r="I37" i="93" s="1"/>
  <c r="M36" i="93"/>
  <c r="I32" i="123"/>
  <c r="J32" i="123"/>
  <c r="K32" i="123"/>
  <c r="K35" i="123"/>
  <c r="H35" i="123"/>
  <c r="G35" i="123"/>
  <c r="I37" i="123"/>
  <c r="H37" i="123"/>
  <c r="G37" i="123"/>
  <c r="J37" i="123"/>
  <c r="K37" i="123"/>
  <c r="I41" i="123"/>
  <c r="J41" i="123"/>
  <c r="K41" i="123"/>
  <c r="K44" i="123"/>
  <c r="G44" i="123"/>
  <c r="H44" i="123"/>
  <c r="I46" i="123"/>
  <c r="G46" i="123"/>
  <c r="K46" i="123"/>
  <c r="J46" i="123"/>
  <c r="H46" i="123"/>
  <c r="I50" i="123"/>
  <c r="J50" i="123"/>
  <c r="K50" i="123"/>
  <c r="I49" i="122"/>
  <c r="C49" i="123" s="1"/>
  <c r="I26" i="122"/>
  <c r="C26" i="123" s="1"/>
  <c r="I31" i="122"/>
  <c r="C31" i="123" s="1"/>
  <c r="I40" i="122"/>
  <c r="C40" i="123" s="1"/>
  <c r="D65" i="93"/>
  <c r="I65" i="93" s="1"/>
  <c r="M64" i="93"/>
  <c r="K26" i="123" l="1"/>
  <c r="H26" i="123"/>
  <c r="G26" i="123"/>
  <c r="G22" i="120"/>
  <c r="G22" i="139"/>
  <c r="D19" i="105"/>
  <c r="D24" i="93"/>
  <c r="I44" i="127"/>
  <c r="I46" i="127" s="1"/>
  <c r="H187" i="126"/>
  <c r="O24" i="93" l="1"/>
  <c r="L24" i="93"/>
  <c r="C20" i="122"/>
  <c r="C22" i="139"/>
  <c r="D20" i="105"/>
  <c r="G23" i="139"/>
  <c r="G23" i="120"/>
  <c r="P24" i="93"/>
  <c r="D25" i="93"/>
  <c r="M25" i="93" s="1"/>
  <c r="C21" i="122" l="1"/>
  <c r="C23" i="139"/>
  <c r="I20" i="122"/>
  <c r="C20" i="123" s="1"/>
  <c r="D26" i="93"/>
  <c r="I26" i="93" s="1"/>
  <c r="I20" i="123" l="1"/>
  <c r="J20" i="123"/>
  <c r="K20" i="123"/>
  <c r="G20" i="123"/>
  <c r="I21" i="122"/>
  <c r="C21" i="123" s="1"/>
  <c r="L29" i="132"/>
  <c r="L28" i="132"/>
  <c r="G28" i="132"/>
  <c r="L27" i="132"/>
  <c r="G27" i="132"/>
  <c r="M3" i="132"/>
  <c r="C2" i="132"/>
  <c r="A2" i="132"/>
  <c r="G32" i="42"/>
  <c r="K32" i="42" s="1"/>
  <c r="F178" i="126" s="1"/>
  <c r="S20" i="123" l="1"/>
  <c r="H178" i="126"/>
  <c r="H173" i="126"/>
  <c r="H172" i="126"/>
  <c r="F9" i="131"/>
  <c r="L31" i="131"/>
  <c r="L30" i="131"/>
  <c r="G30" i="131"/>
  <c r="L29" i="131"/>
  <c r="G29" i="131"/>
  <c r="I20" i="131"/>
  <c r="O19" i="131"/>
  <c r="N19" i="131"/>
  <c r="F16" i="131"/>
  <c r="I16" i="131" s="1"/>
  <c r="G13" i="131"/>
  <c r="O12" i="131"/>
  <c r="N12" i="131"/>
  <c r="F15" i="131"/>
  <c r="I15" i="131" s="1"/>
  <c r="C2" i="131"/>
  <c r="A2" i="131"/>
  <c r="I28" i="127"/>
  <c r="O27" i="127"/>
  <c r="N27" i="127"/>
  <c r="O31" i="127"/>
  <c r="N31" i="127"/>
  <c r="H174" i="126" l="1"/>
  <c r="G20" i="120"/>
  <c r="G20" i="139"/>
  <c r="D22" i="105"/>
  <c r="E17" i="100" s="1"/>
  <c r="B24" i="107" s="1"/>
  <c r="G56" i="120"/>
  <c r="G56" i="139"/>
  <c r="D21" i="105"/>
  <c r="I23" i="127"/>
  <c r="D15" i="140"/>
  <c r="F13" i="131"/>
  <c r="I13" i="131" s="1"/>
  <c r="I9" i="131"/>
  <c r="D16" i="140" l="1"/>
  <c r="D17" i="140" s="1"/>
  <c r="K15" i="140"/>
  <c r="O15" i="140"/>
  <c r="D24" i="107"/>
  <c r="G54" i="120"/>
  <c r="G54" i="139"/>
  <c r="D73" i="93"/>
  <c r="H73" i="93" s="1"/>
  <c r="G55" i="120"/>
  <c r="G55" i="139"/>
  <c r="E18" i="100"/>
  <c r="B25" i="107" s="1"/>
  <c r="C18" i="122"/>
  <c r="C20" i="139"/>
  <c r="G21" i="139"/>
  <c r="G21" i="120"/>
  <c r="D13" i="140"/>
  <c r="C54" i="122"/>
  <c r="C56" i="139"/>
  <c r="D74" i="93"/>
  <c r="D14" i="105"/>
  <c r="D20" i="93"/>
  <c r="D21" i="93" s="1"/>
  <c r="D22" i="93" s="1"/>
  <c r="D23" i="93" s="1"/>
  <c r="F52" i="127"/>
  <c r="I52" i="127" s="1"/>
  <c r="I57" i="127" s="1"/>
  <c r="I17" i="127"/>
  <c r="L68" i="127"/>
  <c r="L67" i="127"/>
  <c r="G67" i="127"/>
  <c r="L66" i="127"/>
  <c r="G66" i="127"/>
  <c r="O20" i="127"/>
  <c r="N20" i="127"/>
  <c r="I16" i="127"/>
  <c r="C2" i="127"/>
  <c r="A2" i="127"/>
  <c r="D12" i="140" l="1"/>
  <c r="H12" i="140" s="1"/>
  <c r="L16" i="140"/>
  <c r="M59" i="127"/>
  <c r="D9" i="105"/>
  <c r="H9" i="105" s="1"/>
  <c r="D34" i="105"/>
  <c r="D22" i="140"/>
  <c r="M17" i="140"/>
  <c r="D18" i="140"/>
  <c r="I18" i="140" s="1"/>
  <c r="D14" i="140"/>
  <c r="I14" i="140" s="1"/>
  <c r="O13" i="140"/>
  <c r="K13" i="140"/>
  <c r="K72" i="140" s="1"/>
  <c r="K74" i="140" s="1"/>
  <c r="D25" i="107"/>
  <c r="C21" i="139"/>
  <c r="C19" i="122"/>
  <c r="G19" i="120"/>
  <c r="G19" i="139"/>
  <c r="D18" i="93"/>
  <c r="G25" i="139"/>
  <c r="G25" i="120"/>
  <c r="D27" i="93"/>
  <c r="D28" i="93" s="1"/>
  <c r="D29" i="93" s="1"/>
  <c r="D13" i="105"/>
  <c r="C53" i="122"/>
  <c r="C55" i="139"/>
  <c r="C52" i="122"/>
  <c r="C54" i="139"/>
  <c r="I54" i="122"/>
  <c r="C54" i="123" s="1"/>
  <c r="I18" i="122"/>
  <c r="C18" i="123" s="1"/>
  <c r="O74" i="93"/>
  <c r="K74" i="93"/>
  <c r="D75" i="93"/>
  <c r="I75" i="93" s="1"/>
  <c r="I31" i="23"/>
  <c r="I33" i="23" s="1"/>
  <c r="O30" i="23"/>
  <c r="N30" i="23"/>
  <c r="D6" i="140"/>
  <c r="H6" i="140" s="1"/>
  <c r="O22" i="23"/>
  <c r="N22" i="23"/>
  <c r="I12" i="23"/>
  <c r="I14" i="23" s="1"/>
  <c r="O11" i="23"/>
  <c r="N11" i="23"/>
  <c r="H7" i="25"/>
  <c r="H8" i="25" s="1"/>
  <c r="K10" i="23" s="1"/>
  <c r="I7" i="139" s="1"/>
  <c r="I15" i="23" l="1"/>
  <c r="I17" i="23" s="1"/>
  <c r="D23" i="140"/>
  <c r="L22" i="140"/>
  <c r="L72" i="140" s="1"/>
  <c r="L74" i="140" s="1"/>
  <c r="O22" i="140"/>
  <c r="O72" i="140" s="1"/>
  <c r="G18" i="120"/>
  <c r="G18" i="139"/>
  <c r="I53" i="122"/>
  <c r="C53" i="123" s="1"/>
  <c r="I19" i="122"/>
  <c r="C19" i="123" s="1"/>
  <c r="K19" i="123" s="1"/>
  <c r="C23" i="122"/>
  <c r="C25" i="139"/>
  <c r="C17" i="122"/>
  <c r="C19" i="139"/>
  <c r="G9" i="120"/>
  <c r="G9" i="139"/>
  <c r="I52" i="122"/>
  <c r="C52" i="123" s="1"/>
  <c r="E5" i="122"/>
  <c r="E7" i="139"/>
  <c r="N7" i="139" s="1"/>
  <c r="G24" i="120"/>
  <c r="G24" i="139"/>
  <c r="D25" i="105"/>
  <c r="O18" i="93"/>
  <c r="D19" i="93"/>
  <c r="D12" i="105"/>
  <c r="D17" i="93"/>
  <c r="H17" i="93" s="1"/>
  <c r="D15" i="105"/>
  <c r="D6" i="93"/>
  <c r="H6" i="93" s="1"/>
  <c r="M23" i="140" l="1"/>
  <c r="M72" i="140" s="1"/>
  <c r="M74" i="140" s="1"/>
  <c r="D24" i="140"/>
  <c r="I24" i="140" s="1"/>
  <c r="I72" i="140" s="1"/>
  <c r="K53" i="123"/>
  <c r="G53" i="123"/>
  <c r="H53" i="123"/>
  <c r="C22" i="122"/>
  <c r="C24" i="139"/>
  <c r="C7" i="122"/>
  <c r="C7" i="123" s="1"/>
  <c r="C9" i="139"/>
  <c r="I23" i="122"/>
  <c r="C23" i="123" s="1"/>
  <c r="G23" i="123" s="1"/>
  <c r="G8" i="139"/>
  <c r="G8" i="120"/>
  <c r="D11" i="105"/>
  <c r="C16" i="122"/>
  <c r="C18" i="139"/>
  <c r="I17" i="122"/>
  <c r="C17" i="123" s="1"/>
  <c r="G17" i="123" s="1"/>
  <c r="G10" i="139"/>
  <c r="G10" i="120"/>
  <c r="D26" i="105"/>
  <c r="F29" i="42"/>
  <c r="F30" i="42" l="1"/>
  <c r="G30" i="42" s="1"/>
  <c r="G29" i="42"/>
  <c r="I16" i="122"/>
  <c r="C16" i="123" s="1"/>
  <c r="C8" i="139"/>
  <c r="C6" i="122"/>
  <c r="C6" i="123" s="1"/>
  <c r="C8" i="122"/>
  <c r="C8" i="123" s="1"/>
  <c r="C10" i="139"/>
  <c r="I22" i="122"/>
  <c r="C22" i="123" s="1"/>
  <c r="G10" i="42"/>
  <c r="K10" i="42" s="1"/>
  <c r="H156" i="126"/>
  <c r="H155" i="126"/>
  <c r="H144" i="126"/>
  <c r="H143" i="126"/>
  <c r="H141" i="126"/>
  <c r="H130" i="126"/>
  <c r="H129" i="126"/>
  <c r="H128" i="126"/>
  <c r="H126" i="126"/>
  <c r="H125" i="126"/>
  <c r="H124" i="126"/>
  <c r="H109" i="126"/>
  <c r="H108" i="126"/>
  <c r="H107" i="126"/>
  <c r="H105" i="126"/>
  <c r="H104" i="126"/>
  <c r="H89" i="126"/>
  <c r="H88" i="126"/>
  <c r="H87" i="126"/>
  <c r="H85" i="126"/>
  <c r="H84" i="126"/>
  <c r="K82" i="126"/>
  <c r="K81" i="126"/>
  <c r="H69" i="126"/>
  <c r="H67" i="126"/>
  <c r="H66" i="126"/>
  <c r="H51" i="126"/>
  <c r="H50" i="126"/>
  <c r="H48" i="126"/>
  <c r="H47" i="126"/>
  <c r="H222" i="25" l="1"/>
  <c r="H221" i="25"/>
  <c r="H220" i="25"/>
  <c r="H219" i="25"/>
  <c r="H217" i="25"/>
  <c r="H194" i="25"/>
  <c r="H193" i="25"/>
  <c r="H192" i="25"/>
  <c r="H191" i="25"/>
  <c r="H190" i="25"/>
  <c r="H189" i="25"/>
  <c r="H188" i="25"/>
  <c r="H186" i="25"/>
  <c r="H185" i="25"/>
  <c r="H140" i="25"/>
  <c r="H139" i="25"/>
  <c r="H138" i="25"/>
  <c r="H136" i="25"/>
  <c r="H124" i="25"/>
  <c r="H123" i="25"/>
  <c r="H122" i="25"/>
  <c r="H121" i="25"/>
  <c r="H119" i="25"/>
  <c r="H104" i="25"/>
  <c r="H103" i="25"/>
  <c r="H102" i="25"/>
  <c r="H101" i="25"/>
  <c r="H100" i="25"/>
  <c r="H99" i="25"/>
  <c r="H97" i="25"/>
  <c r="H96" i="25"/>
  <c r="H63" i="25" l="1"/>
  <c r="H60" i="25"/>
  <c r="H65" i="25"/>
  <c r="H64" i="25"/>
  <c r="H61" i="25"/>
  <c r="H62" i="25"/>
  <c r="H59" i="25"/>
  <c r="H17" i="25"/>
  <c r="H16" i="25"/>
  <c r="H15" i="25"/>
  <c r="H67" i="25" l="1"/>
  <c r="H68" i="25" s="1"/>
  <c r="H69" i="25" s="1"/>
  <c r="H70" i="25" s="1"/>
  <c r="K25" i="23" s="1"/>
  <c r="H18" i="25"/>
  <c r="H19" i="25" s="1"/>
  <c r="H20" i="25" s="1"/>
  <c r="M25" i="23" l="1"/>
  <c r="I9" i="139"/>
  <c r="I9" i="120"/>
  <c r="F15" i="105"/>
  <c r="H15" i="105" s="1"/>
  <c r="H21" i="25"/>
  <c r="K17" i="23" s="1"/>
  <c r="N9" i="120" l="1"/>
  <c r="J9" i="120"/>
  <c r="E7" i="122"/>
  <c r="E9" i="139"/>
  <c r="F9" i="139" s="1"/>
  <c r="J9" i="139"/>
  <c r="M17" i="23"/>
  <c r="I8" i="139"/>
  <c r="I8" i="120"/>
  <c r="F11" i="105"/>
  <c r="H11" i="105" s="1"/>
  <c r="H48" i="25"/>
  <c r="H47" i="25"/>
  <c r="H46" i="25"/>
  <c r="H45" i="25"/>
  <c r="H44" i="25"/>
  <c r="N9" i="139" l="1"/>
  <c r="K9" i="139"/>
  <c r="L9" i="139"/>
  <c r="K9" i="120"/>
  <c r="L9" i="120"/>
  <c r="E8" i="139"/>
  <c r="F8" i="139" s="1"/>
  <c r="E6" i="122"/>
  <c r="J8" i="139"/>
  <c r="N8" i="120"/>
  <c r="J8" i="120"/>
  <c r="H50" i="25"/>
  <c r="H51" i="25" s="1"/>
  <c r="H52" i="25" s="1"/>
  <c r="H53" i="25" s="1"/>
  <c r="K21" i="23" s="1"/>
  <c r="L8" i="120" l="1"/>
  <c r="K8" i="120"/>
  <c r="N8" i="139"/>
  <c r="L8" i="139"/>
  <c r="K8" i="139"/>
  <c r="G230" i="126"/>
  <c r="F238" i="136" s="1"/>
  <c r="G229" i="126"/>
  <c r="F237" i="136" s="1"/>
  <c r="D229" i="126"/>
  <c r="C237" i="136" s="1"/>
  <c r="G228" i="126"/>
  <c r="F236" i="136" s="1"/>
  <c r="D228" i="126"/>
  <c r="C236" i="136" s="1"/>
  <c r="H33" i="126"/>
  <c r="H32" i="126"/>
  <c r="G3" i="126"/>
  <c r="F3" i="126"/>
  <c r="D2" i="126"/>
  <c r="A2" i="126"/>
  <c r="H34" i="126" l="1"/>
  <c r="H35" i="126" s="1"/>
  <c r="H36" i="126" s="1"/>
  <c r="H37" i="126" s="1"/>
  <c r="K12" i="135" s="1"/>
  <c r="G33" i="105"/>
  <c r="E33" i="105"/>
  <c r="G32" i="105"/>
  <c r="E32" i="105"/>
  <c r="G30" i="105"/>
  <c r="E30" i="105"/>
  <c r="G29" i="105"/>
  <c r="E29" i="105"/>
  <c r="G28" i="105"/>
  <c r="E28" i="105"/>
  <c r="F11" i="93"/>
  <c r="K30" i="42"/>
  <c r="K29" i="42"/>
  <c r="F142" i="25" s="1"/>
  <c r="H142" i="25" s="1"/>
  <c r="K28" i="42"/>
  <c r="F196" i="25" l="1"/>
  <c r="H196" i="25" s="1"/>
  <c r="F165" i="25"/>
  <c r="H165" i="25" s="1"/>
  <c r="M12" i="135"/>
  <c r="I45" i="139"/>
  <c r="I45" i="120"/>
  <c r="K11" i="131"/>
  <c r="K15" i="133"/>
  <c r="K19" i="127"/>
  <c r="K12" i="134"/>
  <c r="F126" i="25"/>
  <c r="H126" i="25" s="1"/>
  <c r="H128" i="25" s="1"/>
  <c r="H143" i="25"/>
  <c r="D10" i="140"/>
  <c r="H10" i="140" s="1"/>
  <c r="H72" i="140" s="1"/>
  <c r="H74" i="140" s="1"/>
  <c r="D9" i="140"/>
  <c r="N9" i="140" s="1"/>
  <c r="J21" i="42"/>
  <c r="O21" i="42" s="1"/>
  <c r="J20" i="42"/>
  <c r="O20" i="42" s="1"/>
  <c r="C19" i="42"/>
  <c r="J19" i="42"/>
  <c r="O19" i="42" s="1"/>
  <c r="J18" i="42"/>
  <c r="O18" i="42" s="1"/>
  <c r="J17" i="42"/>
  <c r="O17" i="42" s="1"/>
  <c r="F17" i="42"/>
  <c r="G17" i="42" s="1"/>
  <c r="C17" i="42"/>
  <c r="C20" i="42" s="1"/>
  <c r="G15" i="120" l="1"/>
  <c r="G15" i="139"/>
  <c r="M11" i="131"/>
  <c r="I54" i="139"/>
  <c r="I54" i="120"/>
  <c r="G16" i="120"/>
  <c r="G16" i="139"/>
  <c r="M12" i="134"/>
  <c r="I36" i="139"/>
  <c r="I36" i="120"/>
  <c r="N45" i="120"/>
  <c r="J45" i="120"/>
  <c r="D30" i="105"/>
  <c r="G14" i="120"/>
  <c r="G14" i="139"/>
  <c r="I18" i="139"/>
  <c r="I18" i="120"/>
  <c r="N18" i="120" s="1"/>
  <c r="E43" i="122"/>
  <c r="F43" i="122" s="1"/>
  <c r="E45" i="139"/>
  <c r="F45" i="139" s="1"/>
  <c r="J45" i="139"/>
  <c r="D29" i="105"/>
  <c r="G13" i="120"/>
  <c r="G13" i="139"/>
  <c r="M15" i="133"/>
  <c r="I27" i="139"/>
  <c r="I27" i="120"/>
  <c r="E16" i="100"/>
  <c r="D12" i="93"/>
  <c r="M19" i="127"/>
  <c r="F12" i="105"/>
  <c r="H144" i="25"/>
  <c r="H145" i="25" s="1"/>
  <c r="H146" i="25" s="1"/>
  <c r="K59" i="23" s="1"/>
  <c r="H131" i="25"/>
  <c r="K55" i="23" s="1"/>
  <c r="H129" i="25"/>
  <c r="H130" i="25" s="1"/>
  <c r="K17" i="42"/>
  <c r="D32" i="105"/>
  <c r="D11" i="93"/>
  <c r="N11" i="93" s="1"/>
  <c r="D8" i="140"/>
  <c r="N8" i="140" s="1"/>
  <c r="N72" i="140" s="1"/>
  <c r="N74" i="140" s="1"/>
  <c r="F20" i="42"/>
  <c r="G20" i="42" s="1"/>
  <c r="K20" i="42" s="1"/>
  <c r="J43" i="122" l="1"/>
  <c r="O43" i="123"/>
  <c r="C11" i="122"/>
  <c r="C11" i="123" s="1"/>
  <c r="C13" i="139"/>
  <c r="E16" i="122"/>
  <c r="F16" i="122" s="1"/>
  <c r="E18" i="139"/>
  <c r="F18" i="139" s="1"/>
  <c r="J18" i="139"/>
  <c r="K45" i="120"/>
  <c r="L45" i="120"/>
  <c r="E52" i="122"/>
  <c r="F52" i="122" s="1"/>
  <c r="E54" i="139"/>
  <c r="F54" i="139" s="1"/>
  <c r="J54" i="139"/>
  <c r="C12" i="122"/>
  <c r="C12" i="123" s="1"/>
  <c r="C14" i="139"/>
  <c r="F29" i="105"/>
  <c r="H29" i="105" s="1"/>
  <c r="I13" i="139"/>
  <c r="I13" i="120"/>
  <c r="N13" i="120" s="1"/>
  <c r="E25" i="122"/>
  <c r="F25" i="122" s="1"/>
  <c r="E27" i="139"/>
  <c r="F27" i="139" s="1"/>
  <c r="J27" i="139"/>
  <c r="N45" i="139"/>
  <c r="N36" i="120"/>
  <c r="J36" i="120"/>
  <c r="C13" i="122"/>
  <c r="C13" i="123" s="1"/>
  <c r="C15" i="139"/>
  <c r="G12" i="139"/>
  <c r="G12" i="120"/>
  <c r="N27" i="120"/>
  <c r="J27" i="120"/>
  <c r="C16" i="139"/>
  <c r="C14" i="122"/>
  <c r="C14" i="123" s="1"/>
  <c r="L14" i="123" s="1"/>
  <c r="F30" i="105"/>
  <c r="H30" i="105" s="1"/>
  <c r="I14" i="139"/>
  <c r="J14" i="139" s="1"/>
  <c r="I14" i="120"/>
  <c r="N14" i="120" s="1"/>
  <c r="K45" i="139"/>
  <c r="L45" i="139"/>
  <c r="E34" i="122"/>
  <c r="F34" i="122" s="1"/>
  <c r="E36" i="139"/>
  <c r="F36" i="139" s="1"/>
  <c r="J36" i="139"/>
  <c r="N54" i="120"/>
  <c r="J54" i="120"/>
  <c r="M59" i="23"/>
  <c r="M55" i="23"/>
  <c r="D9" i="93"/>
  <c r="N9" i="93" s="1"/>
  <c r="D28" i="105"/>
  <c r="J13" i="120" l="1"/>
  <c r="K13" i="120" s="1"/>
  <c r="N77" i="93"/>
  <c r="D16" i="112"/>
  <c r="M16" i="112" s="1"/>
  <c r="H16" i="112" s="1"/>
  <c r="P10" i="123"/>
  <c r="N27" i="139"/>
  <c r="J14" i="120"/>
  <c r="K14" i="120" s="1"/>
  <c r="N18" i="139"/>
  <c r="J16" i="122"/>
  <c r="O16" i="123"/>
  <c r="J25" i="122"/>
  <c r="O25" i="123"/>
  <c r="J34" i="122"/>
  <c r="O34" i="123"/>
  <c r="J52" i="122"/>
  <c r="O52" i="123"/>
  <c r="C12" i="139"/>
  <c r="C10" i="122"/>
  <c r="C10" i="123" s="1"/>
  <c r="K27" i="120"/>
  <c r="L27" i="120"/>
  <c r="K27" i="139"/>
  <c r="L27" i="139"/>
  <c r="L54" i="120"/>
  <c r="K54" i="120"/>
  <c r="E11" i="122"/>
  <c r="E13" i="139"/>
  <c r="N13" i="139" s="1"/>
  <c r="N54" i="139"/>
  <c r="J13" i="139"/>
  <c r="K36" i="139"/>
  <c r="L36" i="139"/>
  <c r="L36" i="120"/>
  <c r="K36" i="120"/>
  <c r="K18" i="139"/>
  <c r="L18" i="139"/>
  <c r="N36" i="139"/>
  <c r="E12" i="122"/>
  <c r="E14" i="139"/>
  <c r="F14" i="139" s="1"/>
  <c r="K54" i="139"/>
  <c r="L54" i="139"/>
  <c r="A2" i="112"/>
  <c r="L13" i="120" l="1"/>
  <c r="L14" i="120"/>
  <c r="F13" i="139"/>
  <c r="K13" i="139" s="1"/>
  <c r="H13" i="116"/>
  <c r="K14" i="139"/>
  <c r="L14" i="139"/>
  <c r="N14" i="139"/>
  <c r="D2" i="111"/>
  <c r="D3" i="111"/>
  <c r="H7" i="105"/>
  <c r="H10" i="105"/>
  <c r="K26" i="42"/>
  <c r="R18" i="123"/>
  <c r="R41" i="123" l="1"/>
  <c r="R29" i="123"/>
  <c r="R50" i="123"/>
  <c r="R32" i="123"/>
  <c r="R47" i="123"/>
  <c r="R38" i="123"/>
  <c r="R35" i="123"/>
  <c r="R28" i="123"/>
  <c r="R44" i="123"/>
  <c r="R37" i="123"/>
  <c r="R46" i="123"/>
  <c r="R26" i="123"/>
  <c r="R20" i="123"/>
  <c r="R17" i="123"/>
  <c r="R53" i="123"/>
  <c r="L13" i="139"/>
  <c r="F43" i="136"/>
  <c r="G43" i="136" s="1"/>
  <c r="F20" i="136"/>
  <c r="G20" i="136" s="1"/>
  <c r="F210" i="126"/>
  <c r="F177" i="126"/>
  <c r="F119" i="126"/>
  <c r="H119" i="126" s="1"/>
  <c r="F43" i="126"/>
  <c r="H43" i="126" s="1"/>
  <c r="F60" i="126"/>
  <c r="H60" i="126" s="1"/>
  <c r="F99" i="126"/>
  <c r="H99" i="126" s="1"/>
  <c r="F79" i="126"/>
  <c r="H79" i="126" s="1"/>
  <c r="F159" i="126"/>
  <c r="I3" i="122"/>
  <c r="A2" i="122"/>
  <c r="H177" i="126" l="1"/>
  <c r="I177" i="126"/>
  <c r="I210" i="126"/>
  <c r="H210" i="126"/>
  <c r="H159" i="126"/>
  <c r="I159" i="126"/>
  <c r="H77" i="120"/>
  <c r="H76" i="120"/>
  <c r="K78" i="120"/>
  <c r="K77" i="120"/>
  <c r="K76" i="120"/>
  <c r="K70" i="120"/>
  <c r="L70" i="120"/>
  <c r="N70" i="120"/>
  <c r="F24" i="120"/>
  <c r="F21" i="120"/>
  <c r="F19" i="120"/>
  <c r="F18" i="120"/>
  <c r="K3" i="120"/>
  <c r="A2" i="120"/>
  <c r="H70" i="122"/>
  <c r="I67" i="122"/>
  <c r="F25" i="120"/>
  <c r="F11" i="120"/>
  <c r="F10" i="120"/>
  <c r="F7" i="120"/>
  <c r="I10" i="122" l="1"/>
  <c r="I60" i="122"/>
  <c r="C60" i="123" s="1"/>
  <c r="I65" i="122"/>
  <c r="F71" i="120"/>
  <c r="I66" i="122" l="1"/>
  <c r="J66" i="122"/>
  <c r="I19" i="23" l="1"/>
  <c r="O18" i="23"/>
  <c r="N18" i="23"/>
  <c r="I11" i="122" l="1"/>
  <c r="I6" i="122" l="1"/>
  <c r="I8" i="122"/>
  <c r="I13" i="122"/>
  <c r="I64" i="122"/>
  <c r="L63" i="123"/>
  <c r="I14" i="122"/>
  <c r="K31" i="42"/>
  <c r="F160" i="126" s="1"/>
  <c r="H160" i="126" s="1"/>
  <c r="G19" i="123" l="1"/>
  <c r="R19" i="123" s="1"/>
  <c r="I19" i="123"/>
  <c r="J19" i="123"/>
  <c r="H19" i="123"/>
  <c r="I12" i="122"/>
  <c r="N79" i="93"/>
  <c r="K27" i="42"/>
  <c r="F140" i="126" l="1"/>
  <c r="H140" i="126" s="1"/>
  <c r="H145" i="126" s="1"/>
  <c r="H146" i="126" s="1"/>
  <c r="H147" i="126" s="1"/>
  <c r="K40" i="134" s="1"/>
  <c r="F106" i="136"/>
  <c r="G106" i="136" s="1"/>
  <c r="G111" i="136" s="1"/>
  <c r="G112" i="136" s="1"/>
  <c r="F120" i="136" s="1"/>
  <c r="K46" i="127" l="1"/>
  <c r="I23" i="120" s="1"/>
  <c r="K52" i="133"/>
  <c r="M52" i="133" s="1"/>
  <c r="K40" i="135"/>
  <c r="M40" i="135" s="1"/>
  <c r="M40" i="134"/>
  <c r="I41" i="139"/>
  <c r="I41" i="120"/>
  <c r="G120" i="136"/>
  <c r="F144" i="136"/>
  <c r="G144" i="136" s="1"/>
  <c r="M21" i="23"/>
  <c r="H12" i="105"/>
  <c r="J25" i="112"/>
  <c r="J24" i="112"/>
  <c r="J23" i="112"/>
  <c r="E13" i="112"/>
  <c r="K5" i="112"/>
  <c r="E49" i="107"/>
  <c r="E48" i="107"/>
  <c r="E47" i="107"/>
  <c r="H25" i="110"/>
  <c r="H24" i="110"/>
  <c r="H23" i="110"/>
  <c r="C2" i="110"/>
  <c r="C1" i="110"/>
  <c r="I50" i="139" l="1"/>
  <c r="E48" i="122" s="1"/>
  <c r="F48" i="122" s="1"/>
  <c r="J48" i="122" s="1"/>
  <c r="O48" i="123" s="1"/>
  <c r="I32" i="139"/>
  <c r="J32" i="139" s="1"/>
  <c r="I23" i="139"/>
  <c r="J23" i="139" s="1"/>
  <c r="F20" i="105"/>
  <c r="H20" i="105" s="1"/>
  <c r="M46" i="127"/>
  <c r="I32" i="120"/>
  <c r="N32" i="120" s="1"/>
  <c r="I50" i="120"/>
  <c r="J50" i="120" s="1"/>
  <c r="N41" i="120"/>
  <c r="J41" i="120"/>
  <c r="E39" i="122"/>
  <c r="F39" i="122" s="1"/>
  <c r="J39" i="122" s="1"/>
  <c r="O39" i="123" s="1"/>
  <c r="E41" i="139"/>
  <c r="F41" i="139" s="1"/>
  <c r="J41" i="139"/>
  <c r="E50" i="139"/>
  <c r="F50" i="139" s="1"/>
  <c r="E32" i="139"/>
  <c r="F32" i="139" s="1"/>
  <c r="N23" i="120"/>
  <c r="J23" i="120"/>
  <c r="J18" i="120"/>
  <c r="F6" i="122"/>
  <c r="O6" i="123" s="1"/>
  <c r="F10" i="100"/>
  <c r="F18" i="107" s="1"/>
  <c r="J32" i="120" l="1"/>
  <c r="L32" i="120" s="1"/>
  <c r="J50" i="139"/>
  <c r="L50" i="139" s="1"/>
  <c r="E30" i="122"/>
  <c r="F30" i="122" s="1"/>
  <c r="J30" i="122" s="1"/>
  <c r="O30" i="123" s="1"/>
  <c r="E23" i="139"/>
  <c r="F23" i="139" s="1"/>
  <c r="L23" i="139" s="1"/>
  <c r="E21" i="122"/>
  <c r="F21" i="122" s="1"/>
  <c r="J21" i="122" s="1"/>
  <c r="O21" i="123" s="1"/>
  <c r="N50" i="120"/>
  <c r="N50" i="139"/>
  <c r="N41" i="139"/>
  <c r="N32" i="139"/>
  <c r="K23" i="120"/>
  <c r="L23" i="120"/>
  <c r="K41" i="139"/>
  <c r="L41" i="139"/>
  <c r="L18" i="120"/>
  <c r="K18" i="120"/>
  <c r="K32" i="139"/>
  <c r="L32" i="139"/>
  <c r="L50" i="120"/>
  <c r="K50" i="120"/>
  <c r="K41" i="120"/>
  <c r="L41" i="120"/>
  <c r="K50" i="139"/>
  <c r="K32" i="120"/>
  <c r="J6" i="122"/>
  <c r="B4" i="107"/>
  <c r="E9" i="106"/>
  <c r="E10" i="107" s="1"/>
  <c r="E8" i="106"/>
  <c r="E2" i="107" s="1"/>
  <c r="B3" i="112" s="1"/>
  <c r="E7" i="106"/>
  <c r="B1" i="117"/>
  <c r="G1" i="117" s="1"/>
  <c r="E16" i="116"/>
  <c r="E19" i="116" s="1"/>
  <c r="C8" i="116"/>
  <c r="H8" i="116" s="1"/>
  <c r="B2" i="117"/>
  <c r="G2" i="117" s="1"/>
  <c r="E24" i="112"/>
  <c r="E23" i="112"/>
  <c r="E18" i="112"/>
  <c r="E17" i="112"/>
  <c r="E15" i="112"/>
  <c r="E14" i="112"/>
  <c r="E12" i="112"/>
  <c r="E11" i="112"/>
  <c r="E10" i="112"/>
  <c r="M7" i="112"/>
  <c r="B5" i="112"/>
  <c r="C3" i="110"/>
  <c r="K42" i="107"/>
  <c r="L38" i="107"/>
  <c r="H39" i="107" s="1"/>
  <c r="D34" i="107"/>
  <c r="D33" i="107"/>
  <c r="D31" i="107"/>
  <c r="D28" i="107"/>
  <c r="J10" i="112"/>
  <c r="B5" i="107"/>
  <c r="H4" i="106"/>
  <c r="K23" i="139" l="1"/>
  <c r="N23" i="139"/>
  <c r="J16" i="42"/>
  <c r="F12" i="100" s="1"/>
  <c r="F20" i="107" s="1"/>
  <c r="O16" i="42" l="1"/>
  <c r="K18" i="93" l="1"/>
  <c r="I19" i="93" l="1"/>
  <c r="I7" i="122" l="1"/>
  <c r="B23" i="107"/>
  <c r="D23" i="107" s="1"/>
  <c r="D17" i="112" s="1"/>
  <c r="M17" i="112" s="1"/>
  <c r="H17" i="112" s="1"/>
  <c r="L65" i="123"/>
  <c r="L66" i="123" s="1"/>
  <c r="O20" i="93"/>
  <c r="H4" i="114" l="1"/>
  <c r="K17" i="123"/>
  <c r="H17" i="123"/>
  <c r="K20" i="93"/>
  <c r="K77" i="93" s="1"/>
  <c r="L21" i="93" l="1"/>
  <c r="H63" i="123"/>
  <c r="K79" i="93"/>
  <c r="E12" i="100"/>
  <c r="I23" i="93"/>
  <c r="M22" i="93"/>
  <c r="G12" i="100" l="1"/>
  <c r="H65" i="123"/>
  <c r="H66" i="123" s="1"/>
  <c r="B20" i="107"/>
  <c r="D20" i="107" s="1"/>
  <c r="D13" i="112" s="1"/>
  <c r="M13" i="112" s="1"/>
  <c r="H13" i="112" s="1"/>
  <c r="H12" i="116" s="1"/>
  <c r="I8" i="23"/>
  <c r="F31" i="107"/>
  <c r="H31" i="107" s="1"/>
  <c r="I31" i="107" s="1"/>
  <c r="F11" i="100"/>
  <c r="F19" i="107" s="1"/>
  <c r="C53" i="105"/>
  <c r="C52" i="105"/>
  <c r="H36" i="105"/>
  <c r="G21" i="100" s="1"/>
  <c r="F30" i="107" s="1"/>
  <c r="H30" i="107" s="1"/>
  <c r="I30" i="107" s="1"/>
  <c r="G27" i="105"/>
  <c r="E27" i="105"/>
  <c r="G53" i="105"/>
  <c r="G52" i="105"/>
  <c r="I26" i="105"/>
  <c r="G7" i="139" l="1"/>
  <c r="J7" i="139" s="1"/>
  <c r="F8" i="105"/>
  <c r="I7" i="120"/>
  <c r="N7" i="120" s="1"/>
  <c r="H20" i="107"/>
  <c r="I20" i="107" s="1"/>
  <c r="H3" i="105"/>
  <c r="A2" i="105"/>
  <c r="C7" i="139" l="1"/>
  <c r="F7" i="139" s="1"/>
  <c r="K7" i="139" s="1"/>
  <c r="C5" i="122"/>
  <c r="D8" i="105"/>
  <c r="H8" i="105" s="1"/>
  <c r="G7" i="120"/>
  <c r="J7" i="120" s="1"/>
  <c r="L7" i="120" s="1"/>
  <c r="M10" i="23"/>
  <c r="G43" i="19"/>
  <c r="G54" i="105"/>
  <c r="L7" i="139" l="1"/>
  <c r="H17" i="107"/>
  <c r="E65" i="123"/>
  <c r="F5" i="122"/>
  <c r="E5" i="123" s="1"/>
  <c r="K7" i="120"/>
  <c r="C5" i="123"/>
  <c r="I5" i="122"/>
  <c r="J5" i="122" l="1"/>
  <c r="J65" i="122"/>
  <c r="E63" i="123"/>
  <c r="H34" i="25" l="1"/>
  <c r="H33" i="25"/>
  <c r="H79" i="25"/>
  <c r="H35" i="25" l="1"/>
  <c r="H36" i="25" l="1"/>
  <c r="H37" i="25" s="1"/>
  <c r="H38" i="25" s="1"/>
  <c r="K33" i="23" s="1"/>
  <c r="L19" i="101"/>
  <c r="H20" i="101" s="1"/>
  <c r="M33" i="23" l="1"/>
  <c r="I10" i="139"/>
  <c r="I10" i="120"/>
  <c r="N10" i="120" s="1"/>
  <c r="F26" i="105"/>
  <c r="M3" i="23"/>
  <c r="E8" i="122" l="1"/>
  <c r="E10" i="139"/>
  <c r="F10" i="139" s="1"/>
  <c r="J10" i="139"/>
  <c r="G12" i="42"/>
  <c r="K10" i="139" l="1"/>
  <c r="L10" i="139"/>
  <c r="N10" i="139"/>
  <c r="H26" i="25"/>
  <c r="H25" i="25"/>
  <c r="H24" i="25"/>
  <c r="H27" i="25" l="1"/>
  <c r="C34" i="100"/>
  <c r="C33" i="100"/>
  <c r="F35" i="100"/>
  <c r="F34" i="100"/>
  <c r="F33" i="100"/>
  <c r="F8" i="100"/>
  <c r="A3" i="100"/>
  <c r="M91" i="93"/>
  <c r="M90" i="93"/>
  <c r="M89" i="93"/>
  <c r="I89" i="93"/>
  <c r="I90" i="93"/>
  <c r="H28" i="25" l="1"/>
  <c r="H29" i="25" s="1"/>
  <c r="H30" i="25" s="1"/>
  <c r="G9" i="42"/>
  <c r="M44" i="123" l="1"/>
  <c r="M35" i="123"/>
  <c r="M26" i="123"/>
  <c r="M53" i="123"/>
  <c r="M17" i="123"/>
  <c r="F15" i="101"/>
  <c r="F19" i="100"/>
  <c r="K9" i="42"/>
  <c r="H74" i="25"/>
  <c r="H75" i="25"/>
  <c r="H77" i="25"/>
  <c r="H78" i="25"/>
  <c r="F27" i="107" l="1"/>
  <c r="M29" i="123"/>
  <c r="M38" i="123"/>
  <c r="M47" i="123"/>
  <c r="M37" i="123"/>
  <c r="M41" i="123"/>
  <c r="M28" i="123"/>
  <c r="M32" i="123"/>
  <c r="M46" i="123"/>
  <c r="M50" i="123"/>
  <c r="M20" i="123"/>
  <c r="F176" i="126"/>
  <c r="H176" i="126" s="1"/>
  <c r="H179" i="126" s="1"/>
  <c r="H180" i="126" s="1"/>
  <c r="H181" i="126" s="1"/>
  <c r="H182" i="126" s="1"/>
  <c r="F44" i="136"/>
  <c r="G44" i="136" s="1"/>
  <c r="F21" i="136"/>
  <c r="G21" i="136" s="1"/>
  <c r="F209" i="126"/>
  <c r="F120" i="126"/>
  <c r="H120" i="126" s="1"/>
  <c r="F100" i="126"/>
  <c r="H100" i="126" s="1"/>
  <c r="F80" i="126"/>
  <c r="H80" i="126" s="1"/>
  <c r="F44" i="126"/>
  <c r="H44" i="126" s="1"/>
  <c r="F158" i="126"/>
  <c r="H158" i="126" s="1"/>
  <c r="H161" i="126" s="1"/>
  <c r="H162" i="126" s="1"/>
  <c r="H163" i="126" s="1"/>
  <c r="H164" i="126" s="1"/>
  <c r="K30" i="127" s="1"/>
  <c r="F61" i="126"/>
  <c r="H61" i="126" s="1"/>
  <c r="M19" i="123"/>
  <c r="J13" i="42"/>
  <c r="J12" i="42"/>
  <c r="K22" i="131" l="1"/>
  <c r="I56" i="139" s="1"/>
  <c r="I209" i="126"/>
  <c r="H209" i="126"/>
  <c r="K26" i="135"/>
  <c r="K26" i="134"/>
  <c r="K32" i="133"/>
  <c r="O13" i="42"/>
  <c r="F14" i="100"/>
  <c r="F22" i="107" s="1"/>
  <c r="O12" i="42"/>
  <c r="F13" i="100"/>
  <c r="F21" i="107" s="1"/>
  <c r="K12" i="42"/>
  <c r="M3" i="93"/>
  <c r="A2" i="93"/>
  <c r="M22" i="131" l="1"/>
  <c r="I56" i="120"/>
  <c r="N56" i="120" s="1"/>
  <c r="F21" i="105"/>
  <c r="F18" i="100" s="1"/>
  <c r="T26" i="123"/>
  <c r="T53" i="123"/>
  <c r="T44" i="123"/>
  <c r="T35" i="123"/>
  <c r="T29" i="123"/>
  <c r="T47" i="123"/>
  <c r="T38" i="123"/>
  <c r="T41" i="123"/>
  <c r="T32" i="123"/>
  <c r="T28" i="123"/>
  <c r="T50" i="123"/>
  <c r="T46" i="123"/>
  <c r="T37" i="123"/>
  <c r="T20" i="123"/>
  <c r="T19" i="123"/>
  <c r="F46" i="136"/>
  <c r="G46" i="136" s="1"/>
  <c r="F22" i="136"/>
  <c r="G22" i="136" s="1"/>
  <c r="F207" i="126"/>
  <c r="M32" i="133"/>
  <c r="I29" i="139"/>
  <c r="I29" i="120"/>
  <c r="J56" i="120"/>
  <c r="M26" i="135"/>
  <c r="I47" i="139"/>
  <c r="I47" i="120"/>
  <c r="M30" i="127"/>
  <c r="I20" i="139"/>
  <c r="I20" i="120"/>
  <c r="F22" i="105"/>
  <c r="F17" i="100" s="1"/>
  <c r="M26" i="134"/>
  <c r="I38" i="139"/>
  <c r="I38" i="120"/>
  <c r="E54" i="122"/>
  <c r="F54" i="122" s="1"/>
  <c r="J54" i="122" s="1"/>
  <c r="N54" i="123" s="1"/>
  <c r="E56" i="139"/>
  <c r="F56" i="139" s="1"/>
  <c r="J56" i="139"/>
  <c r="F121" i="126"/>
  <c r="H121" i="126" s="1"/>
  <c r="F81" i="126"/>
  <c r="H81" i="126" s="1"/>
  <c r="F101" i="126"/>
  <c r="H101" i="126" s="1"/>
  <c r="F63" i="126"/>
  <c r="H63" i="126" s="1"/>
  <c r="D235" i="25"/>
  <c r="D234" i="25"/>
  <c r="E28" i="20"/>
  <c r="E27" i="20"/>
  <c r="G89" i="23"/>
  <c r="G88" i="23"/>
  <c r="H21" i="105" l="1"/>
  <c r="G18" i="100"/>
  <c r="F25" i="107"/>
  <c r="H25" i="107" s="1"/>
  <c r="I25" i="107" s="1"/>
  <c r="G17" i="100"/>
  <c r="F24" i="107"/>
  <c r="H24" i="107" s="1"/>
  <c r="I24" i="107" s="1"/>
  <c r="E27" i="122"/>
  <c r="F27" i="122" s="1"/>
  <c r="J27" i="122" s="1"/>
  <c r="N27" i="123" s="1"/>
  <c r="E29" i="139"/>
  <c r="F29" i="139" s="1"/>
  <c r="J29" i="139"/>
  <c r="K56" i="139"/>
  <c r="L56" i="139"/>
  <c r="N38" i="120"/>
  <c r="J38" i="120"/>
  <c r="K56" i="120"/>
  <c r="L56" i="120"/>
  <c r="E36" i="122"/>
  <c r="F36" i="122" s="1"/>
  <c r="J36" i="122" s="1"/>
  <c r="N36" i="123" s="1"/>
  <c r="E38" i="139"/>
  <c r="F38" i="139" s="1"/>
  <c r="J38" i="139"/>
  <c r="N47" i="120"/>
  <c r="J47" i="120"/>
  <c r="N20" i="120"/>
  <c r="J20" i="120"/>
  <c r="E45" i="122"/>
  <c r="F45" i="122" s="1"/>
  <c r="J45" i="122" s="1"/>
  <c r="N45" i="123" s="1"/>
  <c r="E47" i="139"/>
  <c r="F47" i="139" s="1"/>
  <c r="J47" i="139"/>
  <c r="N29" i="120"/>
  <c r="J29" i="120"/>
  <c r="I207" i="126"/>
  <c r="H207" i="126"/>
  <c r="N56" i="139"/>
  <c r="E18" i="122"/>
  <c r="F18" i="122" s="1"/>
  <c r="J18" i="122" s="1"/>
  <c r="N18" i="123" s="1"/>
  <c r="E20" i="139"/>
  <c r="F20" i="139" s="1"/>
  <c r="J20" i="139"/>
  <c r="C13" i="42"/>
  <c r="F13" i="42"/>
  <c r="F14" i="42" s="1"/>
  <c r="L90" i="23"/>
  <c r="L89" i="23"/>
  <c r="L88" i="23"/>
  <c r="G14" i="42" l="1"/>
  <c r="K14" i="42" s="1"/>
  <c r="F15" i="42"/>
  <c r="G15" i="42" s="1"/>
  <c r="K15" i="42" s="1"/>
  <c r="N65" i="123"/>
  <c r="C18" i="42"/>
  <c r="C21" i="42" s="1"/>
  <c r="C14" i="42"/>
  <c r="N47" i="139"/>
  <c r="N38" i="139"/>
  <c r="N63" i="123"/>
  <c r="K47" i="139"/>
  <c r="L47" i="139"/>
  <c r="L20" i="120"/>
  <c r="K20" i="120"/>
  <c r="K38" i="139"/>
  <c r="L38" i="139"/>
  <c r="N20" i="139"/>
  <c r="K20" i="139"/>
  <c r="L20" i="139"/>
  <c r="K29" i="120"/>
  <c r="L29" i="120"/>
  <c r="K47" i="120"/>
  <c r="L47" i="120"/>
  <c r="L38" i="120"/>
  <c r="K38" i="120"/>
  <c r="K29" i="139"/>
  <c r="L29" i="139"/>
  <c r="N29" i="139"/>
  <c r="F16" i="42"/>
  <c r="F19" i="42" s="1"/>
  <c r="G19" i="42" s="1"/>
  <c r="K19" i="42" s="1"/>
  <c r="F18" i="42"/>
  <c r="G13" i="42"/>
  <c r="K13" i="42" s="1"/>
  <c r="H29" i="20"/>
  <c r="L11" i="42" l="1"/>
  <c r="H173" i="25" s="1"/>
  <c r="L14" i="42"/>
  <c r="N66" i="123"/>
  <c r="U53" i="123"/>
  <c r="U44" i="123"/>
  <c r="U35" i="123"/>
  <c r="U26" i="123"/>
  <c r="U47" i="123"/>
  <c r="U29" i="123"/>
  <c r="U38" i="123"/>
  <c r="U32" i="123"/>
  <c r="U46" i="123"/>
  <c r="U28" i="123"/>
  <c r="U41" i="123"/>
  <c r="U50" i="123"/>
  <c r="U37" i="123"/>
  <c r="U20" i="123"/>
  <c r="U19" i="123"/>
  <c r="F23" i="136"/>
  <c r="G23" i="136" s="1"/>
  <c r="G30" i="136" s="1"/>
  <c r="G31" i="136" s="1"/>
  <c r="G32" i="136" s="1"/>
  <c r="F118" i="136" s="1"/>
  <c r="F47" i="136"/>
  <c r="G47" i="136" s="1"/>
  <c r="F208" i="126"/>
  <c r="F102" i="126"/>
  <c r="H102" i="126" s="1"/>
  <c r="H110" i="126" s="1"/>
  <c r="H111" i="126" s="1"/>
  <c r="H112" i="126" s="1"/>
  <c r="H113" i="126" s="1"/>
  <c r="H114" i="126" s="1"/>
  <c r="F64" i="126"/>
  <c r="H64" i="126" s="1"/>
  <c r="F122" i="126"/>
  <c r="H122" i="126" s="1"/>
  <c r="H131" i="126" s="1"/>
  <c r="H132" i="126" s="1"/>
  <c r="H133" i="126" s="1"/>
  <c r="H134" i="126" s="1"/>
  <c r="H135" i="126" s="1"/>
  <c r="F82" i="126"/>
  <c r="H82" i="126" s="1"/>
  <c r="H90" i="126" s="1"/>
  <c r="H91" i="126" s="1"/>
  <c r="H92" i="126" s="1"/>
  <c r="H93" i="126" s="1"/>
  <c r="H94" i="126" s="1"/>
  <c r="G18" i="42"/>
  <c r="K18" i="42" s="1"/>
  <c r="L18" i="42" s="1"/>
  <c r="F106" i="25" s="1"/>
  <c r="H106" i="25" s="1"/>
  <c r="F21" i="42"/>
  <c r="G21" i="42" s="1"/>
  <c r="K21" i="42" s="1"/>
  <c r="G236" i="25"/>
  <c r="J22" i="42"/>
  <c r="O22" i="42" s="1"/>
  <c r="J23" i="42"/>
  <c r="O23" i="42" s="1"/>
  <c r="G25" i="42"/>
  <c r="I208" i="126" l="1"/>
  <c r="H208" i="126"/>
  <c r="H216" i="126" s="1"/>
  <c r="H217" i="126" s="1"/>
  <c r="H218" i="126" s="1"/>
  <c r="H219" i="126" s="1"/>
  <c r="H220" i="126" s="1"/>
  <c r="F142" i="136"/>
  <c r="G142" i="136" s="1"/>
  <c r="G157" i="136" s="1"/>
  <c r="G158" i="136" s="1"/>
  <c r="G159" i="136" s="1"/>
  <c r="G160" i="136" s="1"/>
  <c r="K15" i="137" s="1"/>
  <c r="G118" i="136"/>
  <c r="G133" i="136" s="1"/>
  <c r="G134" i="136" s="1"/>
  <c r="G135" i="136" s="1"/>
  <c r="G136" i="136" s="1"/>
  <c r="K11" i="137" s="1"/>
  <c r="K36" i="134"/>
  <c r="K48" i="133"/>
  <c r="K36" i="135"/>
  <c r="K42" i="127"/>
  <c r="F204" i="25"/>
  <c r="H204" i="25" s="1"/>
  <c r="K25" i="42"/>
  <c r="N11" i="112"/>
  <c r="J11" i="112" s="1"/>
  <c r="H28" i="20"/>
  <c r="H27" i="20"/>
  <c r="G235" i="25"/>
  <c r="G234" i="25"/>
  <c r="G36" i="19"/>
  <c r="G40" i="19"/>
  <c r="H5" i="20"/>
  <c r="A4" i="20"/>
  <c r="G3" i="25"/>
  <c r="F3" i="25"/>
  <c r="D2" i="25"/>
  <c r="A2" i="25"/>
  <c r="C2" i="23"/>
  <c r="A2" i="23"/>
  <c r="H221" i="126" l="1"/>
  <c r="H223" i="126" s="1"/>
  <c r="K81" i="23" s="1"/>
  <c r="M81" i="23" s="1"/>
  <c r="M36" i="135"/>
  <c r="I49" i="139"/>
  <c r="I49" i="120"/>
  <c r="I59" i="139"/>
  <c r="I59" i="120"/>
  <c r="M15" i="137"/>
  <c r="F38" i="105"/>
  <c r="H38" i="105" s="1"/>
  <c r="I58" i="139"/>
  <c r="I58" i="120"/>
  <c r="F37" i="105"/>
  <c r="H37" i="105" s="1"/>
  <c r="M11" i="137"/>
  <c r="F224" i="25"/>
  <c r="H224" i="25" s="1"/>
  <c r="H225" i="25" s="1"/>
  <c r="F186" i="126"/>
  <c r="H186" i="126" s="1"/>
  <c r="H188" i="126" s="1"/>
  <c r="H189" i="126" s="1"/>
  <c r="M48" i="133"/>
  <c r="I31" i="139"/>
  <c r="I31" i="120"/>
  <c r="M42" i="127"/>
  <c r="I22" i="139"/>
  <c r="I22" i="120"/>
  <c r="F19" i="105"/>
  <c r="H19" i="105" s="1"/>
  <c r="M36" i="134"/>
  <c r="I40" i="139"/>
  <c r="I40" i="120"/>
  <c r="E57" i="122" l="1"/>
  <c r="F57" i="122" s="1"/>
  <c r="E59" i="139"/>
  <c r="F59" i="139" s="1"/>
  <c r="J59" i="139"/>
  <c r="N40" i="120"/>
  <c r="J40" i="120"/>
  <c r="N22" i="120"/>
  <c r="J22" i="120"/>
  <c r="E29" i="122"/>
  <c r="F29" i="122" s="1"/>
  <c r="J29" i="122" s="1"/>
  <c r="Q29" i="123" s="1"/>
  <c r="E31" i="139"/>
  <c r="F31" i="139" s="1"/>
  <c r="J31" i="139"/>
  <c r="N49" i="120"/>
  <c r="J49" i="120"/>
  <c r="N31" i="120"/>
  <c r="J31" i="120"/>
  <c r="E58" i="139"/>
  <c r="F58" i="139" s="1"/>
  <c r="E56" i="122"/>
  <c r="F56" i="122" s="1"/>
  <c r="J58" i="139"/>
  <c r="E38" i="122"/>
  <c r="F38" i="122" s="1"/>
  <c r="J38" i="122" s="1"/>
  <c r="Q38" i="123" s="1"/>
  <c r="E40" i="139"/>
  <c r="F40" i="139" s="1"/>
  <c r="J40" i="139"/>
  <c r="E20" i="122"/>
  <c r="F20" i="122" s="1"/>
  <c r="J20" i="122" s="1"/>
  <c r="Q20" i="123" s="1"/>
  <c r="E22" i="139"/>
  <c r="F22" i="139" s="1"/>
  <c r="J22" i="139"/>
  <c r="E47" i="122"/>
  <c r="F47" i="122" s="1"/>
  <c r="J47" i="122" s="1"/>
  <c r="Q47" i="123" s="1"/>
  <c r="E49" i="139"/>
  <c r="F49" i="139" s="1"/>
  <c r="J49" i="139"/>
  <c r="K50" i="127"/>
  <c r="K45" i="135"/>
  <c r="K45" i="134"/>
  <c r="K57" i="133"/>
  <c r="N58" i="120"/>
  <c r="J58" i="120"/>
  <c r="N59" i="120"/>
  <c r="J59" i="120"/>
  <c r="H226" i="25"/>
  <c r="H227" i="25" s="1"/>
  <c r="H228" i="25" s="1"/>
  <c r="H22" i="105"/>
  <c r="H24" i="105"/>
  <c r="K77" i="23" l="1"/>
  <c r="F16" i="100" s="1"/>
  <c r="F23" i="107" s="1"/>
  <c r="K43" i="23"/>
  <c r="M43" i="23" s="1"/>
  <c r="J57" i="122"/>
  <c r="O57" i="123"/>
  <c r="J56" i="122"/>
  <c r="O56" i="123"/>
  <c r="K22" i="139"/>
  <c r="L22" i="139"/>
  <c r="K31" i="120"/>
  <c r="L31" i="120"/>
  <c r="L59" i="139"/>
  <c r="K59" i="139"/>
  <c r="M45" i="134"/>
  <c r="I42" i="139"/>
  <c r="I42" i="120"/>
  <c r="L49" i="139"/>
  <c r="K49" i="139"/>
  <c r="K58" i="139"/>
  <c r="L58" i="139"/>
  <c r="K31" i="139"/>
  <c r="L31" i="139"/>
  <c r="K49" i="120"/>
  <c r="L49" i="120"/>
  <c r="L40" i="120"/>
  <c r="K40" i="120"/>
  <c r="K59" i="120"/>
  <c r="L59" i="120"/>
  <c r="M57" i="133"/>
  <c r="I33" i="139"/>
  <c r="I33" i="120"/>
  <c r="K40" i="139"/>
  <c r="L40" i="139"/>
  <c r="L22" i="120"/>
  <c r="K22" i="120"/>
  <c r="L58" i="120"/>
  <c r="K58" i="120"/>
  <c r="M45" i="135"/>
  <c r="I51" i="139"/>
  <c r="I51" i="120"/>
  <c r="I24" i="139"/>
  <c r="I24" i="120"/>
  <c r="N24" i="120" s="1"/>
  <c r="F25" i="105"/>
  <c r="H25" i="105" s="1"/>
  <c r="M50" i="127"/>
  <c r="N49" i="139"/>
  <c r="N22" i="139"/>
  <c r="N40" i="139"/>
  <c r="N58" i="139"/>
  <c r="N31" i="139"/>
  <c r="N59" i="139"/>
  <c r="F12" i="122"/>
  <c r="O12" i="123" s="1"/>
  <c r="H23" i="105"/>
  <c r="F11" i="122"/>
  <c r="O11" i="123" s="1"/>
  <c r="M77" i="23" l="1"/>
  <c r="I16" i="120"/>
  <c r="N16" i="120" s="1"/>
  <c r="F33" i="105"/>
  <c r="H33" i="105" s="1"/>
  <c r="I16" i="139"/>
  <c r="J16" i="139" s="1"/>
  <c r="E31" i="122"/>
  <c r="F31" i="122" s="1"/>
  <c r="J31" i="122" s="1"/>
  <c r="O31" i="123" s="1"/>
  <c r="E33" i="139"/>
  <c r="F33" i="139" s="1"/>
  <c r="J33" i="139"/>
  <c r="E49" i="122"/>
  <c r="F49" i="122" s="1"/>
  <c r="J49" i="122" s="1"/>
  <c r="O49" i="123" s="1"/>
  <c r="E51" i="139"/>
  <c r="F51" i="139" s="1"/>
  <c r="J51" i="139"/>
  <c r="N33" i="120"/>
  <c r="J33" i="120"/>
  <c r="E40" i="122"/>
  <c r="F40" i="122" s="1"/>
  <c r="J40" i="122" s="1"/>
  <c r="O40" i="123" s="1"/>
  <c r="E42" i="139"/>
  <c r="F42" i="139" s="1"/>
  <c r="J42" i="139"/>
  <c r="E22" i="122"/>
  <c r="F22" i="122" s="1"/>
  <c r="J22" i="122" s="1"/>
  <c r="O22" i="123" s="1"/>
  <c r="E24" i="139"/>
  <c r="F24" i="139" s="1"/>
  <c r="J24" i="139"/>
  <c r="N51" i="120"/>
  <c r="J51" i="120"/>
  <c r="N42" i="120"/>
  <c r="J42" i="120"/>
  <c r="J11" i="122"/>
  <c r="J12" i="122"/>
  <c r="N17" i="112"/>
  <c r="J17" i="112" s="1"/>
  <c r="K17" i="112" s="1"/>
  <c r="H23" i="107"/>
  <c r="I23" i="107" s="1"/>
  <c r="L17" i="112" s="1"/>
  <c r="N14" i="112"/>
  <c r="J14" i="112" s="1"/>
  <c r="F22" i="42"/>
  <c r="J16" i="120" l="1"/>
  <c r="K16" i="120" s="1"/>
  <c r="E14" i="122"/>
  <c r="F14" i="122" s="1"/>
  <c r="Q14" i="123" s="1"/>
  <c r="E16" i="139"/>
  <c r="F16" i="139" s="1"/>
  <c r="K16" i="139" s="1"/>
  <c r="N42" i="139"/>
  <c r="L24" i="139"/>
  <c r="K24" i="139"/>
  <c r="L42" i="120"/>
  <c r="K42" i="120"/>
  <c r="L51" i="139"/>
  <c r="K51" i="139"/>
  <c r="K33" i="120"/>
  <c r="L33" i="120"/>
  <c r="L33" i="139"/>
  <c r="K33" i="139"/>
  <c r="K51" i="120"/>
  <c r="L51" i="120"/>
  <c r="L42" i="139"/>
  <c r="K42" i="139"/>
  <c r="N24" i="139"/>
  <c r="N51" i="139"/>
  <c r="N33" i="139"/>
  <c r="P17" i="112"/>
  <c r="D2" i="114"/>
  <c r="N15" i="112"/>
  <c r="J15" i="112" s="1"/>
  <c r="I14" i="116"/>
  <c r="F23" i="42"/>
  <c r="G22" i="42"/>
  <c r="K22" i="42" s="1"/>
  <c r="L16" i="120" l="1"/>
  <c r="N16" i="139"/>
  <c r="J14" i="122"/>
  <c r="L16" i="139"/>
  <c r="F205" i="25"/>
  <c r="H205" i="25" s="1"/>
  <c r="H18" i="105"/>
  <c r="I15" i="116"/>
  <c r="F24" i="42"/>
  <c r="G24" i="42" s="1"/>
  <c r="G23" i="42"/>
  <c r="K23" i="42" l="1"/>
  <c r="P13" i="123"/>
  <c r="L16" i="112" s="1"/>
  <c r="N16" i="112" s="1"/>
  <c r="J16" i="112" s="1"/>
  <c r="K24" i="42"/>
  <c r="F83" i="25" s="1"/>
  <c r="H83" i="25" s="1"/>
  <c r="P14" i="123"/>
  <c r="J24" i="120"/>
  <c r="F82" i="25" l="1"/>
  <c r="H82" i="25" s="1"/>
  <c r="L23" i="42"/>
  <c r="F175" i="25" s="1"/>
  <c r="H175" i="25" s="1"/>
  <c r="H176" i="25" s="1"/>
  <c r="H177" i="25" s="1"/>
  <c r="H178" i="25" s="1"/>
  <c r="H179" i="25" s="1"/>
  <c r="K69" i="23" s="1"/>
  <c r="L22" i="42"/>
  <c r="F81" i="25" s="1"/>
  <c r="H81" i="25" s="1"/>
  <c r="F207" i="25"/>
  <c r="F208" i="25" s="1"/>
  <c r="H208" i="25" s="1"/>
  <c r="F108" i="25"/>
  <c r="H108" i="25" s="1"/>
  <c r="F206" i="25"/>
  <c r="H206" i="25" s="1"/>
  <c r="I13" i="116"/>
  <c r="K16" i="112"/>
  <c r="L19" i="42"/>
  <c r="F107" i="25" s="1"/>
  <c r="H107" i="25" s="1"/>
  <c r="H110" i="25" s="1"/>
  <c r="H111" i="25" s="1"/>
  <c r="H112" i="25" s="1"/>
  <c r="H113" i="25" s="1"/>
  <c r="K51" i="23" s="1"/>
  <c r="L24" i="120"/>
  <c r="K24" i="120"/>
  <c r="H207" i="25"/>
  <c r="M69" i="23" l="1"/>
  <c r="F31" i="105"/>
  <c r="H31" i="105" s="1"/>
  <c r="P16" i="112"/>
  <c r="J13" i="116"/>
  <c r="M51" i="23"/>
  <c r="I12" i="139"/>
  <c r="I12" i="120"/>
  <c r="H209" i="25"/>
  <c r="F28" i="105"/>
  <c r="H28" i="105" s="1"/>
  <c r="N12" i="120" l="1"/>
  <c r="J12" i="120"/>
  <c r="E12" i="139"/>
  <c r="F12" i="139" s="1"/>
  <c r="E10" i="122"/>
  <c r="F10" i="122" s="1"/>
  <c r="J12" i="139"/>
  <c r="H210" i="25"/>
  <c r="H211" i="25" s="1"/>
  <c r="H212" i="25" s="1"/>
  <c r="K73" i="23" s="1"/>
  <c r="H85" i="25"/>
  <c r="H86" i="25" s="1"/>
  <c r="H87" i="25" s="1"/>
  <c r="H88" i="25" s="1"/>
  <c r="K47" i="23" s="1"/>
  <c r="I11" i="139" s="1"/>
  <c r="J10" i="122" l="1"/>
  <c r="Q10" i="123"/>
  <c r="O10" i="123" s="1"/>
  <c r="I15" i="139"/>
  <c r="I15" i="120"/>
  <c r="N12" i="139"/>
  <c r="E9" i="122"/>
  <c r="E11" i="139"/>
  <c r="N11" i="139" s="1"/>
  <c r="K12" i="139"/>
  <c r="L12" i="139"/>
  <c r="L12" i="120"/>
  <c r="K12" i="120"/>
  <c r="F32" i="105"/>
  <c r="H32" i="105" s="1"/>
  <c r="M73" i="23"/>
  <c r="I11" i="120"/>
  <c r="N11" i="120" s="1"/>
  <c r="F27" i="105"/>
  <c r="F16" i="101"/>
  <c r="N15" i="120" l="1"/>
  <c r="J15" i="120"/>
  <c r="E13" i="122"/>
  <c r="F13" i="122" s="1"/>
  <c r="Q13" i="123" s="1"/>
  <c r="O13" i="123" s="1"/>
  <c r="E15" i="139"/>
  <c r="F15" i="139" s="1"/>
  <c r="J15" i="139"/>
  <c r="F15" i="100"/>
  <c r="F26" i="107" s="1"/>
  <c r="N12" i="112" s="1"/>
  <c r="J12" i="112" s="1"/>
  <c r="I17" i="116" s="1"/>
  <c r="N15" i="139" l="1"/>
  <c r="J13" i="122"/>
  <c r="K15" i="139"/>
  <c r="L15" i="139"/>
  <c r="K15" i="120"/>
  <c r="L15" i="120"/>
  <c r="K49" i="135"/>
  <c r="K49" i="134"/>
  <c r="K61" i="133"/>
  <c r="K55" i="127"/>
  <c r="F17" i="101"/>
  <c r="C22" i="42"/>
  <c r="C23" i="42" s="1"/>
  <c r="C24" i="42" s="1"/>
  <c r="M49" i="135" l="1"/>
  <c r="I52" i="139"/>
  <c r="I52" i="120"/>
  <c r="M55" i="127"/>
  <c r="I25" i="139"/>
  <c r="I25" i="120"/>
  <c r="N25" i="120" s="1"/>
  <c r="F34" i="105"/>
  <c r="M61" i="133"/>
  <c r="I34" i="139"/>
  <c r="I34" i="120"/>
  <c r="M49" i="134"/>
  <c r="I43" i="139"/>
  <c r="I43" i="120"/>
  <c r="B15" i="101"/>
  <c r="H15" i="101" s="1"/>
  <c r="G11" i="139" l="1"/>
  <c r="C9" i="122" s="1"/>
  <c r="C9" i="123" s="1"/>
  <c r="F9" i="123" s="1"/>
  <c r="D7" i="140"/>
  <c r="J7" i="140" s="1"/>
  <c r="J72" i="140" s="1"/>
  <c r="J74" i="140" s="1"/>
  <c r="H75" i="140" s="1"/>
  <c r="J75" i="140" s="1"/>
  <c r="N52" i="120"/>
  <c r="J52" i="120"/>
  <c r="E43" i="139"/>
  <c r="F43" i="139" s="1"/>
  <c r="E41" i="122"/>
  <c r="F41" i="122" s="1"/>
  <c r="J41" i="122" s="1"/>
  <c r="Q41" i="123" s="1"/>
  <c r="J43" i="139"/>
  <c r="N34" i="120"/>
  <c r="J34" i="120"/>
  <c r="E52" i="139"/>
  <c r="F52" i="139" s="1"/>
  <c r="E50" i="122"/>
  <c r="F50" i="122" s="1"/>
  <c r="J50" i="122" s="1"/>
  <c r="Q50" i="123" s="1"/>
  <c r="J52" i="139"/>
  <c r="N43" i="120"/>
  <c r="J43" i="120"/>
  <c r="E34" i="139"/>
  <c r="F34" i="139" s="1"/>
  <c r="E32" i="122"/>
  <c r="F32" i="122" s="1"/>
  <c r="J32" i="122" s="1"/>
  <c r="Q32" i="123" s="1"/>
  <c r="J34" i="139"/>
  <c r="E25" i="139"/>
  <c r="F25" i="139" s="1"/>
  <c r="E23" i="122"/>
  <c r="F23" i="122" s="1"/>
  <c r="J23" i="122" s="1"/>
  <c r="Q23" i="123" s="1"/>
  <c r="J25" i="139"/>
  <c r="G11" i="120"/>
  <c r="J11" i="120" s="1"/>
  <c r="J25" i="120"/>
  <c r="G16" i="100"/>
  <c r="H35" i="105"/>
  <c r="H12" i="93"/>
  <c r="H77" i="93" s="1"/>
  <c r="H34" i="105"/>
  <c r="O27" i="93"/>
  <c r="O77" i="93" s="1"/>
  <c r="B16" i="101"/>
  <c r="H16" i="101" s="1"/>
  <c r="M47" i="23"/>
  <c r="D27" i="105"/>
  <c r="D8" i="93"/>
  <c r="J8" i="93" s="1"/>
  <c r="J77" i="93" s="1"/>
  <c r="C11" i="139" l="1"/>
  <c r="F11" i="139" s="1"/>
  <c r="J11" i="139"/>
  <c r="N52" i="139"/>
  <c r="K52" i="139"/>
  <c r="L52" i="139"/>
  <c r="L34" i="120"/>
  <c r="K34" i="120"/>
  <c r="K11" i="120"/>
  <c r="L11" i="120"/>
  <c r="N25" i="139"/>
  <c r="N34" i="139"/>
  <c r="N43" i="139"/>
  <c r="I9" i="122"/>
  <c r="F9" i="122"/>
  <c r="J9" i="122" s="1"/>
  <c r="K25" i="120"/>
  <c r="L25" i="120"/>
  <c r="K25" i="139"/>
  <c r="L25" i="139"/>
  <c r="K34" i="139"/>
  <c r="L34" i="139"/>
  <c r="K43" i="120"/>
  <c r="L43" i="120"/>
  <c r="K43" i="139"/>
  <c r="L43" i="139"/>
  <c r="L52" i="120"/>
  <c r="K52" i="120"/>
  <c r="M83" i="23"/>
  <c r="M7" i="132" s="1"/>
  <c r="H26" i="105"/>
  <c r="J10" i="120"/>
  <c r="E66" i="123"/>
  <c r="B17" i="101"/>
  <c r="H17" i="101" s="1"/>
  <c r="H19" i="101" s="1"/>
  <c r="H21" i="101" s="1"/>
  <c r="I21" i="101" s="1"/>
  <c r="L27" i="93"/>
  <c r="L77" i="93" s="1"/>
  <c r="M28" i="93"/>
  <c r="M77" i="93" s="1"/>
  <c r="I29" i="93"/>
  <c r="H27" i="105"/>
  <c r="E15" i="100"/>
  <c r="F65" i="123" s="1"/>
  <c r="L11" i="139" l="1"/>
  <c r="K11" i="139"/>
  <c r="C69" i="123"/>
  <c r="G69" i="123" s="1"/>
  <c r="L10" i="120"/>
  <c r="K10" i="120"/>
  <c r="I77" i="93"/>
  <c r="E11" i="100" s="1"/>
  <c r="I63" i="122"/>
  <c r="I61" i="122"/>
  <c r="C61" i="123" s="1"/>
  <c r="F61" i="122"/>
  <c r="O61" i="123" s="1"/>
  <c r="I62" i="122"/>
  <c r="F63" i="123"/>
  <c r="F66" i="123" s="1"/>
  <c r="J79" i="93"/>
  <c r="H79" i="93"/>
  <c r="C70" i="123"/>
  <c r="G70" i="123" s="1"/>
  <c r="B17" i="107"/>
  <c r="D17" i="107" s="1"/>
  <c r="I17" i="107"/>
  <c r="K19" i="112" s="1"/>
  <c r="L19" i="112" s="1"/>
  <c r="P19" i="112" s="1"/>
  <c r="G15" i="100"/>
  <c r="B26" i="107"/>
  <c r="E10" i="100"/>
  <c r="G65" i="123" s="1"/>
  <c r="E13" i="100"/>
  <c r="L79" i="93"/>
  <c r="E14" i="100"/>
  <c r="J65" i="123" s="1"/>
  <c r="M79" i="93"/>
  <c r="H80" i="93" l="1"/>
  <c r="J61" i="122"/>
  <c r="K23" i="123"/>
  <c r="J23" i="123"/>
  <c r="R23" i="123"/>
  <c r="I23" i="123"/>
  <c r="T23" i="123" s="1"/>
  <c r="G71" i="123"/>
  <c r="I65" i="123"/>
  <c r="B19" i="107"/>
  <c r="H19" i="107" s="1"/>
  <c r="I19" i="107" s="1"/>
  <c r="K65" i="123"/>
  <c r="D26" i="107"/>
  <c r="D12" i="112" s="1"/>
  <c r="M12" i="112" s="1"/>
  <c r="H12" i="112" s="1"/>
  <c r="H26" i="107"/>
  <c r="I26" i="107" s="1"/>
  <c r="L12" i="112" s="1"/>
  <c r="G14" i="100"/>
  <c r="B22" i="107"/>
  <c r="G13" i="100"/>
  <c r="B21" i="107"/>
  <c r="G10" i="100"/>
  <c r="B18" i="107"/>
  <c r="G11" i="100"/>
  <c r="E19" i="100"/>
  <c r="H83" i="93" l="1"/>
  <c r="H82" i="93"/>
  <c r="J63" i="123"/>
  <c r="J66" i="123" s="1"/>
  <c r="U23" i="123"/>
  <c r="D19" i="107"/>
  <c r="D11" i="112" s="1"/>
  <c r="M11" i="112" s="1"/>
  <c r="H11" i="112" s="1"/>
  <c r="K11" i="112" s="1"/>
  <c r="G63" i="123"/>
  <c r="G66" i="123" s="1"/>
  <c r="K63" i="123"/>
  <c r="K66" i="123" s="1"/>
  <c r="M23" i="123"/>
  <c r="I63" i="123"/>
  <c r="I66" i="123" s="1"/>
  <c r="K12" i="112"/>
  <c r="H17" i="116"/>
  <c r="G19" i="100"/>
  <c r="M65" i="123" s="1"/>
  <c r="B27" i="107"/>
  <c r="H18" i="107"/>
  <c r="I18" i="107" s="1"/>
  <c r="L10" i="112" s="1"/>
  <c r="D18" i="107"/>
  <c r="D10" i="112" s="1"/>
  <c r="N10" i="112" s="1"/>
  <c r="H10" i="112" s="1"/>
  <c r="K10" i="112" s="1"/>
  <c r="D21" i="107"/>
  <c r="D14" i="112" s="1"/>
  <c r="H21" i="107"/>
  <c r="I21" i="107" s="1"/>
  <c r="D22" i="107"/>
  <c r="D15" i="112" s="1"/>
  <c r="H22" i="107"/>
  <c r="I22" i="107" s="1"/>
  <c r="G16" i="42"/>
  <c r="H84" i="93" l="1"/>
  <c r="J84" i="93" s="1"/>
  <c r="M15" i="132" s="1"/>
  <c r="J64" i="139" s="1"/>
  <c r="F62" i="122" s="1"/>
  <c r="J62" i="122" s="1"/>
  <c r="P49" i="123"/>
  <c r="P40" i="123"/>
  <c r="P31" i="123"/>
  <c r="P22" i="123"/>
  <c r="P54" i="123"/>
  <c r="P48" i="123"/>
  <c r="P45" i="123"/>
  <c r="P39" i="123"/>
  <c r="P36" i="123"/>
  <c r="P30" i="123"/>
  <c r="P27" i="123"/>
  <c r="P38" i="123"/>
  <c r="P29" i="123"/>
  <c r="P47" i="123"/>
  <c r="P28" i="123"/>
  <c r="P46" i="123"/>
  <c r="P50" i="123"/>
  <c r="P44" i="123"/>
  <c r="P32" i="123"/>
  <c r="P35" i="123"/>
  <c r="P41" i="123"/>
  <c r="P37" i="123"/>
  <c r="P26" i="123"/>
  <c r="P21" i="123"/>
  <c r="P20" i="123"/>
  <c r="O20" i="123" s="1"/>
  <c r="P53" i="123"/>
  <c r="P17" i="123"/>
  <c r="G20" i="100"/>
  <c r="H4" i="113"/>
  <c r="M63" i="123"/>
  <c r="M66" i="123" s="1"/>
  <c r="K16" i="42"/>
  <c r="N13" i="112" s="1"/>
  <c r="J13" i="112" s="1"/>
  <c r="P18" i="123"/>
  <c r="P19" i="123"/>
  <c r="P23" i="123"/>
  <c r="J17" i="116"/>
  <c r="P12" i="112"/>
  <c r="P10" i="112"/>
  <c r="M15" i="112"/>
  <c r="H15" i="112" s="1"/>
  <c r="L15" i="112"/>
  <c r="M14" i="112"/>
  <c r="H14" i="112" s="1"/>
  <c r="L14" i="112"/>
  <c r="D2" i="113"/>
  <c r="D27" i="107"/>
  <c r="H27" i="107"/>
  <c r="I27" i="107" s="1"/>
  <c r="L11" i="112" s="1"/>
  <c r="P11" i="112" s="1"/>
  <c r="J64" i="120" l="1"/>
  <c r="H43" i="105"/>
  <c r="G24" i="100" s="1"/>
  <c r="F34" i="107" s="1"/>
  <c r="H34" i="107" s="1"/>
  <c r="I34" i="107" s="1"/>
  <c r="F45" i="136"/>
  <c r="G45" i="136" s="1"/>
  <c r="G53" i="136" s="1"/>
  <c r="G54" i="136" s="1"/>
  <c r="G55" i="136" s="1"/>
  <c r="G56" i="136" s="1"/>
  <c r="G57" i="136" s="1"/>
  <c r="F213" i="136" s="1"/>
  <c r="G213" i="136" s="1"/>
  <c r="G224" i="136" s="1"/>
  <c r="G225" i="136" s="1"/>
  <c r="G226" i="136" s="1"/>
  <c r="G227" i="136" s="1"/>
  <c r="K27" i="137" s="1"/>
  <c r="S50" i="123"/>
  <c r="S41" i="123"/>
  <c r="O41" i="123" s="1"/>
  <c r="S29" i="123"/>
  <c r="O29" i="123" s="1"/>
  <c r="S23" i="123"/>
  <c r="O23" i="123" s="1"/>
  <c r="S47" i="123"/>
  <c r="O47" i="123" s="1"/>
  <c r="S38" i="123"/>
  <c r="O38" i="123" s="1"/>
  <c r="S32" i="123"/>
  <c r="O32" i="123" s="1"/>
  <c r="S44" i="123"/>
  <c r="S35" i="123"/>
  <c r="S37" i="123"/>
  <c r="S46" i="123"/>
  <c r="S28" i="123"/>
  <c r="S26" i="123"/>
  <c r="S53" i="123"/>
  <c r="S19" i="123"/>
  <c r="S17" i="123"/>
  <c r="O50" i="123"/>
  <c r="F62" i="126"/>
  <c r="H62" i="126" s="1"/>
  <c r="H70" i="126" s="1"/>
  <c r="F45" i="126"/>
  <c r="H45" i="126" s="1"/>
  <c r="H52" i="126" s="1"/>
  <c r="H53" i="126" s="1"/>
  <c r="H54" i="126" s="1"/>
  <c r="L13" i="112"/>
  <c r="P65" i="123"/>
  <c r="F28" i="107"/>
  <c r="H28" i="107" s="1"/>
  <c r="I28" i="107" s="1"/>
  <c r="P63" i="123"/>
  <c r="H14" i="116"/>
  <c r="K14" i="112"/>
  <c r="H15" i="116"/>
  <c r="K15" i="112"/>
  <c r="I12" i="116"/>
  <c r="K13" i="112"/>
  <c r="H71" i="126" l="1"/>
  <c r="H72" i="126" s="1"/>
  <c r="H73" i="126" s="1"/>
  <c r="H74" i="126" s="1"/>
  <c r="K64" i="120"/>
  <c r="L64" i="120"/>
  <c r="F64" i="139"/>
  <c r="F192" i="136"/>
  <c r="G192" i="136" s="1"/>
  <c r="G202" i="136" s="1"/>
  <c r="G203" i="136" s="1"/>
  <c r="G204" i="136" s="1"/>
  <c r="G205" i="136" s="1"/>
  <c r="K23" i="137" s="1"/>
  <c r="I61" i="139" s="1"/>
  <c r="F165" i="136"/>
  <c r="G165" i="136" s="1"/>
  <c r="G174" i="136" s="1"/>
  <c r="G182" i="136" s="1"/>
  <c r="G183" i="136" s="1"/>
  <c r="G184" i="136" s="1"/>
  <c r="K19" i="137" s="1"/>
  <c r="I60" i="139" s="1"/>
  <c r="I62" i="139"/>
  <c r="I62" i="120"/>
  <c r="M27" i="137"/>
  <c r="F41" i="105"/>
  <c r="H41" i="105" s="1"/>
  <c r="K22" i="134"/>
  <c r="K22" i="135"/>
  <c r="K27" i="133"/>
  <c r="K18" i="131"/>
  <c r="K26" i="127"/>
  <c r="P66" i="123"/>
  <c r="F8" i="122"/>
  <c r="O8" i="123" s="1"/>
  <c r="P15" i="112"/>
  <c r="J15" i="116"/>
  <c r="J14" i="116"/>
  <c r="P14" i="112"/>
  <c r="J12" i="116"/>
  <c r="P13" i="112"/>
  <c r="K32" i="135" l="1"/>
  <c r="K44" i="133"/>
  <c r="K32" i="134"/>
  <c r="I39" i="139" s="1"/>
  <c r="K37" i="127"/>
  <c r="I21" i="139" s="1"/>
  <c r="K64" i="139"/>
  <c r="L64" i="139"/>
  <c r="M23" i="137"/>
  <c r="F40" i="105"/>
  <c r="H40" i="105" s="1"/>
  <c r="F39" i="105"/>
  <c r="H39" i="105" s="1"/>
  <c r="I61" i="120"/>
  <c r="N61" i="120" s="1"/>
  <c r="I60" i="120"/>
  <c r="N60" i="120" s="1"/>
  <c r="M19" i="137"/>
  <c r="M22" i="134"/>
  <c r="I37" i="139"/>
  <c r="I37" i="120"/>
  <c r="M37" i="127"/>
  <c r="M27" i="133"/>
  <c r="I28" i="139"/>
  <c r="I28" i="120"/>
  <c r="M32" i="135"/>
  <c r="I48" i="139"/>
  <c r="I48" i="120"/>
  <c r="N62" i="120"/>
  <c r="J62" i="120"/>
  <c r="M18" i="131"/>
  <c r="M24" i="131" s="1"/>
  <c r="M12" i="132" s="1"/>
  <c r="I55" i="139"/>
  <c r="I55" i="120"/>
  <c r="M26" i="127"/>
  <c r="I19" i="139"/>
  <c r="I19" i="120"/>
  <c r="N19" i="120" s="1"/>
  <c r="F13" i="105"/>
  <c r="H13" i="105" s="1"/>
  <c r="M22" i="135"/>
  <c r="I46" i="139"/>
  <c r="I46" i="120"/>
  <c r="M44" i="133"/>
  <c r="I30" i="139"/>
  <c r="I30" i="120"/>
  <c r="E62" i="139"/>
  <c r="F62" i="139" s="1"/>
  <c r="E60" i="122"/>
  <c r="F60" i="122" s="1"/>
  <c r="O60" i="123" s="1"/>
  <c r="J62" i="139"/>
  <c r="E59" i="122"/>
  <c r="F59" i="122" s="1"/>
  <c r="E61" i="139"/>
  <c r="F61" i="139" s="1"/>
  <c r="J61" i="139"/>
  <c r="E58" i="122"/>
  <c r="F58" i="122" s="1"/>
  <c r="E60" i="139"/>
  <c r="F60" i="139" s="1"/>
  <c r="J60" i="139"/>
  <c r="J8" i="122"/>
  <c r="F7" i="122"/>
  <c r="J19" i="116"/>
  <c r="M32" i="134" l="1"/>
  <c r="I39" i="120"/>
  <c r="F14" i="105"/>
  <c r="H14" i="105" s="1"/>
  <c r="I21" i="120"/>
  <c r="N21" i="120" s="1"/>
  <c r="M61" i="127"/>
  <c r="M8" i="132" s="1"/>
  <c r="J19" i="120"/>
  <c r="K19" i="120" s="1"/>
  <c r="J61" i="120"/>
  <c r="K61" i="120" s="1"/>
  <c r="M33" i="137"/>
  <c r="M13" i="132" s="1"/>
  <c r="M51" i="135"/>
  <c r="M11" i="132" s="1"/>
  <c r="J60" i="120"/>
  <c r="K60" i="120" s="1"/>
  <c r="M63" i="133"/>
  <c r="M9" i="132" s="1"/>
  <c r="M51" i="134"/>
  <c r="M10" i="132" s="1"/>
  <c r="J59" i="122"/>
  <c r="O59" i="123"/>
  <c r="J58" i="122"/>
  <c r="O58" i="123"/>
  <c r="L61" i="139"/>
  <c r="K61" i="139"/>
  <c r="N30" i="120"/>
  <c r="J30" i="120"/>
  <c r="J60" i="122"/>
  <c r="E30" i="139"/>
  <c r="F30" i="139" s="1"/>
  <c r="E28" i="122"/>
  <c r="F28" i="122" s="1"/>
  <c r="J28" i="122" s="1"/>
  <c r="Q28" i="123" s="1"/>
  <c r="O28" i="123" s="1"/>
  <c r="J30" i="139"/>
  <c r="L62" i="120"/>
  <c r="K62" i="120"/>
  <c r="N39" i="120"/>
  <c r="J39" i="120"/>
  <c r="N37" i="120"/>
  <c r="J37" i="120"/>
  <c r="K60" i="139"/>
  <c r="L60" i="139"/>
  <c r="L62" i="139"/>
  <c r="K62" i="139"/>
  <c r="E44" i="122"/>
  <c r="F44" i="122" s="1"/>
  <c r="J44" i="122" s="1"/>
  <c r="Q44" i="123" s="1"/>
  <c r="O44" i="123" s="1"/>
  <c r="E46" i="139"/>
  <c r="F46" i="139" s="1"/>
  <c r="J46" i="139"/>
  <c r="E17" i="122"/>
  <c r="F17" i="122" s="1"/>
  <c r="J17" i="122" s="1"/>
  <c r="Q17" i="123" s="1"/>
  <c r="O17" i="123" s="1"/>
  <c r="E19" i="139"/>
  <c r="F19" i="139" s="1"/>
  <c r="J19" i="139"/>
  <c r="E48" i="139"/>
  <c r="F48" i="139" s="1"/>
  <c r="E46" i="122"/>
  <c r="F46" i="122" s="1"/>
  <c r="J46" i="122" s="1"/>
  <c r="Q46" i="123" s="1"/>
  <c r="O46" i="123" s="1"/>
  <c r="J48" i="139"/>
  <c r="N55" i="120"/>
  <c r="J55" i="120"/>
  <c r="N28" i="120"/>
  <c r="J28" i="120"/>
  <c r="E39" i="139"/>
  <c r="F39" i="139" s="1"/>
  <c r="E37" i="122"/>
  <c r="F37" i="122" s="1"/>
  <c r="J37" i="122" s="1"/>
  <c r="Q37" i="123" s="1"/>
  <c r="O37" i="123" s="1"/>
  <c r="J39" i="139"/>
  <c r="E21" i="139"/>
  <c r="F21" i="139" s="1"/>
  <c r="E19" i="122"/>
  <c r="F19" i="122" s="1"/>
  <c r="J19" i="122" s="1"/>
  <c r="Q19" i="123" s="1"/>
  <c r="O19" i="123" s="1"/>
  <c r="J21" i="139"/>
  <c r="E35" i="122"/>
  <c r="F35" i="122" s="1"/>
  <c r="J35" i="122" s="1"/>
  <c r="Q35" i="123" s="1"/>
  <c r="O35" i="123" s="1"/>
  <c r="E37" i="139"/>
  <c r="F37" i="139" s="1"/>
  <c r="J37" i="139"/>
  <c r="O7" i="123"/>
  <c r="N60" i="139"/>
  <c r="N61" i="139"/>
  <c r="N62" i="139"/>
  <c r="N46" i="120"/>
  <c r="J46" i="120"/>
  <c r="E53" i="122"/>
  <c r="F53" i="122" s="1"/>
  <c r="J53" i="122" s="1"/>
  <c r="Q53" i="123" s="1"/>
  <c r="O53" i="123" s="1"/>
  <c r="E55" i="139"/>
  <c r="F55" i="139" s="1"/>
  <c r="J55" i="139"/>
  <c r="N48" i="120"/>
  <c r="J48" i="120"/>
  <c r="E26" i="122"/>
  <c r="F26" i="122" s="1"/>
  <c r="J26" i="122" s="1"/>
  <c r="Q26" i="123" s="1"/>
  <c r="O26" i="123" s="1"/>
  <c r="E28" i="139"/>
  <c r="F28" i="139" s="1"/>
  <c r="J28" i="139"/>
  <c r="J7" i="122"/>
  <c r="J21" i="120" l="1"/>
  <c r="L60" i="120"/>
  <c r="L61" i="120"/>
  <c r="L19" i="120"/>
  <c r="N19" i="139"/>
  <c r="N46" i="139"/>
  <c r="M14" i="132"/>
  <c r="K17" i="132" s="1"/>
  <c r="M17" i="132" s="1"/>
  <c r="J65" i="120" s="1"/>
  <c r="K48" i="139"/>
  <c r="L48" i="139"/>
  <c r="K37" i="120"/>
  <c r="L37" i="120"/>
  <c r="N37" i="139"/>
  <c r="N21" i="139"/>
  <c r="N39" i="139"/>
  <c r="N30" i="139"/>
  <c r="L55" i="120"/>
  <c r="K55" i="120"/>
  <c r="L46" i="139"/>
  <c r="K46" i="139"/>
  <c r="L30" i="120"/>
  <c r="K30" i="120"/>
  <c r="N28" i="139"/>
  <c r="N55" i="139"/>
  <c r="L37" i="139"/>
  <c r="K37" i="139"/>
  <c r="L21" i="139"/>
  <c r="K21" i="139"/>
  <c r="L39" i="139"/>
  <c r="K39" i="139"/>
  <c r="L28" i="120"/>
  <c r="K28" i="120"/>
  <c r="K21" i="120"/>
  <c r="L21" i="120"/>
  <c r="L30" i="139"/>
  <c r="K30" i="139"/>
  <c r="L19" i="139"/>
  <c r="K19" i="139"/>
  <c r="K39" i="120"/>
  <c r="L39" i="120"/>
  <c r="L28" i="139"/>
  <c r="K28" i="139"/>
  <c r="K48" i="120"/>
  <c r="L48" i="120"/>
  <c r="L55" i="139"/>
  <c r="K55" i="139"/>
  <c r="L46" i="120"/>
  <c r="K46" i="120"/>
  <c r="N48" i="139"/>
  <c r="I5" i="100"/>
  <c r="H44" i="105" l="1"/>
  <c r="J65" i="139"/>
  <c r="F63" i="122" s="1"/>
  <c r="M16" i="132"/>
  <c r="K18" i="132" s="1"/>
  <c r="M18" i="132" s="1"/>
  <c r="J66" i="139" s="1"/>
  <c r="F65" i="139"/>
  <c r="K65" i="120"/>
  <c r="L65" i="120"/>
  <c r="G25" i="100" l="1"/>
  <c r="F33" i="107" s="1"/>
  <c r="H33" i="107" s="1"/>
  <c r="I33" i="107" s="1"/>
  <c r="H46" i="105"/>
  <c r="G22" i="100" s="1"/>
  <c r="F29" i="107" s="1"/>
  <c r="J66" i="120"/>
  <c r="L66" i="120" s="1"/>
  <c r="L65" i="139"/>
  <c r="O21" i="132"/>
  <c r="M21" i="132" s="1"/>
  <c r="K65" i="139"/>
  <c r="J63" i="122"/>
  <c r="O63" i="123"/>
  <c r="F64" i="122"/>
  <c r="J64" i="122" s="1"/>
  <c r="H47" i="105" l="1"/>
  <c r="H48" i="105" s="1"/>
  <c r="O17" i="127"/>
  <c r="N12" i="23"/>
  <c r="O23" i="23" s="1"/>
  <c r="H29" i="107"/>
  <c r="I29" i="107" s="1"/>
  <c r="F66" i="139"/>
  <c r="L66" i="139" s="1"/>
  <c r="K66" i="120"/>
  <c r="J69" i="120"/>
  <c r="F69" i="139" s="1"/>
  <c r="J69" i="139"/>
  <c r="J71" i="139" s="1"/>
  <c r="F72" i="139" s="1"/>
  <c r="H25" i="100"/>
  <c r="J71" i="120" l="1"/>
  <c r="F72" i="120" s="1"/>
  <c r="F73" i="120" s="1"/>
  <c r="L69" i="120"/>
  <c r="L71" i="120" s="1"/>
  <c r="F71" i="139"/>
  <c r="F73" i="139" s="1"/>
  <c r="K66" i="139"/>
  <c r="K69" i="120"/>
  <c r="K71" i="120" s="1"/>
  <c r="L72" i="120" s="1"/>
  <c r="F67" i="122"/>
  <c r="J67" i="122" s="1"/>
  <c r="J70" i="122" s="1"/>
  <c r="L69" i="139"/>
  <c r="L71" i="139" s="1"/>
  <c r="K69" i="139"/>
  <c r="K71" i="139" s="1"/>
  <c r="L72" i="139" s="1"/>
  <c r="M22" i="132"/>
  <c r="H26" i="100" l="1"/>
  <c r="G26" i="100" s="1"/>
  <c r="L73" i="120"/>
  <c r="F70" i="122"/>
  <c r="L73" i="139"/>
  <c r="O65" i="123" l="1"/>
  <c r="O66" i="123" s="1"/>
  <c r="F32" i="107"/>
  <c r="G29" i="100"/>
  <c r="H29" i="100" s="1"/>
  <c r="H32" i="107" l="1"/>
  <c r="H38" i="107" s="1"/>
  <c r="H40" i="107" s="1"/>
  <c r="M20" i="112" s="1"/>
  <c r="B32" i="107" l="1"/>
  <c r="D32" i="107" s="1"/>
  <c r="I32" i="107"/>
  <c r="L18" i="112" s="1"/>
  <c r="J18" i="112" s="1"/>
  <c r="K18" i="112" s="1"/>
  <c r="I38" i="107" l="1"/>
  <c r="L20" i="112"/>
  <c r="N20" i="112" s="1"/>
  <c r="D2" i="115"/>
  <c r="P18" i="112"/>
  <c r="K20" i="112"/>
  <c r="M21" i="112" l="1"/>
</calcChain>
</file>

<file path=xl/sharedStrings.xml><?xml version="1.0" encoding="utf-8"?>
<sst xmlns="http://schemas.openxmlformats.org/spreadsheetml/2006/main" count="4468" uniqueCount="1284">
  <si>
    <t>Sl. No.</t>
  </si>
  <si>
    <t>Name of the Material</t>
  </si>
  <si>
    <t>Name of the Quarry</t>
  </si>
  <si>
    <t>Unit</t>
  </si>
  <si>
    <t>Total</t>
  </si>
  <si>
    <t>Qty.</t>
  </si>
  <si>
    <t>Description of Tasks</t>
  </si>
  <si>
    <t>Rate.</t>
  </si>
  <si>
    <t>Per</t>
  </si>
  <si>
    <t>Amount.</t>
  </si>
  <si>
    <t>Cum</t>
  </si>
  <si>
    <t>Hrs</t>
  </si>
  <si>
    <t>Rate per 1.00 Cum</t>
  </si>
  <si>
    <t>cum</t>
  </si>
  <si>
    <t>Quantity</t>
  </si>
  <si>
    <t>Description of Item</t>
  </si>
  <si>
    <t>No.</t>
  </si>
  <si>
    <t>Measurements</t>
  </si>
  <si>
    <t>Rate</t>
  </si>
  <si>
    <t>Amount  Rs.</t>
  </si>
  <si>
    <t>L</t>
  </si>
  <si>
    <t>B</t>
  </si>
  <si>
    <t>D</t>
  </si>
  <si>
    <t>1Cum</t>
  </si>
  <si>
    <t>day</t>
  </si>
  <si>
    <t>Mazdoor(skilled)</t>
  </si>
  <si>
    <t>PANCHAYATI RAJ ENGINEERING DEPARTMENT</t>
  </si>
  <si>
    <t>:</t>
  </si>
  <si>
    <t>ESTIMATE COST</t>
  </si>
  <si>
    <t>NAME OF THE MANDAL</t>
  </si>
  <si>
    <t xml:space="preserve"> </t>
  </si>
  <si>
    <t>NAME OF SUB. DIVISION</t>
  </si>
  <si>
    <t>NAME OF THE DIVISION</t>
  </si>
  <si>
    <t>NAME OF THE CIRCLE</t>
  </si>
  <si>
    <t>Cement</t>
  </si>
  <si>
    <t>S.No</t>
  </si>
  <si>
    <t>Sl. No</t>
  </si>
  <si>
    <t>Labour</t>
  </si>
  <si>
    <t>Machinery</t>
  </si>
  <si>
    <t>Material</t>
  </si>
  <si>
    <t>Unit = cum</t>
  </si>
  <si>
    <t>Mason (1st class)</t>
  </si>
  <si>
    <t xml:space="preserve">Mazdoor (unskilled) </t>
  </si>
  <si>
    <t xml:space="preserve">Hour </t>
  </si>
  <si>
    <t>Water tanker 6 Kl. Capacity</t>
  </si>
  <si>
    <t>MT</t>
  </si>
  <si>
    <t>x</t>
  </si>
  <si>
    <t>As per Machinery</t>
  </si>
  <si>
    <t>Lead in KM</t>
  </si>
  <si>
    <t>Earth/Sand/Gravel</t>
  </si>
  <si>
    <t>Metal</t>
  </si>
  <si>
    <t>Initial lead Rete</t>
  </si>
  <si>
    <t>-</t>
  </si>
  <si>
    <t xml:space="preserve">NAME OF THE WORK: </t>
  </si>
  <si>
    <t>SPECIFICATION REPORT</t>
  </si>
  <si>
    <t>Estt. Rs.</t>
  </si>
  <si>
    <t>A)</t>
  </si>
  <si>
    <t>days</t>
  </si>
  <si>
    <t>1No</t>
  </si>
  <si>
    <t>Units</t>
  </si>
  <si>
    <t>No</t>
  </si>
  <si>
    <t>Sand</t>
  </si>
  <si>
    <t xml:space="preserve">Name of the work : </t>
  </si>
  <si>
    <t xml:space="preserve">Est. Cost Rs: </t>
  </si>
  <si>
    <t>Conveyance charges</t>
  </si>
  <si>
    <t>Initial cost</t>
  </si>
  <si>
    <t>Blastering charges</t>
  </si>
  <si>
    <t>25% HBG MC Charges</t>
  </si>
  <si>
    <t>1 Cum</t>
  </si>
  <si>
    <t>Certified that the above leads are correct to the best of my knowledge.</t>
  </si>
  <si>
    <t>Lead in Km</t>
  </si>
  <si>
    <t>1day</t>
  </si>
  <si>
    <t>Sand for Concrete</t>
  </si>
  <si>
    <t>2.36 mm &amp; Below HBG stone dust</t>
  </si>
  <si>
    <t>1 MT</t>
  </si>
  <si>
    <t>Taking output = 75cum (172.50 t)</t>
  </si>
  <si>
    <t>(100x3.75 x 0.200)</t>
  </si>
  <si>
    <t>Mason (2nd class)</t>
  </si>
  <si>
    <t>Mazdoor (semi-skilled)</t>
  </si>
  <si>
    <t>Concrete mixer 0.28/0.40 cum capacity ( 6 mixers) with weight batcher and suitable capacity calibrated water tank</t>
  </si>
  <si>
    <t>Pin vibrator</t>
  </si>
  <si>
    <t>Plate vibrator</t>
  </si>
  <si>
    <t>Crushed stone coarse aggregates, grading will be as per clause 1501.2.4.1 (Table 1500.1) of specifications @ 0.90 Cum/cum of concrete</t>
  </si>
  <si>
    <t>Sand as per IS:383 and conforming to clause 1500.2.4.2. @ 0.45 cum of concrete</t>
  </si>
  <si>
    <t>Sqm</t>
  </si>
  <si>
    <t xml:space="preserve"> Polythene sheet 125 micron</t>
  </si>
  <si>
    <t>1Sqm</t>
  </si>
  <si>
    <t>lt</t>
  </si>
  <si>
    <t>Litre</t>
  </si>
  <si>
    <t>Cost for 75 cum = a+b+c+d</t>
  </si>
  <si>
    <t>Mt</t>
  </si>
  <si>
    <t>Water for curing</t>
  </si>
  <si>
    <t xml:space="preserve">                             Specification Report to accompany the  estimate for the work "</t>
  </si>
  <si>
    <t>Est Rs.</t>
  </si>
  <si>
    <t>=</t>
  </si>
  <si>
    <t>Deputy Executive Engineer</t>
  </si>
  <si>
    <t>Granular sub base</t>
  </si>
  <si>
    <t xml:space="preserve">Total </t>
  </si>
  <si>
    <t>Or</t>
  </si>
  <si>
    <t>Assistant   Engineer</t>
  </si>
  <si>
    <t>Mandal Praja Parishad</t>
  </si>
  <si>
    <t>Plasticizer 0.5 % by weight of cement BMT-H.19</t>
  </si>
  <si>
    <t>Bituminous sealant 800 ml per joint for 23 joints</t>
  </si>
  <si>
    <t>Cement @ 330 Kg/cum of concrete</t>
  </si>
  <si>
    <t>CC Pavement M-20</t>
  </si>
  <si>
    <t>20mm HBG Metal</t>
  </si>
  <si>
    <t>12mm HBG Metal</t>
  </si>
  <si>
    <t>ONGOLE</t>
  </si>
  <si>
    <t>Local</t>
  </si>
  <si>
    <t>Joint filler board 20mm thick as per IS:1838  BMT-U.02</t>
  </si>
  <si>
    <t>Amount in Rs</t>
  </si>
  <si>
    <t>Construction of Granular Sub Base using well graded material, spreading in uniform layers with tractor  mounted grader on prepared surface , mixing by mix in place  method with   rotovator at OMC and compacting  with Smooth wheel roller  to achive the desired  density , Complete as per technical speficaction clause 401 of MORD</t>
  </si>
  <si>
    <t>Taking Output = 300 cum  (Compacted thickness)</t>
  </si>
  <si>
    <t>a) Labour:</t>
  </si>
  <si>
    <t>Mazdoor(Unskilled)</t>
  </si>
  <si>
    <t>b) Machinary:</t>
  </si>
  <si>
    <t>Water tanker 6kl Capacity</t>
  </si>
  <si>
    <t>Tractor with rotavator  @ 25 cum per hour</t>
  </si>
  <si>
    <t>c) Material:</t>
  </si>
  <si>
    <t>Rate per 300 Cum</t>
  </si>
  <si>
    <t>Rate per 1 Cum</t>
  </si>
  <si>
    <t>1Hour</t>
  </si>
  <si>
    <t>4.75 to 2.36mm HBG Chips (2.36-5mm)</t>
  </si>
  <si>
    <t>S No</t>
  </si>
  <si>
    <t>Task Name</t>
  </si>
  <si>
    <t>Task Code</t>
  </si>
  <si>
    <t>Qty</t>
  </si>
  <si>
    <t>Rate per Unit in Rs</t>
  </si>
  <si>
    <t>Es.Rs.</t>
  </si>
  <si>
    <t>Removal of unsuitable / Unservieeble soil including excavation loading and disposal upto 1000Mts lead but excluding compaction gravel supporting embankment subgrade replacement by suitable soil which shall be paid seperately as per clause 303.5.2 as per technical specification clause 303.3.11 MORD/ 301 MORTH (Average depth 100mm to 200mm)</t>
  </si>
  <si>
    <t>Taking output =360 Cum</t>
  </si>
  <si>
    <t>Mazdoor</t>
  </si>
  <si>
    <t>Exacavator</t>
  </si>
  <si>
    <t>Tipper</t>
  </si>
  <si>
    <t>Rate per 360.00 Cum</t>
  </si>
  <si>
    <t>Plain cement concrete for CC  pavement, thickness as per design, over a prepared sub base, with 43 grade cement or any other type as per Clause 1501.2.2 M20 (Grade), coarse and fine aggregates conforming to IS : 383, maximum in a concrete mixer of not less than 0.2 cum capacity and appropeiate weigh batcher using approved mix design, laid in approved fixed side formwork (steel channel, laying and fixing of 125 mictron thick polythene film, wedges, steel plates including levelling the formwork as per drawing), spreading the concrete with sholvels, rakes, compacted using needle, scareed and plate vibrators and finished in continuous operation including provision of contraction and expansion, construction joints, applying debonding strips, primer, sealant, dowel bars, near approaches to bridge / culvert and construction joints, admixtures as approved, curing of concrete slabs for 28- days, curing compound (where specified) and water finishing to lines and grade as per drawing  and Technical Specification Clause 1501 MORD</t>
  </si>
  <si>
    <t>SEIGNEORAGE STATEMENT</t>
  </si>
  <si>
    <t>CFMS Code</t>
  </si>
  <si>
    <t>MAT-00027</t>
  </si>
  <si>
    <t>MAT-00218</t>
  </si>
  <si>
    <t>MAT-00217</t>
  </si>
  <si>
    <t>MAT-00435</t>
  </si>
  <si>
    <t>MAT-00434</t>
  </si>
  <si>
    <t>MAT-00068</t>
  </si>
  <si>
    <t>MAT-00252</t>
  </si>
  <si>
    <t>MAT-00005</t>
  </si>
  <si>
    <t>Removal of unsuitable soil including excavation loading and disposal upto 1000Mts lead but excluding compaction gravel supporting embankment subgrade replacement by suitable soil which shall be paid seperately as per clause 303.5.2 as per technical specification clause 303.3.11 MORD/ 301 MORTH (Average depth 100mm to 200mm)</t>
  </si>
  <si>
    <t>LAB-00120</t>
  </si>
  <si>
    <t>HIR-00052</t>
  </si>
  <si>
    <t>HIR-00078</t>
  </si>
  <si>
    <t>HIR-00076</t>
  </si>
  <si>
    <t>MAT-00333</t>
  </si>
  <si>
    <t>LAB-00011</t>
  </si>
  <si>
    <t>LAB-00091</t>
  </si>
  <si>
    <t>HIR-00018</t>
  </si>
  <si>
    <t>HIR-00174</t>
  </si>
  <si>
    <t>HIR-00115</t>
  </si>
  <si>
    <t>MAT-00539</t>
  </si>
  <si>
    <t>MAT-00538</t>
  </si>
  <si>
    <t>MAT-01514</t>
  </si>
  <si>
    <t>Est.Rs.</t>
  </si>
  <si>
    <t>Bricks</t>
  </si>
  <si>
    <t>Provision QC charges @ 0.50%</t>
  </si>
  <si>
    <t xml:space="preserve">Rate per 1 Cum </t>
  </si>
  <si>
    <t>KANDUKUR</t>
  </si>
  <si>
    <t>Ramatherdham</t>
  </si>
  <si>
    <t>Kanigiri</t>
  </si>
  <si>
    <t>Selected earth</t>
  </si>
  <si>
    <t>CONTRACT CERTIFICATE</t>
  </si>
  <si>
    <r>
      <t>Name of the Contractor</t>
    </r>
    <r>
      <rPr>
        <sz val="10"/>
        <rFont val="Tahoma"/>
        <family val="2"/>
      </rPr>
      <t xml:space="preserve"> : </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</si>
  <si>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</si>
  <si>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</si>
  <si>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</si>
  <si>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</si>
  <si>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r>
      <t>Mandal</t>
    </r>
    <r>
      <rPr>
        <sz val="10"/>
        <rFont val="Tahoma"/>
        <family val="2"/>
      </rPr>
      <t xml:space="preserve"> : Kanigiri</t>
    </r>
  </si>
  <si>
    <t>Voucher No:</t>
  </si>
  <si>
    <t>Overseer's No.</t>
  </si>
  <si>
    <t>Authority Covering list No.</t>
  </si>
  <si>
    <t>Schedule No.</t>
  </si>
  <si>
    <t>Quantity executed or Supplied</t>
  </si>
  <si>
    <t>Description of Items.</t>
  </si>
  <si>
    <t>Rate in Rs.</t>
  </si>
  <si>
    <t>Amount</t>
  </si>
  <si>
    <t>Remarks</t>
  </si>
  <si>
    <t>Upto Date</t>
  </si>
  <si>
    <t>Since last certificate</t>
  </si>
  <si>
    <t>Upto Date in Rs.</t>
  </si>
  <si>
    <t>Since last certificate in Rs.</t>
  </si>
  <si>
    <t xml:space="preserve">Total value o work done or suplies made to date </t>
  </si>
  <si>
    <t xml:space="preserve">Deduct value of work supplies shown on last certificate. </t>
  </si>
  <si>
    <t>Net value of work/supplies since lst certificate</t>
  </si>
  <si>
    <t xml:space="preserve">Signature of Contractor </t>
  </si>
  <si>
    <t>Date…………..……2020</t>
  </si>
  <si>
    <t xml:space="preserve">Certificate that the proceeding claim is correct that the necessary measurements have been made by me on 200         and record on page ………………………………… ……………………….. and the work has been satisfactory performed </t>
  </si>
  <si>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</si>
  <si>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</si>
  <si>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</si>
  <si>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</si>
  <si>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Date………………2020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</si>
  <si>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</si>
  <si>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</si>
  <si>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</si>
  <si>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</si>
  <si>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</si>
  <si>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</si>
  <si>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</si>
  <si>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</si>
  <si>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</si>
  <si>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</si>
  <si>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</si>
  <si>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</si>
  <si>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</si>
  <si>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</si>
  <si>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</si>
  <si>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</si>
  <si>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</si>
  <si>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</si>
  <si>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</si>
  <si>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</si>
  <si>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</si>
  <si>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</si>
  <si>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</si>
  <si>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</si>
  <si>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</si>
  <si>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</si>
  <si>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</si>
  <si>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</si>
  <si>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</si>
  <si>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</si>
  <si>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</si>
  <si>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</si>
  <si>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</si>
  <si>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</si>
  <si>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</si>
  <si>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</si>
  <si>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</si>
  <si>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</si>
  <si>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</si>
  <si>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</si>
  <si>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</si>
  <si>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</si>
  <si>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</si>
  <si>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</si>
  <si>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</si>
  <si>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</si>
  <si>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</si>
  <si>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</si>
  <si>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</si>
  <si>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</si>
  <si>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</si>
  <si>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</si>
  <si>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</si>
  <si>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</si>
  <si>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</si>
  <si>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</si>
  <si>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</si>
  <si>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r>
      <t>Name of the work</t>
    </r>
    <r>
      <rPr>
        <sz val="10"/>
        <rFont val="Tahoma"/>
        <family val="2"/>
      </rPr>
      <t xml:space="preserve"> :Construction of internal CC road from Kasu Pakirreddy house to Poleramma gudi in Laddimallapuram GP of Kanigiri Mandal.</t>
    </r>
  </si>
  <si>
    <t>GP Grant</t>
  </si>
  <si>
    <r>
      <t xml:space="preserve">               Amount of estimate</t>
    </r>
    <r>
      <rPr>
        <sz val="10"/>
        <rFont val="Tahoma"/>
        <family val="2"/>
      </rPr>
      <t xml:space="preserve"> : </t>
    </r>
    <r>
      <rPr>
        <b/>
        <sz val="10"/>
        <rFont val="Tahoma"/>
        <family val="2"/>
      </rPr>
      <t>Rs. 1.43 Lakhs</t>
    </r>
  </si>
  <si>
    <t>MAT-05375</t>
  </si>
  <si>
    <t>Rate per 100 Sqm</t>
  </si>
  <si>
    <t>HIR--00062</t>
  </si>
  <si>
    <t>Scarifying existing granular surface to a depth of 50 mm and disposal of scarified material with a lift upto 3 m and leads upto 1000 m as per Technical Specification Clause 301.4. MORD</t>
  </si>
  <si>
    <t>Taking output = 100 sqm</t>
  </si>
  <si>
    <t>Tractor with trolley</t>
  </si>
  <si>
    <t>RBR-EECD-1 (i)</t>
  </si>
  <si>
    <t>Earth</t>
  </si>
  <si>
    <t>Provision GST  charges @ 18%</t>
  </si>
  <si>
    <t>HIR-00054</t>
  </si>
  <si>
    <t>5.00 Lakhs</t>
  </si>
  <si>
    <t>Name of the District:</t>
  </si>
  <si>
    <t>Prakasam</t>
  </si>
  <si>
    <t>Name of the Constituency</t>
  </si>
  <si>
    <t>Name of the Mandal</t>
  </si>
  <si>
    <t>Name of the GP / Habitation</t>
  </si>
  <si>
    <t>Name of the GP</t>
  </si>
  <si>
    <t>Name of the work</t>
  </si>
  <si>
    <t>Estimate ost in Rs.lakhs</t>
  </si>
  <si>
    <t>Bommireddipalli</t>
  </si>
  <si>
    <t>Guruvajipeta</t>
  </si>
  <si>
    <t>Punugodu</t>
  </si>
  <si>
    <t>China Alavalapadu</t>
  </si>
  <si>
    <t>Vangaadu</t>
  </si>
  <si>
    <t>Gosulaveedu</t>
  </si>
  <si>
    <t>Ballipalli</t>
  </si>
  <si>
    <t>Cheerladinne</t>
  </si>
  <si>
    <t>Gudipapdu</t>
  </si>
  <si>
    <t>Yeruvaripalli</t>
  </si>
  <si>
    <t>Chakirala</t>
  </si>
  <si>
    <t>Chinairlapadu</t>
  </si>
  <si>
    <t>Yadavalli</t>
  </si>
  <si>
    <t>PC Palli</t>
  </si>
  <si>
    <t>Peda alavlaapdu</t>
  </si>
  <si>
    <t>Pedairlapadu</t>
  </si>
  <si>
    <t>Muddapadu</t>
  </si>
  <si>
    <t>Battupalli</t>
  </si>
  <si>
    <t>Pedirlapadu</t>
  </si>
  <si>
    <t>Guntupalli</t>
  </si>
  <si>
    <t>3.00 Lakhs</t>
  </si>
  <si>
    <t>4.00 Lakhs</t>
  </si>
  <si>
    <t>10.00 Lakhs</t>
  </si>
  <si>
    <t>6.00 Lakhs</t>
  </si>
  <si>
    <t>H.M.Padu</t>
  </si>
  <si>
    <t>Valicherla</t>
  </si>
  <si>
    <t>Mittapalem</t>
  </si>
  <si>
    <t>Pedagollapalli</t>
  </si>
  <si>
    <t>Dasaripalli</t>
  </si>
  <si>
    <t>Constituency</t>
  </si>
  <si>
    <t>Habitation</t>
  </si>
  <si>
    <t>Gundlapalem</t>
  </si>
  <si>
    <t>Regimanupalli</t>
  </si>
  <si>
    <t>Buddayapalli</t>
  </si>
  <si>
    <t>Lingareddypalli</t>
  </si>
  <si>
    <t>Yeguvapalli</t>
  </si>
  <si>
    <t>Vengalapuram</t>
  </si>
  <si>
    <t>Kodandaramapuram</t>
  </si>
  <si>
    <t>Peda Battupalli</t>
  </si>
  <si>
    <t>Gopavarapuvaripalli</t>
  </si>
  <si>
    <t>Chavitipalli</t>
  </si>
  <si>
    <t>Mulevaripalli</t>
  </si>
  <si>
    <t>H.M.Puram</t>
  </si>
  <si>
    <t>Gayamvaripalli</t>
  </si>
  <si>
    <t>Construction of internal cc road from Bathula Malakondaiah house to Adhimulapu Ramanaiah house in Vengalapuram village of Peda Alavalapadu GP in P.C.Palli Mandal.</t>
  </si>
  <si>
    <t>Construcion of culvert and cc roads in Kodandaramapuram village of Pedairlapadu GP in P.C.Palli Mandal.</t>
  </si>
  <si>
    <t>Improvements and Extenstion of wing walls to the culvert at Paletivagu on the road from Vakamvaripalli to Kotha muddapadu village of Muddapadu GP in P.C.Palli Mandal.</t>
  </si>
  <si>
    <t>Construction of balance internal cc roads in PC  palli village and GP in P.C.Palli Mandal.</t>
  </si>
  <si>
    <t>Construction of balance internal cc roads in Gopavarapupalli village  of PC  palli  GP in P.C.Palli Mandal.</t>
  </si>
  <si>
    <t>Construction of  internal cc roads in Chavitipalli village  of PC  palli  GP in P.C.Palli Mandal.</t>
  </si>
  <si>
    <t>Construction of  internal cc roads  from Myla Mayadri house to Kadiri sreenu house in Pedairlapadu village and GP in P.C.Palli Mandal.</t>
  </si>
  <si>
    <t>Construction of  internal cc roads  from R&amp;B road to Lankireddy Janaki Ramaiah house and others  in Pedairlapadu village and GP in P.C.Palli Mandal.</t>
  </si>
  <si>
    <t>Construction of internal cc road from R&amp;B road to Mule Malayadri house  at Mulevaripalli village of Guntupalli GP</t>
  </si>
  <si>
    <t>Providing internal CC road from Mittapalem to Chakirala road in Mittapalem GP of H.M.Padu Mandal.</t>
  </si>
  <si>
    <t>Providing internal CC roads in Mittapalem GP of H.M.Padu Mandal.</t>
  </si>
  <si>
    <t>Providing CC road from R&amp;B Road to Ramanareddy fields via Harizanawada in Gayamvaripalli village and GP of H.M.Padu Mandal.</t>
  </si>
  <si>
    <t>Providing internal CC roads in Hanumanthapuram GP of H.M.Padu Mandal.</t>
  </si>
  <si>
    <t>Providing internal CC roads in Pedagollapalli GP of H.M.Padu Mandal.</t>
  </si>
  <si>
    <t>Providing internal CC roads in Dasaripalli GP of H.M.Padu Mandal.</t>
  </si>
  <si>
    <t>Providing internal CC roads in Hanumanthunipadu GP of H.M.Padu Mandal.</t>
  </si>
  <si>
    <t>Providing internal CC roads in Valicherla GP of H.M.Padu Mandal.</t>
  </si>
  <si>
    <t>Collection and supply of Selected earth for shoulders including cost and conveyance of all materials and stacking at site to dept gauge</t>
  </si>
  <si>
    <t>20MM HBG metal  67.50 x 66% = 44.55 cum</t>
  </si>
  <si>
    <t>12MM HBG metal  67.50 x 34% = 22.95 cum</t>
  </si>
  <si>
    <t>Providing and construction of name board of specified size with brick masonary including painting and required  lettering etc complete.</t>
  </si>
  <si>
    <t>20mm Metal</t>
  </si>
  <si>
    <t>12mm Metal</t>
  </si>
  <si>
    <t>ACTIVITY MASTER</t>
  </si>
  <si>
    <t>Material Task No.</t>
  </si>
  <si>
    <t>ACT0494</t>
  </si>
  <si>
    <t>ACT0181</t>
  </si>
  <si>
    <t>ACT0407</t>
  </si>
  <si>
    <t>ACT0196</t>
  </si>
  <si>
    <t>ACT0212</t>
  </si>
  <si>
    <t>ACT0211</t>
  </si>
  <si>
    <t>ACT0210</t>
  </si>
  <si>
    <t>Provision for work wise file</t>
  </si>
  <si>
    <t>Provision towards unforeseen items of work</t>
  </si>
  <si>
    <t>ACT0216</t>
  </si>
  <si>
    <t>Wage Component</t>
  </si>
  <si>
    <t>Material Component</t>
  </si>
  <si>
    <t>NIC MATERIAL MASTER</t>
  </si>
  <si>
    <t xml:space="preserve">MAT-0030 </t>
  </si>
  <si>
    <t>Granular Material</t>
  </si>
  <si>
    <t>Cost of Cement (OPC-53)</t>
  </si>
  <si>
    <t xml:space="preserve">MAT-0001 </t>
  </si>
  <si>
    <t xml:space="preserve">Cost of 20 mm HBG Metal </t>
  </si>
  <si>
    <t xml:space="preserve">MAT-0014 </t>
  </si>
  <si>
    <t xml:space="preserve">Cost of 12 mm HBG Metal </t>
  </si>
  <si>
    <t>MAT -0015</t>
  </si>
  <si>
    <t>Cost of Sand for Concrete</t>
  </si>
  <si>
    <t>MAT -0010</t>
  </si>
  <si>
    <t>Conveyance charges for Sand</t>
  </si>
  <si>
    <t>MAT-0060</t>
  </si>
  <si>
    <t>Conveyance charges for Metal, Stone, Bricks</t>
  </si>
  <si>
    <t>MAT-0061</t>
  </si>
  <si>
    <t>LS</t>
  </si>
  <si>
    <t>Citizen information Board/Name board</t>
  </si>
  <si>
    <t>MAT-0063</t>
  </si>
  <si>
    <t>Each</t>
  </si>
  <si>
    <t>A11592 CW-13</t>
  </si>
  <si>
    <t>Provision for Seigneorage charges</t>
  </si>
  <si>
    <t>A11591 CW-12</t>
  </si>
  <si>
    <t>MAT- 0064</t>
  </si>
  <si>
    <t>Cost of Selected earth</t>
  </si>
  <si>
    <t>Contingency and unforeseen items</t>
  </si>
  <si>
    <t>MAT-0073</t>
  </si>
  <si>
    <t xml:space="preserve">Provision for Seigneorage charges </t>
  </si>
  <si>
    <t>ACT0409</t>
  </si>
  <si>
    <t>Unskilled Labour Charges for Earthwork excavation by manual means exceeding 1.5 m in width taking out the excavated soil and disposal as directed by engineer in charge in Ordinary soil, with an Initial Lead up to 10 m and lift up to 1.5 m</t>
  </si>
  <si>
    <t xml:space="preserve"> Total excluding Wage component</t>
  </si>
  <si>
    <t>ACT0011</t>
  </si>
  <si>
    <t>llllllllllllllllllllllllllllllllllllllllllllllllllll</t>
  </si>
  <si>
    <t>llllllllllllllllllllllllllllllllllllllllllllllllllllllllllllllllllllllllllllllllllllllllllllllllllllllllllllllllllllllllllllllllllllllllllllll</t>
  </si>
  <si>
    <t>llllllllllllllllllllllllllllllllllllllllllllllllllllllllllllllllllllllllllllllllll</t>
  </si>
  <si>
    <t>llllllllllllllllllllllllllllllllllllllllllllllllllllllllllllllllllllllllllllllllllllllllllllllllllllllllllllllllll</t>
  </si>
  <si>
    <t>Construction of Internal CC road from Kadapa Sudhakar house to Vinukonda Yerra Kondaiah house in Gundlapalem village of Bommireddypalli GP of Kanigiri Mandal.</t>
  </si>
  <si>
    <t>Construction of Internal CC road from Basireddy Prasad house to  Jakkireddy Nagaiah house in Regimanipalli village of Bommireddypalli GP of  Kanigiri Mandal.</t>
  </si>
  <si>
    <t>Construction of internal CC road in SC palem of Buddayapalli village of Guruvajipeta GP of Kanigiri Mandal.</t>
  </si>
  <si>
    <t>Construction of internal balance CC road  in Punugodu village and GP of Kanigiri Mandal.</t>
  </si>
  <si>
    <t>Construction of internal CC road from Nagarpamma temple to Kummari Bala nagu house in Lingareddypalli village of China Alavalapadu GP of Kanigiri Mandal.</t>
  </si>
  <si>
    <t>Construction of internal cc roads in ST colony of Eguvapalli village of Vangapadu GP of Kanigiri Mandal.</t>
  </si>
  <si>
    <t>Construction  of internal CC road from Nukathoti Venkataswamy house to Muddapadu road in SC colony of Gosulaveedu village and GP of Kanigiri Mandal.</t>
  </si>
  <si>
    <t>Construction of internal CC road in SC colony of Ballipalli village and GP of Kanigiri Mandal.</t>
  </si>
  <si>
    <t>Construction of internal CC road  in Cheerladinne GP of Kanigiri Mandal.</t>
  </si>
  <si>
    <t>Construction of internal cc road  from R&amp;B Road to MPP School in Kothapalem village of Gudipadu GP of Kanigiri Mandal.</t>
  </si>
  <si>
    <t>Construction of internal cc road  at Ankalamma temple road in Yeruvaripalli village and GP of Kanigiri Mandal.</t>
  </si>
  <si>
    <t>Construction of internal CC road from Kondru Kondamma gp house to Jonnagadda Prabhudas house in SC  Palem of Chakirala GP of Kanigiri Mandal.</t>
  </si>
  <si>
    <t>Construction of internal cc road from Jonnagadda Prabhudas  house to Jonnagadda Prakasam house  in Sc  Palem of Chakirala GP of Kanigiri Mandal.</t>
  </si>
  <si>
    <t>Construction of internal CC road in  Chinairlapadu GP of Kanigiri Mandal.</t>
  </si>
  <si>
    <t>Construction of internal CC roads in Yadavalli GP of Kanigiri Mandal.</t>
  </si>
  <si>
    <t>Construction of internal cc roads  in Peda Battupalli GP in P.C.Palli Mandal.</t>
  </si>
  <si>
    <t>LIST OF WORKS  UNDER MGNREGS IN KANIGIRI CONSTITUENCY</t>
  </si>
  <si>
    <t>P..C.Palli</t>
  </si>
  <si>
    <t>Filling with selected 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</si>
  <si>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RBR-FNDN-4 (i)</t>
  </si>
  <si>
    <t>P.C.C grade M 10</t>
  </si>
  <si>
    <t>Nominal mix 1:3:6 (Concrete Mixer)</t>
  </si>
  <si>
    <t>t</t>
  </si>
  <si>
    <t>Coarse sand</t>
  </si>
  <si>
    <t>40 mm aggregate</t>
  </si>
  <si>
    <t xml:space="preserve">Labour </t>
  </si>
  <si>
    <t>Mason (1st Class)</t>
  </si>
  <si>
    <t>Mazdoor (Unskilled)</t>
  </si>
  <si>
    <t>hour</t>
  </si>
  <si>
    <t>Mechanical concrete mixer 0.4/0.28 cum capacity fitted with water measuring device and preferably also with load cell.</t>
  </si>
  <si>
    <t>Water tanker 6 kl capacity</t>
  </si>
  <si>
    <t>Rate per cum</t>
  </si>
  <si>
    <t>P.C.C grade M 15</t>
  </si>
  <si>
    <t>Nominal mix (1:2.5:5) using CC Mixer (MORD)</t>
  </si>
  <si>
    <t>20 mm aggregate</t>
  </si>
  <si>
    <t xml:space="preserve">Formwork @ 10% on cost of material, labour and machinery </t>
  </si>
  <si>
    <t>40mm HBG Metal</t>
  </si>
  <si>
    <t>12 mm aggregate</t>
  </si>
  <si>
    <t xml:space="preserve">Plain cement concrete M 15 grade  using 40,20 &amp; 12mm metal mechanically mixed in Open foundations complete as per drawings and technical specification Clauses 802, 804, 805, 806, 807, 1202 and 1204 MORD and 1500, 1700 &amp; 2200 MORTH </t>
  </si>
  <si>
    <t>40mm Metal</t>
  </si>
  <si>
    <t>PCC M-15 grade</t>
  </si>
  <si>
    <t xml:space="preserve">Plain cement concrete M 15 grade  using 40,20 &amp; 12mm metal mechanically mixed in Substructures complete as per drawings and technical specification Clauses 802, 804, 805, 806, 807, 1202 and 1204 MORD and 1500, 1700 &amp; 2200 MORTH. </t>
  </si>
  <si>
    <t>MAT-0013</t>
  </si>
  <si>
    <t xml:space="preserve">Cost of 40 mm HBG Metal </t>
  </si>
  <si>
    <t>ACT0024</t>
  </si>
  <si>
    <t>ACT0026</t>
  </si>
  <si>
    <t>Sub Divisional Bill No.</t>
  </si>
  <si>
    <t>SUB DIVISION CHECK SLIP TO ACCOMPANYING  ALL WORK BILLS</t>
  </si>
  <si>
    <t>Name of the Grant:</t>
  </si>
  <si>
    <t>MGNREGS Grant</t>
  </si>
  <si>
    <t>Name of the Sub Division</t>
  </si>
  <si>
    <t>Name of the Work:-</t>
  </si>
  <si>
    <t>Work ID No.</t>
  </si>
  <si>
    <t>Estimate Amount</t>
  </si>
  <si>
    <t>Admn. Sanction No. &amp; Date</t>
  </si>
  <si>
    <t>Tech. Sanction No. &amp; Date</t>
  </si>
  <si>
    <t>Work commencement order reference for MGRENS</t>
  </si>
  <si>
    <r>
      <t xml:space="preserve">Dt </t>
    </r>
    <r>
      <rPr>
        <sz val="10"/>
        <color theme="0"/>
        <rFont val="Calibri"/>
        <family val="2"/>
        <scheme val="minor"/>
      </rPr>
      <t>13.07.2018</t>
    </r>
    <r>
      <rPr>
        <sz val="10"/>
        <color theme="1"/>
        <rFont val="Calibri"/>
        <family val="2"/>
        <scheme val="minor"/>
      </rPr>
      <t xml:space="preserve"> of the Executive Engineer, PRI Sub Division, Kandukur</t>
    </r>
  </si>
  <si>
    <t>Name &amp; Address of the Contractor with PAN No.</t>
  </si>
  <si>
    <t>Bank Account Number (For NREGS works)</t>
  </si>
  <si>
    <t>No of Musters enclosed to this bill for NREGS works</t>
  </si>
  <si>
    <t>Nil</t>
  </si>
  <si>
    <t>Working estimate Amount</t>
  </si>
  <si>
    <t>Supplimental Agt. No./Dt &amp; Value</t>
  </si>
  <si>
    <t>Nature Contract</t>
  </si>
  <si>
    <t>Nomination basis</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</si>
  <si>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</si>
  <si>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</si>
  <si>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</si>
  <si>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</si>
  <si>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</si>
  <si>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</si>
  <si>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</si>
  <si>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</si>
  <si>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P.No.</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</si>
  <si>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</si>
  <si>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</si>
  <si>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</si>
  <si>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</si>
  <si>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</si>
  <si>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</si>
  <si>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</si>
  <si>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</si>
  <si>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</si>
  <si>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</si>
  <si>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</si>
  <si>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</si>
  <si>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</si>
  <si>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</si>
  <si>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</si>
  <si>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</si>
  <si>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</si>
  <si>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</si>
  <si>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</si>
  <si>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</si>
  <si>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</si>
  <si>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</si>
  <si>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</si>
  <si>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</si>
  <si>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 xml:space="preserve">Work ID </t>
  </si>
  <si>
    <r>
      <t>Last Certificate if any</t>
    </r>
    <r>
      <rPr>
        <sz val="10"/>
        <rFont val="Calibri"/>
        <family val="2"/>
        <scheme val="minor"/>
      </rPr>
      <t xml:space="preserve"> : </t>
    </r>
  </si>
  <si>
    <r>
      <t xml:space="preserve">Month </t>
    </r>
    <r>
      <rPr>
        <sz val="10"/>
        <rFont val="Calibri"/>
        <family val="2"/>
        <scheme val="minor"/>
      </rPr>
      <t xml:space="preserve">:  </t>
    </r>
  </si>
  <si>
    <r>
      <t>Number and month of the last schedule if any</t>
    </r>
    <r>
      <rPr>
        <sz val="10"/>
        <rFont val="Calibri"/>
        <family val="2"/>
        <scheme val="minor"/>
      </rPr>
      <t xml:space="preserve"> :- </t>
    </r>
  </si>
  <si>
    <t>1</t>
  </si>
  <si>
    <t>2</t>
  </si>
  <si>
    <t>3</t>
  </si>
  <si>
    <t>4</t>
  </si>
  <si>
    <t>5</t>
  </si>
  <si>
    <t>6</t>
  </si>
  <si>
    <t>7</t>
  </si>
  <si>
    <t>8</t>
  </si>
  <si>
    <t>9</t>
  </si>
  <si>
    <t>MAT-0001 Cost of Cement (OPC-53)</t>
  </si>
  <si>
    <t>1MT</t>
  </si>
  <si>
    <t>MAT-0010 Cost of Sand for Concrete</t>
  </si>
  <si>
    <t xml:space="preserve">MAT-0014 Cost of 20 mm HBG Metal </t>
  </si>
  <si>
    <t xml:space="preserve">MAT-0015 Cost of 12 mm HBG Metal </t>
  </si>
  <si>
    <t>MAT-0030 Granular Material</t>
  </si>
  <si>
    <t>MAT-0040 Cost of Selected earth</t>
  </si>
  <si>
    <t>MAT-0060 Conveyance charges for Sand</t>
  </si>
  <si>
    <t>MAT-0061 Conveyance charges for Material</t>
  </si>
  <si>
    <t>MAT-0064 work  file</t>
  </si>
  <si>
    <t>MAT-0073 Contingency and unforeseen</t>
  </si>
  <si>
    <t>A11591-CW12 QC @ 0.50%</t>
  </si>
  <si>
    <t>A11591-CW13 Seigneorage charges</t>
  </si>
  <si>
    <t>Date…………..……2024</t>
  </si>
  <si>
    <t>Date………………2024</t>
  </si>
  <si>
    <t>1) Name of the Work:</t>
  </si>
  <si>
    <t>2) Estimate Cost:</t>
  </si>
  <si>
    <t>3) Grant:</t>
  </si>
  <si>
    <t>CERTIFICATES</t>
  </si>
  <si>
    <t>Certified that the materials used the above work were brought from approved quarry</t>
  </si>
  <si>
    <t>Certified that the contractor has engaged Technical persons Namely</t>
  </si>
  <si>
    <t>1)</t>
  </si>
  <si>
    <t>2)</t>
  </si>
  <si>
    <t>and they are available through out the execution</t>
  </si>
  <si>
    <t>Certified that there are no IR Paras/ Audit objections pending against this work.</t>
  </si>
  <si>
    <t>Dy.Executive Engineer</t>
  </si>
  <si>
    <t>PRI Sub Division</t>
  </si>
  <si>
    <t>RELEASE AND DISCHARGE CERTIFICATE</t>
  </si>
  <si>
    <t>Est,Rs,</t>
  </si>
  <si>
    <r>
      <t xml:space="preserve">                            I do here by release and discharge with the Executive Engineer, PRI Division, Kandukur all claims and demand what so ever arising out of the work or contracts with the contract vide commencement letter  Dt </t>
    </r>
    <r>
      <rPr>
        <sz val="12"/>
        <color theme="0"/>
        <rFont val="Calibri"/>
        <family val="2"/>
      </rPr>
      <t>04.12.2015</t>
    </r>
    <r>
      <rPr>
        <sz val="12"/>
        <rFont val="Calibri"/>
        <family val="2"/>
      </rPr>
      <t xml:space="preserve">  with full and final settlement of my all claims and demands of the work</t>
    </r>
  </si>
  <si>
    <t>STATEMENT OF VOUCHER WISE PARTCICULARS OF MGNREGS WORKS</t>
  </si>
  <si>
    <t>ID No</t>
  </si>
  <si>
    <t>Mandal</t>
  </si>
  <si>
    <t>Grant</t>
  </si>
  <si>
    <t xml:space="preserve">Estt. Rs </t>
  </si>
  <si>
    <t>M.B.No.</t>
  </si>
  <si>
    <t>Description of Material</t>
  </si>
  <si>
    <t>Executive Quantity</t>
  </si>
  <si>
    <t>Voucher</t>
  </si>
  <si>
    <t>Net Amount</t>
  </si>
  <si>
    <t>VO No. &amp; Date</t>
  </si>
  <si>
    <t xml:space="preserve">Rate </t>
  </si>
  <si>
    <t>Cement (OPC-53)</t>
  </si>
  <si>
    <t>/</t>
  </si>
  <si>
    <t>Granular Sub base</t>
  </si>
  <si>
    <t>20MM HBG Metal</t>
  </si>
  <si>
    <t>12MM HBG Metal</t>
  </si>
  <si>
    <t>Other items</t>
  </si>
  <si>
    <t>Labour component</t>
  </si>
  <si>
    <t>HAND RECEIPT</t>
  </si>
  <si>
    <t xml:space="preserve">       Received an amount of Rs </t>
  </si>
  <si>
    <t>(Rupees</t>
  </si>
  <si>
    <t>purpose for which payment is made :</t>
  </si>
  <si>
    <t>Payee</t>
  </si>
  <si>
    <t>Receiver</t>
  </si>
  <si>
    <t>Certified that the item was recorded vide page no.      of M.B.No.  ……………………….  for the work</t>
  </si>
  <si>
    <t>Selected Earth</t>
  </si>
  <si>
    <t>No.                         Receipt:                       Date:</t>
  </si>
  <si>
    <t>SRI VENKATESWARA LORRY SERVICE</t>
  </si>
  <si>
    <t>(SAI LAKSHMI STORE CRUSHERS)</t>
  </si>
  <si>
    <t>BUDAWADA, CHEEMAKURTHI MANDAL</t>
  </si>
  <si>
    <t>RAMATHERDHAM, CHEEMAKURTHI MANDAL</t>
  </si>
  <si>
    <t>Party Name:</t>
  </si>
  <si>
    <t>Sizes</t>
  </si>
  <si>
    <t>40mm</t>
  </si>
  <si>
    <t>20-12mm</t>
  </si>
  <si>
    <t>20MM</t>
  </si>
  <si>
    <t>12MM</t>
  </si>
  <si>
    <t>9.50 to 475mm</t>
  </si>
  <si>
    <t>4.75 to 2.36mm</t>
  </si>
  <si>
    <t>Dust</t>
  </si>
  <si>
    <t>Signature</t>
  </si>
  <si>
    <t xml:space="preserve">MAT-0013 Cost of 40 mm HBG Metal </t>
  </si>
  <si>
    <t>40MM HBG Metal</t>
  </si>
  <si>
    <t>Twenty seven thousand six hundred and fifty only)</t>
  </si>
  <si>
    <t>Taking output = 240 cum</t>
  </si>
  <si>
    <t xml:space="preserve">Mechanical Means </t>
  </si>
  <si>
    <t xml:space="preserve"> Mazdoor (Unskilled)</t>
  </si>
  <si>
    <t>Hydraulic Excavator 1 cum bucket capacity</t>
  </si>
  <si>
    <t>Cost for 240 cum</t>
  </si>
  <si>
    <t>Rate per  1 cum</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</si>
  <si>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</si>
  <si>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t>RBR-FNDN-1</t>
  </si>
  <si>
    <t>Supplying, fitting and placing HYSD bar reinforcement in foundation complete as per drawings and technical specifications Clauses 1000 and 1202  MORD &amp; 1100, 1600 MORTH for Bars below 36 mm dia including over laps and wastage, where they are not welded.</t>
  </si>
  <si>
    <t>Taking Output 1.00 tonne</t>
  </si>
  <si>
    <t>HYSD Bars including 5% for overlaps &amp; wastage</t>
  </si>
  <si>
    <t>Kg</t>
  </si>
  <si>
    <t>Binding wire</t>
  </si>
  <si>
    <t>MAT-00003</t>
  </si>
  <si>
    <t>1Kg</t>
  </si>
  <si>
    <r>
      <t xml:space="preserve">Labour </t>
    </r>
    <r>
      <rPr>
        <sz val="10"/>
        <rFont val="Calibri"/>
        <family val="2"/>
        <scheme val="minor"/>
      </rPr>
      <t>for cutting, bending, shifting to site, tying and placing in position</t>
    </r>
  </si>
  <si>
    <t xml:space="preserve">Bar bender  </t>
  </si>
  <si>
    <t>LAB-00001</t>
  </si>
  <si>
    <t>Mazdoor (Un-Skilled)</t>
  </si>
  <si>
    <t>Rate per 1 MT</t>
  </si>
  <si>
    <t>Providing and laying reinforced cement concrete M20 grade  using 20 &amp; 12mm metal mechanically mixed in superstructure as per  drawing and technical specification Clauses 800, 1205.4 and 1205.4 MORD / sections 1500, 1600 &amp; 1700 MORTH for deck slab</t>
  </si>
  <si>
    <t>20  MM HBG emtal</t>
  </si>
  <si>
    <t>Concrete mixer 0.4/0.28 cum capacity</t>
  </si>
  <si>
    <t>Providing and Laying Reinforced Cement Concrete Pipe NP3 as per design.</t>
  </si>
  <si>
    <t>Providing and laying reinforced cement concrete pipe NP3 for culverts on first class bedding of granular  material but excluding excavation, protection works, backfilling, concrete and masonry works in head wall and parapets. Tech Specification Clause 1106 MORD.</t>
  </si>
  <si>
    <t>Unit = m</t>
  </si>
  <si>
    <t xml:space="preserve">Taking output = 7.5 m </t>
  </si>
  <si>
    <t>(3 pipes of 2.5 m length each)</t>
  </si>
  <si>
    <t xml:space="preserve">Mason (1st Class) </t>
  </si>
  <si>
    <t>1cum</t>
  </si>
  <si>
    <t xml:space="preserve">Cement </t>
  </si>
  <si>
    <t>Rm</t>
  </si>
  <si>
    <t>RCC pipe NP3 pipe</t>
  </si>
  <si>
    <t>1Rm</t>
  </si>
  <si>
    <t>Cost for 7.50 RM</t>
  </si>
  <si>
    <t>Cost for 1.00 RM</t>
  </si>
  <si>
    <t>Vellampalli</t>
  </si>
  <si>
    <t>MAT- 05641</t>
  </si>
  <si>
    <t>Plastering with CM (1:5), 12 mm thick including Cost and Conveyance  of all materials and labour charges etc., complete</t>
  </si>
  <si>
    <t>Supplying, fitting and placing HYSD bar reinforcement in foundation complete as per drawings and technical specifications Clauses 1000 and 1202  MORD &amp; 1100, 1600 MORTH for Bars below 36 mm dia including over laps and wastage, where they are not welded</t>
  </si>
  <si>
    <t>Brick Masonary for Superstructure with CM (1:6) proportion using 2nd class traditional bricks of size 23X11X7 cms having minimum crushing strength of 40kg/cm2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</si>
  <si>
    <t>ACT0231</t>
  </si>
  <si>
    <t>ACT0493</t>
  </si>
  <si>
    <t>ACT0594</t>
  </si>
  <si>
    <t>ACT0061</t>
  </si>
  <si>
    <t>COMPARATIVE STATEMENT</t>
  </si>
  <si>
    <t>Description of the work</t>
  </si>
  <si>
    <t>As per detailed estimate</t>
  </si>
  <si>
    <t>As per Working estimate</t>
  </si>
  <si>
    <t xml:space="preserve">Difference </t>
  </si>
  <si>
    <t xml:space="preserve">Quantity </t>
  </si>
  <si>
    <t>Excess</t>
  </si>
  <si>
    <t>Less</t>
  </si>
  <si>
    <t>10</t>
  </si>
  <si>
    <t>11</t>
  </si>
  <si>
    <t>Provision for Seigneorage charges (As per Calculatioln sheet)</t>
  </si>
  <si>
    <t>Unforseen items such as if any</t>
  </si>
  <si>
    <t>TOTAL</t>
  </si>
  <si>
    <t>Difference in estimate</t>
  </si>
  <si>
    <t>COMPLETION REPORT</t>
  </si>
  <si>
    <t>As per M.Book</t>
  </si>
  <si>
    <t>BILL</t>
  </si>
  <si>
    <t>S.No.</t>
  </si>
  <si>
    <t>Item</t>
  </si>
  <si>
    <t>Provision for QC charges @ 0.50%</t>
  </si>
  <si>
    <t>Material Wise Abstract</t>
  </si>
  <si>
    <t>GSB</t>
  </si>
  <si>
    <t>20mm</t>
  </si>
  <si>
    <t>12mm</t>
  </si>
  <si>
    <t>S.earth</t>
  </si>
  <si>
    <t>Sand Convey</t>
  </si>
  <si>
    <t>Others</t>
  </si>
  <si>
    <t>metal Conveyance</t>
  </si>
  <si>
    <t>Earthwork</t>
  </si>
  <si>
    <r>
      <t>M</t>
    </r>
    <r>
      <rPr>
        <vertAlign val="superscript"/>
        <sz val="10"/>
        <rFont val="Calibri"/>
        <family val="2"/>
        <scheme val="minor"/>
      </rPr>
      <t>3</t>
    </r>
  </si>
  <si>
    <r>
      <t>M</t>
    </r>
    <r>
      <rPr>
        <vertAlign val="superscript"/>
        <sz val="10"/>
        <rFont val="Calibri"/>
        <family val="2"/>
        <scheme val="minor"/>
      </rPr>
      <t>2</t>
    </r>
  </si>
  <si>
    <t>CC Pavement</t>
  </si>
  <si>
    <t>Total Qty</t>
  </si>
  <si>
    <t>Seigneorage statement</t>
  </si>
  <si>
    <t xml:space="preserve">Metal </t>
  </si>
  <si>
    <t>Cost of Steel</t>
  </si>
  <si>
    <t xml:space="preserve">Filling with selected earth </t>
  </si>
  <si>
    <t>Scarifying existing granular surface</t>
  </si>
  <si>
    <t>PCC M-15</t>
  </si>
  <si>
    <t>S.earth filling</t>
  </si>
  <si>
    <t>Certified that the work is completed in all respect</t>
  </si>
  <si>
    <t>12</t>
  </si>
  <si>
    <t>13</t>
  </si>
  <si>
    <t>14</t>
  </si>
  <si>
    <t>Connected M.Book Nos: 80/A/ZP/23</t>
  </si>
  <si>
    <t>S.No. of the Bill:  1st &amp; Final</t>
  </si>
  <si>
    <r>
      <t>Voucher</t>
    </r>
    <r>
      <rPr>
        <sz val="10"/>
        <rFont val="Calibri"/>
        <family val="2"/>
        <scheme val="minor"/>
      </rPr>
      <t xml:space="preserve"> : CC  1st &amp; Final</t>
    </r>
  </si>
  <si>
    <t xml:space="preserve">Certificate that the proceeding claim is correct that the necessary measurements have been made by me on 200         and record on pages …………..  of 80/A/ZP/23 of  and the work has been satisfactory performed </t>
  </si>
  <si>
    <t>Eighteen thousand and two hundred only)</t>
  </si>
  <si>
    <t>One lakh and three thousand  only)</t>
  </si>
  <si>
    <t>Wet Mix Macadam</t>
  </si>
  <si>
    <r>
      <t>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smooth  wheel roller of 80 to 100kN</t>
    </r>
    <r>
      <rPr>
        <b/>
        <sz val="10"/>
        <rFont val="Calibri"/>
        <family val="2"/>
        <scheme val="minor"/>
      </rPr>
      <t xml:space="preserve"> / Vibratory Roller 80-100 kN </t>
    </r>
    <r>
      <rPr>
        <sz val="10"/>
        <rFont val="Calibri"/>
        <family val="2"/>
        <scheme val="minor"/>
      </rPr>
      <t xml:space="preserve">weight to achieve the desired density including lighting, barricading and maintenance of diversion, etc as per Tables 400.11 &amp; 400.12 and Technical Specification Clause 406 MORD / MORTH. </t>
    </r>
  </si>
  <si>
    <t>By Mechanical Means with 1 km lead</t>
  </si>
  <si>
    <t>A</t>
  </si>
  <si>
    <t>Rural Works</t>
  </si>
  <si>
    <t>Taking output = 100 cum</t>
  </si>
  <si>
    <t>a)  Labour</t>
  </si>
  <si>
    <t>Mate</t>
  </si>
  <si>
    <t>Dresser (Skilled) for alignment</t>
  </si>
  <si>
    <t>Mazdoor (Skilled)</t>
  </si>
  <si>
    <t>b) Machinery</t>
  </si>
  <si>
    <t>Front end loader 1 cum capacity</t>
  </si>
  <si>
    <t>Wet mix plant (Pug Mill)</t>
  </si>
  <si>
    <t>Tipper/Dumper (10-t) capacity / 5-6 t capacity</t>
  </si>
  <si>
    <t>tractor grader @ 25 cum capacity</t>
  </si>
  <si>
    <t>vibratory roller 80-100 kN @ 60 cum per hour</t>
  </si>
  <si>
    <t>c) Material</t>
  </si>
  <si>
    <t>Coarse aggregate 45 to 22.4 mm using M/C metal @ 30% (Average of 40-45 mm, 25-27 mm &amp; 19-22 mm metal)</t>
  </si>
  <si>
    <t>Aggregates 22.4 mm to 2.36 mm using M/C metal @ 40% (Average of 19-22mm, 12-14mm, 9.5-11.20 mm, 5-7mm &amp; 2.36-5 mm metal)</t>
  </si>
  <si>
    <t>Fine aggregate/crushed sand 2.36 mm to 75 mm micron @ 30%</t>
  </si>
  <si>
    <t xml:space="preserve">Rate per cum   </t>
  </si>
  <si>
    <t xml:space="preserve">Providing, laying, spreading and compacting graded stone aggregate to wet mix macadam specification including premixing the  material with water at OMC in mechanical mixer (Pug Mill), carriage of mixed material by tipper to site, laying  in uniform layers in sub-base/base course on a well prepared sub-base and compacting with smooth  wheel roller of 80 to 100kN / Vibratory Roller 80-100 kN weight to achieve the desired density including lighting, barricading and maintenance of diversion, etc as per Tables 400.11 &amp; 400.12 and Technical Specification Clause 406 MORD / MORTH. </t>
  </si>
  <si>
    <t>40 mm to 45 mm size ( IRC and MORTH )</t>
  </si>
  <si>
    <t>25-27mm M/c HBG Metal
IRC, MORTH &amp; MORD</t>
  </si>
  <si>
    <t>19 - 22mm HBG M/c metal
IRC, MORTH &amp; MORD</t>
  </si>
  <si>
    <t>12-14 mm HBG M/c Metal
IRC, MORTH &amp; MORD</t>
  </si>
  <si>
    <t>9.5-11.2 mm HBG  M/c Metal
IRC, MORTH &amp; MORD</t>
  </si>
  <si>
    <t>Providing and applying primer coat with bitumen emulsion (SS-1) on prepared surface of granular base including cleaning of road surface and spraying primer at the rate of 0.70-1.0 kg/sqm using mechanical means as per Technical Specification Clause 502 MORD (for use on Wet mix macadam &amp; WBM)</t>
  </si>
  <si>
    <t>Unit = sqm</t>
  </si>
  <si>
    <t>Taking output = 1750 sqm</t>
  </si>
  <si>
    <t>Mechanical broom @ 1250 sqm/hr.</t>
  </si>
  <si>
    <t>Air compressor 250 cfm</t>
  </si>
  <si>
    <t>Emulsion pressure distributor @1750 sqm/hr</t>
  </si>
  <si>
    <t>Water tanker 6kl capacity</t>
  </si>
  <si>
    <t>Bitumen emulsion SS-1</t>
  </si>
  <si>
    <t>Providing and applying tack coat with Bitumen emulsion (RS-1)  using emulsion  distributor at the rate of 0.25 to 0.30 kg per sqm on the prepared granular surfaces treated with primer &amp; cleaned with Hydraulic broom as per Technical Specification Clause 503 MORD,</t>
  </si>
  <si>
    <t>Hydraulic broom  @ 1250 sqm per hour</t>
  </si>
  <si>
    <t>Air compressor 210 cfm</t>
  </si>
  <si>
    <t>Emulsion pressure distributor @1750 sqm per hour</t>
  </si>
  <si>
    <t xml:space="preserve">Bitumen emulsion (RS-1)  @ 0.275 kg per sqm </t>
  </si>
  <si>
    <t>RBR-BASC-8</t>
  </si>
  <si>
    <t>Semi-Dense Bituminous Concrete</t>
  </si>
  <si>
    <t>Providing and laying semi dense bituminous concrete with 40-60 TPH batch type HMP producing an average output of 37.5 tonnes per hour using crushed aggregates of specified grading, premixed with bituminous binder @ 4.5 to 5  per cent  of mix and filler, transporting the hot mix to work site, laying with a hydrostatic paver finisher with sensor control to the required grade, level and alignment, rolling with smooth wheeled, vibratory and tandem rollers to achieve the desired compaction as per MoRTH specification clause No. 508 complete in all respects</t>
  </si>
  <si>
    <t>Taking output = 285 cum</t>
  </si>
  <si>
    <t>a)    Labour</t>
  </si>
  <si>
    <t>Mazdoor (Unskilled) working with HMP, mechanical broom, paver, roller, asphalt cutter and assistance for setting out lines, levels and layout of construction</t>
  </si>
  <si>
    <t>Skilled mazdoor for checking line &amp; levels</t>
  </si>
  <si>
    <t>b)     Machinery</t>
  </si>
  <si>
    <t>HMP 40-60 TPH</t>
  </si>
  <si>
    <t>Paver finisher hydrostatic with sensor control @ 75 cum per hour</t>
  </si>
  <si>
    <t>Generator 250 KVA</t>
  </si>
  <si>
    <t xml:space="preserve">Front end loader 1 cum bucket capacity </t>
  </si>
  <si>
    <t>Smooth wheeled roller 8-10 tonnes for initial break rolling. (6 x 0.65)</t>
  </si>
  <si>
    <t>Vibratory roller 8 tonnes for intermediate rolling.</t>
  </si>
  <si>
    <t>Finish rolling with 6-8 tonnes smooth wheeled tandem roller</t>
  </si>
  <si>
    <t>c)     Material</t>
  </si>
  <si>
    <t xml:space="preserve">Bitumen 60/70 Grade @ 5  per cent  of weight of mix </t>
  </si>
  <si>
    <t>weight of mix = 450 tonne</t>
  </si>
  <si>
    <t xml:space="preserve"> Aggregate</t>
  </si>
  <si>
    <t>Total weight of mix = 450 tonnes</t>
  </si>
  <si>
    <t>Weight of bitumen = 22.5 tonnes</t>
  </si>
  <si>
    <t>Weight of aggregate = 450 -22.50 = 427.50 tonnes</t>
  </si>
  <si>
    <t>Taking density of aggregate = 1.5 ton/cum</t>
  </si>
  <si>
    <t>Volume of aggregate = 285 cum</t>
  </si>
  <si>
    <t>9.5 - 11.2 mm IRC HBG M/C Chips</t>
  </si>
  <si>
    <t>5 - 7 mm IRC HBG M/C Chips</t>
  </si>
  <si>
    <t>2.36 - 5mm IRC HBG M/C Chips</t>
  </si>
  <si>
    <t>Below 2.36 mm</t>
  </si>
  <si>
    <t>Filler @ 2  per cent  of weight of aggregates (stone dust)</t>
  </si>
  <si>
    <t>Chennai</t>
  </si>
  <si>
    <t>Construction of improved shoulders by provided selected earth having minimum CBR of 10% MD not less than 1.85 G/CC with LL &amp; PI not more than 40% and 20 respectively and spreading in uniform layers with tractor grader on prepared surface and compacted at OMC with vibratory roller 80-100 KN to meet requirement of table 00.2 with as per technical specification clause 303 MORD, 305 MORTH by using machinery</t>
  </si>
  <si>
    <t>RBR-SBBS-1 - iii</t>
  </si>
  <si>
    <t>Improved subgrade / Selected earth shoulders</t>
  </si>
  <si>
    <t>Construction of improved shoulders by provided selected earth having minimum CBR of 10% MD not less than 1.85 G/CC with LL &amp; PI not more than 40% and 20 respectively and spreading in uniform layers with tractor grader on prepared surface and compacted at OMC with vibratory roller 80-100 KN to meet requirement of table 00.2 with as per technical specification clause 303 MORD, 305 MORTH by using machinery including overhead charges &amp; Contractors profit and VAT charges</t>
  </si>
  <si>
    <t>Taking out put = 100 cum</t>
  </si>
  <si>
    <t>Dozer D-50  for spreading @ 200 cum per hour</t>
  </si>
  <si>
    <t xml:space="preserve">vibratory roller 80-100 kN </t>
  </si>
  <si>
    <t>Tractor with Grader @ 25 cum per hour</t>
  </si>
  <si>
    <t>Basic rate of Granular sub base for 100 cum</t>
  </si>
  <si>
    <t>Body walls</t>
  </si>
  <si>
    <t>Deduct pipe portion</t>
  </si>
  <si>
    <t>Providing and laying reinforced cement concrete pipe 1000 NP3 for culverts on first class bedding of granular  material but excluding excavation, protection works, backfilling, concrete and masonry works in head wall and parapets. Tech Specification Clause 1106 MORD.</t>
  </si>
  <si>
    <t>1000 mm dia Plain ended</t>
  </si>
  <si>
    <t>1000mm dia NP3 pipes</t>
  </si>
  <si>
    <t>Wetmix</t>
  </si>
  <si>
    <t>SDBC</t>
  </si>
  <si>
    <t>DETAILED ESTIMATE CUM ABSTRACT</t>
  </si>
  <si>
    <t>ACT0486</t>
  </si>
  <si>
    <t>ACT0182</t>
  </si>
  <si>
    <t>ACT0183</t>
  </si>
  <si>
    <t>ACT0184</t>
  </si>
  <si>
    <t>ACT0186</t>
  </si>
  <si>
    <t>PRI Sub Division: Kanigiri</t>
  </si>
  <si>
    <t>Scarifyting the existing Granular sub base</t>
  </si>
  <si>
    <t xml:space="preserve">Construction of Granular Sub base </t>
  </si>
  <si>
    <t>Construction of Wet Mix Mecadam</t>
  </si>
  <si>
    <t>Providing Primary coat with Emusion SS-1</t>
  </si>
  <si>
    <t>Providing Tak coat with Emusion RS-1</t>
  </si>
  <si>
    <t xml:space="preserve">Providing and laying semi dense bituminous concrete </t>
  </si>
  <si>
    <t>Construction of selected earth shoulders</t>
  </si>
  <si>
    <t>RBR-EECD-3</t>
  </si>
  <si>
    <t>Construction of embankment with approved materials deposited at site from roadway cutting and excavation from drain (not exceeding 0.6 m depth) and foundation of other structures graded and compacted to meet requirement of Tables 300.1 and 300.2 as per Technical Specification Clause 301.5 MORD / 305 MORTH</t>
  </si>
  <si>
    <t>HIR-00072</t>
  </si>
  <si>
    <t>Tractor with grader for grading @ 25 cum per hour</t>
  </si>
  <si>
    <t>Vibratory Roller 80 - 100 kN @ 100 cum per hour</t>
  </si>
  <si>
    <t>Kl</t>
  </si>
  <si>
    <t>Water</t>
  </si>
  <si>
    <t>Cost for 100 cum</t>
  </si>
  <si>
    <t>RBR-STCL-2 - 
II A</t>
  </si>
  <si>
    <t>Clearing and grubbing road land including uprooting wild vegetation, grass, bushes, shrubs, saplings and trees of girth up to 300 mm, removal of stumps of such trees cut earlier and disposal of unserviceable materials and stacking of serviceable material to be used or auctioned, up to a lead of 1000 m including removal and disposal of top organic soil not exceeding 150 mm in thickness (in area of non thorny /light jungle) as per Technical Specification Clause 201 MORD.</t>
  </si>
  <si>
    <t>Unit = 10 Sqm</t>
  </si>
  <si>
    <t>Taking output = 1 hectare</t>
  </si>
  <si>
    <t>In area of non-thorny jungle (light jungle)</t>
  </si>
  <si>
    <t>Tractor with trolley 3t</t>
  </si>
  <si>
    <t>HIR-00077</t>
  </si>
  <si>
    <t>Contractor Profit</t>
  </si>
  <si>
    <t>add over head charges &amp; Contractors profit @ 13.615%</t>
  </si>
  <si>
    <t>Rate per  1 Hectare</t>
  </si>
  <si>
    <t>Rate per  1 Sqm</t>
  </si>
  <si>
    <t>1hour</t>
  </si>
  <si>
    <t>1KL</t>
  </si>
  <si>
    <t>Construction of embankment with approved material obtained from borrow pits with all lifts, transporting to site, spreading, grading to required slope and compacting with vibratory roller 80-100 KN to meet requirement of Tables 300.1 and 300.2 with a lead upto 1000 m as per Technical Specification Clause 301.5 MORD/305 MORTH.</t>
  </si>
  <si>
    <t>RBR-EECD -4-i</t>
  </si>
  <si>
    <t>Hydraulic Excavator 0.9 cum bucket capacity @ 60 cum per hour</t>
  </si>
  <si>
    <t>Tipper 5.5cum with 10T capacity</t>
  </si>
  <si>
    <t>Construction of granular sub-base by providing well graded HBG material (Grading III material) (Table 400.1A), spreading in uniform layers with motor grader on prepared surface, mixing by mix in place method with rotavator  at OMC, and compacting with smooth  wheel  roller 80-100 kN / vibratory roller to achieve the  desired density, complete as per Technical Specification Clause 401 MORD .</t>
  </si>
  <si>
    <t>RBR-SBBS-1-A iii</t>
  </si>
  <si>
    <t>KL</t>
  </si>
  <si>
    <t>HIR-00074</t>
  </si>
  <si>
    <t>HIR-00080</t>
  </si>
  <si>
    <t>ave total</t>
  </si>
  <si>
    <t>Rate per 100 Cum</t>
  </si>
  <si>
    <t>RBR- SBBS-11</t>
  </si>
  <si>
    <t>ave rate</t>
  </si>
  <si>
    <t>HIR-00081</t>
  </si>
  <si>
    <t>HIR-00002</t>
  </si>
  <si>
    <t>HIR-00083</t>
  </si>
  <si>
    <t>Cost for 1750 sqm</t>
  </si>
  <si>
    <t xml:space="preserve">Rate per sqm </t>
  </si>
  <si>
    <t>RBR-BASC-1 a</t>
  </si>
  <si>
    <t>RBR-BASC-2 (i)</t>
  </si>
  <si>
    <t xml:space="preserve">Rate per 1 sqm </t>
  </si>
  <si>
    <t>1t</t>
  </si>
  <si>
    <t>HIR-00087</t>
  </si>
  <si>
    <t>HIR-00089</t>
  </si>
  <si>
    <t>HIR-00110</t>
  </si>
  <si>
    <t>HIR-00050</t>
  </si>
  <si>
    <t>HIR-00091</t>
  </si>
  <si>
    <t xml:space="preserve">Rate  per 195 cum </t>
  </si>
  <si>
    <t xml:space="preserve">Rate  per 1 cum </t>
  </si>
  <si>
    <t xml:space="preserve">Rate  per 100 cum </t>
  </si>
  <si>
    <t xml:space="preserve">Form work @ 3% </t>
  </si>
  <si>
    <t>Rate  per 75 Cum</t>
  </si>
  <si>
    <r>
      <t xml:space="preserve">Providing concrete for plain concrete </t>
    </r>
    <r>
      <rPr>
        <b/>
        <sz val="10"/>
        <rFont val="Calibri"/>
        <family val="2"/>
        <scheme val="minor"/>
      </rPr>
      <t>M10 Grade</t>
    </r>
    <r>
      <rPr>
        <sz val="10"/>
        <rFont val="Calibri"/>
        <family val="2"/>
        <scheme val="minor"/>
      </rPr>
      <t xml:space="preserv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r>
  </si>
  <si>
    <t>RBR-SBST-5 V (i)</t>
  </si>
  <si>
    <t>Providing  RCC M-20 grade cement concrete using  using 20 mm to 12 mm Graded HBG crushed Metal ( 66% of 20 mm and 34% of 12mm )s from approved source for deck slab including cost of all ,materials, machinery, labour, formwork,  scaffolding,placing in position, levelling, vibrating, finishing, curing etc., complete with initial lead upto 50 m and all lifts.</t>
  </si>
  <si>
    <t>R.C.C grade M 20 (MORD)</t>
  </si>
  <si>
    <t>For nominal mix 1:2:4 (Using Concrete Mixture)</t>
  </si>
  <si>
    <t>Needle vibrator</t>
  </si>
  <si>
    <t>HIR-00040</t>
  </si>
  <si>
    <t>Add for formwork and staging upto 5Mts height @  20%</t>
  </si>
  <si>
    <t>RBR-SBST-5 VI i</t>
  </si>
  <si>
    <t>Providing  RCC M-25 grade cement concrete using  using 20 mm to 12 mm Graded HBG crushed Metal ( 66% of 20 mm and 34% of 12mm )s from approved source including cost of all ,materials, machinery, labour, formwork,  scaffolding,placing in position, levelling, vibrating, finishing, curing etc., complete with initial lead upto 50 m and all lifts. for Guide Posts</t>
  </si>
  <si>
    <t>R.C.C grade M 25 Design mix</t>
  </si>
  <si>
    <t>RBR-SPST-5 (i)</t>
  </si>
  <si>
    <t>Providing  RCC M-30 grade cement concrete using  using 20 mm to 12 mm Graded HBG crushed Metal ( 66% of 20 mm and 34% of 12mm )s from approved source including cost of all ,materials, machinery, labour, formwork,  scaffolding,placing in position, levelling, vibrating, finishing, curing etc., complete with initial lead upto 50 m and all lifts. for Wearing course</t>
  </si>
  <si>
    <t>R.C.C grade M 30 Design mix</t>
  </si>
  <si>
    <t>Mazdoor (Unskilled) for cleaning deck slab concrete surface</t>
  </si>
  <si>
    <t xml:space="preserve">Formwork @ 3% on cost of material, labour and machinery </t>
  </si>
  <si>
    <t>Procs. No. ENCB/TA8/AEE3/DATA: 2010-11 Dt: 01-08-2011
(AMENDMENT to Standard Data)</t>
  </si>
  <si>
    <t>RBR-PCVT-3 (B)</t>
  </si>
  <si>
    <t>Sand for Filling</t>
  </si>
  <si>
    <t>Local vagu</t>
  </si>
  <si>
    <t>MAT-00028</t>
  </si>
  <si>
    <t>MAT-00220</t>
  </si>
  <si>
    <t>MAT-00440</t>
  </si>
  <si>
    <t>MAT-00439</t>
  </si>
  <si>
    <t>MAT-00438</t>
  </si>
  <si>
    <t>MAT-00437</t>
  </si>
  <si>
    <t>MAT-00436</t>
  </si>
  <si>
    <t>5 to 7mm size HBG Chips</t>
  </si>
  <si>
    <t>MAT-00063</t>
  </si>
  <si>
    <t>MAT-00240</t>
  </si>
  <si>
    <t>MAT-00237</t>
  </si>
  <si>
    <t>RSSR 21-22 GO Ms No 27 Dt 22.04.2021 of PR&amp;RD (RD II)</t>
  </si>
  <si>
    <t>High berm cutting</t>
  </si>
  <si>
    <t>Deduct voids @ 40%</t>
  </si>
  <si>
    <t>SUB ESTIMATE-1</t>
  </si>
  <si>
    <t xml:space="preserve">Name of the Sub work : </t>
  </si>
  <si>
    <t>Pipe portion</t>
  </si>
  <si>
    <t>Providing concrete for plain concrete M10 Grade in open foundations using 40 mm nominal size Graded hard stone aggregate, mechanically mixed, placed in foundation and compacted by vibration including curing for 14 days complete as per drawings and technical specifications Clause 802, 803, 1202 &amp; 1203 MORD and 1500, 1700 &amp; 2100 MORTH</t>
  </si>
  <si>
    <t>Providing and laying reinforced cement concrete pipe 1000 dia NP3 for culverts on first class bedding of granular  material but excluding excavation, protection works, backfilling, concrete and masonry works in head wall and parapets. Tech Specification Clause 1106 MORD.</t>
  </si>
  <si>
    <t>0.90+0.45/2</t>
  </si>
  <si>
    <t>Encasement of pipes</t>
  </si>
  <si>
    <t>SUB ESTIMATE-2</t>
  </si>
  <si>
    <t>SUB ESTIMATE-4</t>
  </si>
  <si>
    <t>Construction of 1 row of 1000mm dia Pipe culvert @ 1/2 to 1/4.</t>
  </si>
  <si>
    <t>Construction of 1 row of 600mm dia Pipe culvert @ 1/6 to 1/8.</t>
  </si>
  <si>
    <t>SUB ESTIMATE-5</t>
  </si>
  <si>
    <t>Providing and laying reinforced cement concrete pipe 600 dia NP3 for culverts on first class bedding of granular  material but excluding excavation, protection works, backfilling, concrete and masonry works in head wall and parapets. Tech Specification Clause 1106 MORD.</t>
  </si>
  <si>
    <t>600 mm dia Plain ended</t>
  </si>
  <si>
    <t>The labour rate  decreasing 20%</t>
  </si>
  <si>
    <t>600mm dia NP3 pipes</t>
  </si>
  <si>
    <t>GENERAL ABSTRACT</t>
  </si>
  <si>
    <t>Cost of Road work</t>
  </si>
  <si>
    <t>x0.50%</t>
  </si>
  <si>
    <t xml:space="preserve">Unforseen items </t>
  </si>
  <si>
    <t>Grand Total:-</t>
  </si>
  <si>
    <t>Provision for GST charges @ 18%</t>
  </si>
  <si>
    <t>Filling with selected earth in trenches, sides of foundations &amp; basement by watering and ramming  including cost and conveyance of material and labour charges etc complete for finished item of the work (APSS No 309&amp; 310) per 1 Cum</t>
  </si>
  <si>
    <t>6.3+5.1/2</t>
  </si>
  <si>
    <t>Filling with S.earth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</si>
  <si>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Proceeding RC No.20938/SOR/DCE(B)/EE(B)DEE(B)AEE/2019 Dt 14.05.2019 of the Chief Engineer (R&amp;B ) Building &amp; RSW</t>
  </si>
  <si>
    <t xml:space="preserve">Rate per 6 Cum </t>
  </si>
  <si>
    <t>Inbetween body walls</t>
  </si>
  <si>
    <t xml:space="preserve">Plain cement concrete for cc pavement over a prepared sub base, with 43 grade cement or any other type as per Clause 1501.2.2 M20 (Grade), coarse and fine aggregates conforming to IS : 383, mixed in a concrete mixer of not less than 0.2 cum capacity and appropriate weigh batcher , laid in approved fixed side formwork (laying and fixing of 125 micron thick polythene film, wedges,  including levelling the formwork as per drawing), spreading the concrete with sholvels, rakes, compacted using needle and plate vibrators and finished in continuous operation including provision of joints, curing of concrete slabs for 14- days, and water finishing to lines and grade as per drawing  and Technical Specification Clause 1501 MORD </t>
  </si>
  <si>
    <t>inbetween body walls</t>
  </si>
  <si>
    <t>Guide posts</t>
  </si>
  <si>
    <t>Provision for Name board</t>
  </si>
  <si>
    <t xml:space="preserve">Provision for work file </t>
  </si>
  <si>
    <t>x18%</t>
  </si>
  <si>
    <t>4.75mm to 2.36mm size HMG Chips @ 12.50%</t>
  </si>
  <si>
    <t xml:space="preserve">2.36mm below chips or Stone Dust @ 52.50%    </t>
  </si>
  <si>
    <t>RBR-SBST-5 i</t>
  </si>
  <si>
    <t>Embankment</t>
  </si>
  <si>
    <t>carted earthwork</t>
  </si>
  <si>
    <t>Other Metals</t>
  </si>
  <si>
    <t>Shoulders</t>
  </si>
  <si>
    <t>Sub estimate</t>
  </si>
  <si>
    <t>PCC M-10 Grade</t>
  </si>
  <si>
    <t>ACT0492</t>
  </si>
  <si>
    <t>ACT0446</t>
  </si>
  <si>
    <t>Providing and laying reinforced cement concrete pipe 600 NP3 for culverts on first class bedding of granular  material but excluding excavation, protection works, backfilling, concrete and masonry works in head wall and parapets. Tech Specification Clause 1106 MORD.</t>
  </si>
  <si>
    <t>ACT0214</t>
  </si>
  <si>
    <t>Provision GST charges</t>
  </si>
  <si>
    <t>ACT0193</t>
  </si>
  <si>
    <t>Construction of embankment with approved material obtained from borrow pits with all lifts, transporting to site, spreading, grading to required slope and compacting to meet requirement of Tables 300.1 and 300.2 with a lead upto 1000 m as per Technical Specification Clause 301.5 MORD / 305 MORTH</t>
  </si>
  <si>
    <t>ACT0009</t>
  </si>
  <si>
    <t>Unskilled Labour Charges for Earthwork excavation</t>
  </si>
  <si>
    <t xml:space="preserve">Clearing and grubbing road land </t>
  </si>
  <si>
    <t>Construction of embankment with approved material</t>
  </si>
  <si>
    <t>Construction of Culverts</t>
  </si>
  <si>
    <t xml:space="preserve">                             Necessary provisions are shown for Q.C Charges @ 0.50% , GST charges @ 18%, and seigneorage charges are also shown in the estimate.</t>
  </si>
  <si>
    <t>Cost and supply of NP3 pipes 1000mm</t>
  </si>
  <si>
    <t>Cost and supply of NP3 pipes 600mm</t>
  </si>
  <si>
    <t>MAT-0062</t>
  </si>
  <si>
    <t>GST charges</t>
  </si>
  <si>
    <t>S. No</t>
  </si>
  <si>
    <t>Index Code</t>
  </si>
  <si>
    <t>Description of item of work</t>
  </si>
  <si>
    <t>Ordinary soils</t>
  </si>
  <si>
    <t>Manual Means</t>
  </si>
  <si>
    <t>i</t>
  </si>
  <si>
    <t>Up to 3 m Depth</t>
  </si>
  <si>
    <t>Uint=Cum</t>
  </si>
  <si>
    <t>Taking Output=10 Cum</t>
  </si>
  <si>
    <t>a )Labour</t>
  </si>
  <si>
    <t>Day</t>
  </si>
  <si>
    <t>Rate per 10 Cum</t>
  </si>
  <si>
    <t>RBR-FNDN-4 C i</t>
  </si>
  <si>
    <t>R.C.C grade M 20 (Design Mix) using 20 mm Graded Metal (MORTH)</t>
  </si>
  <si>
    <t xml:space="preserve">CASE I : Using Concrete Mixer </t>
  </si>
  <si>
    <t>(a) Material</t>
  </si>
  <si>
    <t>10 mm aggregate</t>
  </si>
  <si>
    <t xml:space="preserve">(b) Labour </t>
  </si>
  <si>
    <t>(c) Machinery</t>
  </si>
  <si>
    <t>Generator 33 KVA</t>
  </si>
  <si>
    <t>(d) Formwork @ 4% on (a+b+c)</t>
  </si>
  <si>
    <t>RBR-SBST-5</t>
  </si>
  <si>
    <t>Note : Water for concrete : A provision for cost of water may be added at 1.2 kl / 1 cum (including curing  purpose) keeping the site conditions</t>
  </si>
  <si>
    <t>For height upto 5 m</t>
  </si>
  <si>
    <t>(d) Formwork @ 4% on cost of material, labour and machinery (a+b+c)</t>
  </si>
  <si>
    <t>Add 13.615% for Over head charges, Contractors profit</t>
  </si>
  <si>
    <t>Rate per 1Cum</t>
  </si>
  <si>
    <t>Printing New letters and figures of any shade</t>
  </si>
  <si>
    <t>RBR-TSRA-1</t>
  </si>
  <si>
    <t>Printing new letter and figures of any shade with synthetic enamel paint black or any other approved colour to give an even shade as per drawings and technical specifications Clause 1701 MORD/801 MORTH</t>
  </si>
  <si>
    <t>ii</t>
  </si>
  <si>
    <t>English and Roman</t>
  </si>
  <si>
    <t>Hypens ,Commas and the like not to be measured and paid for</t>
  </si>
  <si>
    <t>Unit=Per Cm height per Letter</t>
  </si>
  <si>
    <t>a) labour</t>
  </si>
  <si>
    <t xml:space="preserve">Mate </t>
  </si>
  <si>
    <t>Painter I st class</t>
  </si>
  <si>
    <t>b) Material</t>
  </si>
  <si>
    <t>Syntehtic enamel Paint</t>
  </si>
  <si>
    <t>Cost for 1600 Cm=a+b+c+d</t>
  </si>
  <si>
    <t>Rate per Cm Height per letter=(a+b+c+d)/1600</t>
  </si>
  <si>
    <t>Painting Two Coats on New Concrete surfaces</t>
  </si>
  <si>
    <t>RBR-TSRA-6</t>
  </si>
  <si>
    <t>Painting two coats including primer coat after filling the surface with synthetic enamel paint in all shaded on New plastered/concrete surfaces as per deawings and technical specification clause 1701 of MORD.</t>
  </si>
  <si>
    <t>Uint=Sqm</t>
  </si>
  <si>
    <t>taking Out Put::40 Sqm</t>
  </si>
  <si>
    <t>Cement Primer exterior grade as per Specifications (BMT-J.02)</t>
  </si>
  <si>
    <t>Rate per Sqm=(a+b+c+d)/10</t>
  </si>
  <si>
    <t>Painting  on Steel surface</t>
  </si>
  <si>
    <t>RBR-TSRA-7</t>
  </si>
  <si>
    <t>Providing and Applying two coats of ready mix enamel Paint including cost of approved brand on steel surface after through cleaning of surface to give an even shade as per drawings and technical specification clause 1701 MORD.</t>
  </si>
  <si>
    <t>taking Out Put::10 Sqm</t>
  </si>
  <si>
    <t>Rex oxide Primer Grade I</t>
  </si>
  <si>
    <t>Paint ready mixed approved brand</t>
  </si>
  <si>
    <t>Add:for Scaffolding @ 1% of labour where required</t>
  </si>
  <si>
    <t>Cost for 10 Sqm =a+b+c+d</t>
  </si>
  <si>
    <t>HYSD Bar for Reinforment</t>
  </si>
  <si>
    <t>RBR-SPST-2</t>
  </si>
  <si>
    <t>Unit = t</t>
  </si>
  <si>
    <t>HYSD bars including 5 per cent for laps and wastage</t>
  </si>
  <si>
    <t>kg</t>
  </si>
  <si>
    <t>(b) Labour for cutting, bending, tying and placing in position</t>
  </si>
  <si>
    <t>Blacksmith/ Rod Binder</t>
  </si>
  <si>
    <t>Rate per1MT</t>
  </si>
  <si>
    <t>Rate per 1 Kg</t>
  </si>
  <si>
    <t>RBR-TSRA-13</t>
  </si>
  <si>
    <t>Unit = each</t>
  </si>
  <si>
    <t>a)M20 Grade Concrete</t>
  </si>
  <si>
    <t>As Per item no:2</t>
  </si>
  <si>
    <t>b)Steel reinforcement @ 5 Kgs/Sqm</t>
  </si>
  <si>
    <t>As Per item No:7</t>
  </si>
  <si>
    <t>c) Excavation in soil for Foundation</t>
  </si>
  <si>
    <t>As Per Item 1</t>
  </si>
  <si>
    <t>d) Painting Two coats on concrete surfaces</t>
  </si>
  <si>
    <t>As Per irem No:5</t>
  </si>
  <si>
    <t>e)Lettering on KM Post (Average 12 letters of 10 cm height each)</t>
  </si>
  <si>
    <t>As Per irem No:4</t>
  </si>
  <si>
    <t>Per Cm</t>
  </si>
  <si>
    <t>Transport and fixing</t>
  </si>
  <si>
    <t>f) Labour</t>
  </si>
  <si>
    <t>Mason (1 st Class0</t>
  </si>
  <si>
    <t>g) Machinery</t>
  </si>
  <si>
    <t>50 HP tractor with trolley</t>
  </si>
  <si>
    <t>Ordinary Kilometre Stone (Precast)</t>
  </si>
  <si>
    <t>Taking output=14 Nos</t>
  </si>
  <si>
    <t>Cost of 14 Nos KM Stones</t>
  </si>
  <si>
    <t>Rate per each KM Stone/14</t>
  </si>
  <si>
    <t>iii</t>
  </si>
  <si>
    <t>200 m /Hectometre Stone (Precast)</t>
  </si>
  <si>
    <t>Taking output=33 Nos</t>
  </si>
  <si>
    <t>Cost of 33 Nos HM Stones</t>
  </si>
  <si>
    <t>Rate per each HM Stone/33</t>
  </si>
  <si>
    <t>Retro -reflectorised traffic signs</t>
  </si>
  <si>
    <t>RBR-TSRA-2</t>
  </si>
  <si>
    <t>(i) Excavation for founadation</t>
  </si>
  <si>
    <t>(ii) Cement Concrete M15 Grade</t>
  </si>
  <si>
    <t>As Per item No:4</t>
  </si>
  <si>
    <t>iii) Painting angle iron post with primer and two coats of epoxy paint as per specifications</t>
  </si>
  <si>
    <t>As Per item no:6</t>
  </si>
  <si>
    <t>a) Labour</t>
  </si>
  <si>
    <t>Mild steel angle Iron 75x75x6 mm</t>
  </si>
  <si>
    <t>kgs</t>
  </si>
  <si>
    <t xml:space="preserve">M-061 </t>
  </si>
  <si>
    <t>Common SSR Rates 2017-18</t>
  </si>
  <si>
    <t>c) Machinery</t>
  </si>
  <si>
    <t>Semi reflective traffic signs</t>
  </si>
  <si>
    <t>Taking output = one traffic sign</t>
  </si>
  <si>
    <t>Excavation in soil for foundation</t>
  </si>
  <si>
    <t xml:space="preserve">Cement concrete of M15 Grade </t>
  </si>
  <si>
    <t>Painting steel tube posts with two coats of epoxy paint</t>
  </si>
  <si>
    <t>sqm</t>
  </si>
  <si>
    <t>Angle iron 50x50x6 mm for hold fast including 5% wastage</t>
  </si>
  <si>
    <t>Add 3% cost of MS Sheet tube and angle irons towards the cost of fabrication, drilling holes, nuts &amp; bolts etc.,</t>
  </si>
  <si>
    <t>1.5 mm thick MS Sheet duly painted with stove enamelled paint including lettering, signs, border, message with reflective tape of engineering grade required size, shape and colour as per technical specifications</t>
  </si>
  <si>
    <t>600mm equilateral triangle</t>
  </si>
  <si>
    <t>0.156 sqm x 0.0015 m x 7850 kg / cum =1.84 kg</t>
  </si>
  <si>
    <t>Tractor with Trolley</t>
  </si>
  <si>
    <t>Sub Total</t>
  </si>
  <si>
    <t>Rate per 1No</t>
  </si>
  <si>
    <t>RBR-TSRA-3</t>
  </si>
  <si>
    <t>Taking output=0.90 Sqm</t>
  </si>
  <si>
    <t xml:space="preserve">Two legs providing hence 2 times as per data </t>
  </si>
  <si>
    <t>Rate per 0.90 sqm ( With enamel paint)</t>
  </si>
  <si>
    <t>Rate per  sqm ( With enamel paint)</t>
  </si>
  <si>
    <t>Semi Reflective traffic Signs</t>
  </si>
  <si>
    <t>(i) Support of MS Sheet tubes 47mmx47mmx12mm SWG sheet 3050mm long</t>
  </si>
  <si>
    <t>(iii) 2mm thick MS sheet stregthened by 25mmx5mm MS flat iron and painted with stove enameled paint including lettering signs messages border with reflective tape of engineering grade of required size shade and colour as per MORD specifications.</t>
  </si>
  <si>
    <t>Rate per Board  (With enamel paint)</t>
  </si>
  <si>
    <t>Uint= 1 No</t>
  </si>
  <si>
    <t>Name of the work:</t>
  </si>
  <si>
    <t>Construction of Road Safety interventions</t>
  </si>
  <si>
    <t>Supply and fixing of KM Stones including painting and required  lettering.</t>
  </si>
  <si>
    <t>KM stones</t>
  </si>
  <si>
    <t>Supply and fixing of HM Stones including painting and required  lettering.</t>
  </si>
  <si>
    <t>HM stones</t>
  </si>
  <si>
    <t xml:space="preserve">Pavement markings with hot line applied Thermo plastic compound 2.50 mm thick including reflecting glass beads at 250 gms/sqm, thickness of 2.5mm is exclusive of surface applied glass beads for providing centerline marking 300 cms length and 10cm width with a gap of 450 cms including cost and convenyace of all materials  equipment machinary and labour with all leads and lifts loading and unloading charges necessary for sucessful completion of work as directed by the Engineer-in-Charge and confirming to IS 164 - 1981 (1st revison reaffirmed in 1986) and clause 803 of MOST specification for roads and bridge works and also confirming to IRC 35 -1997 </t>
  </si>
  <si>
    <t>Providing and erecting direction and place identification retro-reflective Village boards sign as per IRC:67 made of encapsulated lens type refective type sheeting vide clause 1701.2.3 MORD fixed over aluiminium sheeting,2 mm thick with area not exceeding 0.90 sqm supported on 47mmx47mmx12SWG sheet tube of 3050 mm height duly strengthned by 25mm x5mm MS flat iron on edges on black firmly fixed to ground by means of propoerly designed foundation with M15 grade cement concrete 450x600 mmx600 mm below groubd level as per drawings and technical specification clause 1701 MORD.</t>
  </si>
  <si>
    <t>Providing and erecting direction and place identification of retroreflective reflective sign boards as per as per IRC 67 made of 2 mm thick MS sheet duly stove enameled paint white colour in front and grey colour on back with reflective border of 70mm width&amp; required message letters &amp; figures with reflective tape engineering grade as per  MoRD specifications of required shade &amp; colour supported &amp; welded on two numbers  47mmX47mmX12SWG sheet tube of 3050 mm height duly strengthened by 25 mm x 5 mm MS flat iron on edges on back firmly fixed to ground by mean of property designed foundation with M-20 grade cement concrete 450mmX600mmX600mm below ground level as per approved drawing clause 1701</t>
  </si>
  <si>
    <t>Village board</t>
  </si>
  <si>
    <t>Main informatory Board</t>
  </si>
  <si>
    <t>Providing and fixing of retro-reflectorised cautionary,mandatory and informatory sign as per IRC:67 made of encapsulated lens type reflective sheeting vide clause 1701.2.3 MORD fixed over aluminium sheeting 1.50 mm thick supported on a mild steel iron post 75mmx75 mm x6 mm firmly fixed to the ground by means of properly designed foundation with M15 cement concrete 450mm x450mmx600 mm,600 mm below ground level as per drawings and technical specification clause 1701 MORD</t>
  </si>
  <si>
    <t>Sign board</t>
  </si>
  <si>
    <t>Support of MS Sheet tube BMT-F.04</t>
  </si>
  <si>
    <r>
      <t xml:space="preserve">Coarse Aggregate : </t>
    </r>
    <r>
      <rPr>
        <sz val="10"/>
        <rFont val="Calibri"/>
        <family val="2"/>
        <scheme val="minor"/>
      </rPr>
      <t>Single grade nominal size can also be used instead of graded metal, keeping the site conditions in view</t>
    </r>
  </si>
  <si>
    <r>
      <t>Supplying, fitting, and placing HYSD bar reinforcement</t>
    </r>
    <r>
      <rPr>
        <b/>
        <sz val="10"/>
        <rFont val="Calibri"/>
        <family val="2"/>
        <scheme val="minor"/>
      </rPr>
      <t xml:space="preserve"> in sub structure </t>
    </r>
    <r>
      <rPr>
        <sz val="10"/>
        <rFont val="Calibri"/>
        <family val="2"/>
        <scheme val="minor"/>
      </rPr>
      <t>complete as per drawing and technical specifications Clauses 1002, 1010 and 1202 MORD / 1600 MORTH, for Bars below 36 mm dia including over laps and wastage, where they are not welded</t>
    </r>
  </si>
  <si>
    <r>
      <rPr>
        <b/>
        <sz val="10"/>
        <rFont val="Calibri"/>
        <family val="2"/>
        <scheme val="minor"/>
      </rPr>
      <t>Earthwork in excavation for structures</t>
    </r>
    <r>
      <rPr>
        <sz val="10"/>
        <rFont val="Calibri"/>
        <family val="2"/>
        <scheme val="minor"/>
      </rPr>
      <t xml:space="preserve">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r>
  </si>
  <si>
    <r>
      <rPr>
        <b/>
        <sz val="10"/>
        <rFont val="Calibri"/>
        <family val="2"/>
        <scheme val="minor"/>
      </rPr>
      <t xml:space="preserve">Providing concrete for reinforced concrete M 20 grade (Design Mix) </t>
    </r>
    <r>
      <rPr>
        <sz val="10"/>
        <rFont val="Calibri"/>
        <family val="2"/>
        <scheme val="minor"/>
      </rPr>
      <t>in open foundations using 20 &amp; 10 mm nominal size Graded hard stone aggregate, mechanically mixed, placed in foundation and compacted by vibration including curing for 14 days complete as per drawings and technical specifications Clause 802, 803, 1202 &amp; 1203 MORD and 1500, 1700 &amp; 2100 MORTH.</t>
    </r>
  </si>
  <si>
    <r>
      <t>Plain cement concrete</t>
    </r>
    <r>
      <rPr>
        <b/>
        <sz val="10"/>
        <rFont val="Calibri"/>
        <family val="2"/>
        <scheme val="minor"/>
      </rPr>
      <t xml:space="preserve"> M 15 grade using 40,20 &amp; 10mm metal mechanically mixed</t>
    </r>
    <r>
      <rPr>
        <sz val="10"/>
        <rFont val="Calibri"/>
        <family val="2"/>
        <scheme val="minor"/>
      </rPr>
      <t xml:space="preserve"> in </t>
    </r>
    <r>
      <rPr>
        <b/>
        <sz val="10"/>
        <rFont val="Calibri"/>
        <family val="2"/>
        <scheme val="minor"/>
      </rPr>
      <t>substructure</t>
    </r>
    <r>
      <rPr>
        <sz val="10"/>
        <rFont val="Calibri"/>
        <family val="2"/>
        <scheme val="minor"/>
      </rPr>
      <t xml:space="preserve"> complete as per drawings and technical specification Clauses 802, 804, 805, 806, 807, 1202 and 1204 MORD and 1500, 1700 &amp; 2200 MORTH.</t>
    </r>
  </si>
  <si>
    <t>Providing and fixing of kilometre stones of size 350x250x1100 mm precasted with RCC (1:2:4) using 20 mm and 10 mm HBG Metal and using 5 Kgs/sqm of steel HYSD bars including cost and fabrication charges and embedding these stones in 0.55x0.55x0.60 m size Cement concrete M20 Grade CC(1:2:4) using 20 mm and 10 mm HBG metal below ground level,painting ,lettering etc Complete as per Drawings and technical specification clause 1703 of MORD including cost and conveyance of all materials, all labour charges.</t>
  </si>
  <si>
    <t>Providing and fixing of Hectometre stones of size  mm 650x150x1100 precasted with RCC (1:2:4) using 20 mm and 10 mm HBG Metal and using 5 Kgs/sqm of steel HYSD bars including cost and fabrication charges and embedding these stones in 0.35x0.30x0.40 m size Cement concrete M20 Grade CC(1:2:4) using 20 mm and 10 mm HBG metal below ground level,painting ,lettering etc Complete as per Drawings and technical specification clause 1703 of MORD including cost and conveyance of all materials, all labour charges.</t>
  </si>
  <si>
    <t>Providing &amp; fixingng Semi reflective cautionary mandatory &amp; informatory sign boards as per IRC 67 made of 600mm equalatral trangle of 1.5mm thick MS sheet duly stove white wash colour on back with reflective border of 65mm width&amp; required letters &amp; figures with reflective tape engineering grade as per clause 1701.3.9 of MoRD of required shade &amp; colour supported &amp; welded on 47mmX47mmX12SWG sheet tube firmly fixed to ground by mean of property designed foundation with M-15 grade cement concrete 450mmX600mmX600mm below ground level as per approved drawing clause 1701.2.2 [iron] at required points i.e. village, turning, school etc. including cost, conveyance, taxes of all materials required  &amp; fixing at site as per approved drawing  &amp; direction of Engineering in charge.</t>
  </si>
  <si>
    <t>Providing and erecting direction and place identification retro-refectorised sign as per IRC:67 made of encapsulated lens type refective type sheeting vide clause 1701.2.3 MORD fixed over aluiminium sheeting,2 mm thick with area not exceeding 0.90 sqm supported on mild steel iron posts 75x75x6 mm firmly fixed to ground by means of propoerly designed foundation with M15 grade cement concrete 450x450x600 mm,600 mm below groubd level as per drawings and technical specification clause 1701 MORD including cost and conveyance of all materials, all labour charges.</t>
  </si>
  <si>
    <t>Pavement markings with hot line applied Thermo plastic compound 2.50 mm thick including reflecting glass beads at 250 gms/sqm, thickness of 2.5mm is exclusive of surface applied glass beads for providing centerline marking 300 cms length and 10cm width with a gap of 450 cms including cost and convenyace of all materials  equipment machinary and labour with all leads and lifts loading and unloading charges necessary for sucessful completion of work as directed by the Engineer-in-Charge and confirming to IS 164 - 1981 (1st revison reaffirmed in 1986) and clause 803 of MOST specification for roads and bridge works and also confirming to IRC 35 -1997 .</t>
  </si>
  <si>
    <t>ACT0194</t>
  </si>
  <si>
    <t>ACT0195</t>
  </si>
  <si>
    <t>ACT0485</t>
  </si>
  <si>
    <t xml:space="preserve">S&amp;F of retro-reflective cautionary, mandatory &amp; informatory sign as per IRC:67 made of encapsulated lens type reflective sheeting vide clause 1701.2.3 MORD fixed over aluminium sheeting 1.5mm thick supported on a mild steel iron post 75x75x6 mm firmly fixed to the ground by means of properly designed foundation with M20 cement concrete 450x450x600mm,600 mm below ground level as per drawings and technical spec. clause 1701 MORD Cautionary warning signs Equilateral traiangle of size 600 mm </t>
  </si>
  <si>
    <t>ACT0481</t>
  </si>
  <si>
    <t>S/&amp;F Direction&amp;Place identi. retrorefl. sign boards as per as per IRC67 made of 2mm thick MS sheet duly stove enameled paint white colour in front&amp;grey colour on back with refl.border of 70mm width&amp;required message let.&amp;fig. with refl. tape engg. grade as per clause 1701 of req. shade&amp;colour supported&amp;welded on two nos.47X47X12mm SWG sheet tube of 3050mm ht.strengthened by 25x5mm MS flat on edges on back fixed to ground fn. in M-20 CC 450X600X600mm below G.L Main info. Board of size 1500 x1200</t>
  </si>
  <si>
    <t>ACT0482</t>
  </si>
  <si>
    <t xml:space="preserve">S/&amp;F Direction&amp;Place identi.semi reflective Village boards as per as per IRC67 made of 2mm thick MS sheet duly stove enameled paint white colour in front&amp;grey colour on back with refl.border of 70mm width&amp;required message let.&amp;fig. with refl. tape engg. grade as per clause 1701 of req. shade&amp;colour supported&amp;welded on two nos.47X47X12mm SWG sheet tube of 3050mm ht.strengthened by 25x5mm MS flat on edges on back fixed to ground fn. in M-20 CC 450X600X600mm below GL vill. board of size 900X600 mm </t>
  </si>
  <si>
    <t>ACT0483</t>
  </si>
  <si>
    <t>Pavement markings with hot line applied Thermo plastic compound 2.5mm thick incl. refl. glass beads at 250 gms/sqm, thickness of 2.5mm is exclusive of surface applied glass beads for providing centerline marking 300 cms length and 10cm width with a gap of 450 cms including C&amp;C of all mat.  equip.&amp;labour with all leads&amp;lifts loading&amp;unloading charges confirming to IS 164-1981 (1st revison reaffirmed in 1986)&amp;clause 803 of MOST spec. for R&amp;Bworks and also confirming to IRC 35-1997.Road marking</t>
  </si>
  <si>
    <t>Providing and laying reinforced cement concrete pipe 6000 dia NP3 for culverts on first class bedding of granular  material but excluding excavation, protection works, backfilling, concrete and masonry works in head wall and parapets. Tech Specification Clause 1106 MORD.</t>
  </si>
  <si>
    <t>Unskilled Labour - Earthwork</t>
  </si>
  <si>
    <t>Clearing and grubbing road</t>
  </si>
  <si>
    <t>Construction of embankment</t>
  </si>
  <si>
    <t xml:space="preserve">Construction of Granular Sub Base </t>
  </si>
  <si>
    <t xml:space="preserve">Providing, laying, wet mix macadam </t>
  </si>
  <si>
    <t>Providing and applying primer coat</t>
  </si>
  <si>
    <t>Providing and applying tack coat</t>
  </si>
  <si>
    <t>Providing and laying  of SDBC</t>
  </si>
  <si>
    <t xml:space="preserve">Construction of improved shoulders </t>
  </si>
  <si>
    <t xml:space="preserve">Earthwork in excavation for structures </t>
  </si>
  <si>
    <t>PCC M10 Grade in open foundations</t>
  </si>
  <si>
    <t xml:space="preserve">Providing and laying RCC pipe 1000 dia NP3 </t>
  </si>
  <si>
    <t>PCC M 15 grade  for abutment</t>
  </si>
  <si>
    <t>Providing  RCC M-25 grade  for Guide Posts</t>
  </si>
  <si>
    <t>PCC M-20 Grade for CC Pavement</t>
  </si>
  <si>
    <t xml:space="preserve">Providing and laying RCC pipe 600 dia NP3 </t>
  </si>
  <si>
    <t>Supply and fixing of KM Stones</t>
  </si>
  <si>
    <t xml:space="preserve">Supply and fixing of HM Stones </t>
  </si>
  <si>
    <t>Providing and fixing of  informatory sign</t>
  </si>
  <si>
    <t>Providing and fixing of  Place identification board</t>
  </si>
  <si>
    <t>Providing and fixing of  Village information board</t>
  </si>
  <si>
    <t xml:space="preserve">hot line applied Thermo plastic compound </t>
  </si>
  <si>
    <t>Jungle</t>
  </si>
  <si>
    <t>Scrifying</t>
  </si>
  <si>
    <t>Wet Mix mecadam</t>
  </si>
  <si>
    <t>Primary coat</t>
  </si>
  <si>
    <t>Tack coat</t>
  </si>
  <si>
    <t>PCC M-10</t>
  </si>
  <si>
    <t>1000 NP3</t>
  </si>
  <si>
    <t>RCC M-25</t>
  </si>
  <si>
    <t>Steel</t>
  </si>
  <si>
    <t>600 NP3</t>
  </si>
  <si>
    <t>KM stone</t>
  </si>
  <si>
    <t>HM stone</t>
  </si>
  <si>
    <t>Place Identification board</t>
  </si>
  <si>
    <t>village board</t>
  </si>
  <si>
    <t>Thermo Plastic compound</t>
  </si>
  <si>
    <t>Np3 Pipes</t>
  </si>
  <si>
    <t xml:space="preserve">Proceedings RC.No.D7/314/EGS/2024 Date d 19/11/2024 of the Collector &amp; DPC, MGNREGS, Prakasam District </t>
  </si>
  <si>
    <t>DR.No.            /2024-25 Dt.                       of the Executive Engineer, PRI  Division, Kandukur</t>
  </si>
  <si>
    <t>PRI Sub Division : Kanigiri</t>
  </si>
  <si>
    <r>
      <t>Mandal</t>
    </r>
    <r>
      <rPr>
        <sz val="10"/>
        <rFont val="Calibri"/>
        <family val="2"/>
        <scheme val="minor"/>
      </rPr>
      <t xml:space="preserve"> : </t>
    </r>
    <r>
      <rPr>
        <sz val="10"/>
        <color rgb="FFFF0000"/>
        <rFont val="Calibri"/>
        <family val="2"/>
        <scheme val="minor"/>
      </rPr>
      <t>Kanigiri</t>
    </r>
  </si>
  <si>
    <t>MAT-0040 NP3 pipes of 1000mm</t>
  </si>
  <si>
    <t>MAT-0040 NP3 pipes of 600mm</t>
  </si>
  <si>
    <t>MAT-0063 Name board</t>
  </si>
  <si>
    <t xml:space="preserve">MAT-0062 GSt charges </t>
  </si>
  <si>
    <t>Certified that the Contractor has accepted all measurements recorded</t>
  </si>
  <si>
    <t>Certified that the Contractor has conveyed for all materials from the approved quarry for use on the work as per lead statement.</t>
  </si>
  <si>
    <t>Certified to the effect that no recoveries are out standing against the Contractor</t>
  </si>
  <si>
    <t>Contractor</t>
  </si>
  <si>
    <t>Sub Division : Kanigiri</t>
  </si>
  <si>
    <t>Wetmix mecadam</t>
  </si>
  <si>
    <t>wet mix</t>
  </si>
  <si>
    <t>MAT-0052</t>
  </si>
  <si>
    <t>MAT-0039</t>
  </si>
  <si>
    <t>Deduct for Water for curing</t>
  </si>
  <si>
    <t>Unskilled labour for Curing of CC Pavament</t>
  </si>
  <si>
    <t>ACT0616</t>
  </si>
  <si>
    <t>Cost for 1 Sqm</t>
  </si>
  <si>
    <t>Cost for 40 Sqm</t>
  </si>
  <si>
    <t>P.C.Palli</t>
  </si>
  <si>
    <t>RBR-BASC-3</t>
  </si>
  <si>
    <t xml:space="preserve">Bituminous Macadam </t>
  </si>
  <si>
    <t>Providing and laying bituminous macadam with 40-60 TPH hot mix plant using crushed aggregates of  grading as per Table 500.4 premixed with bituminous binder, transported to site upto a lead of 1000 m laid over a previously prepared surface with paver finisher to the required grade, level and alignment and rolled to achieved the desired compaction as per Technical Specification Clause 504 MORD (using vibratory Roller 80-100 KN for intermediate rolling and 3 wheel roller 80-100 KN for initial and final rolling).</t>
  </si>
  <si>
    <t>Taking output = 102.5 cum (225 t)</t>
  </si>
  <si>
    <t>Batch mix HMP 40-60 THP @ 40 t per hour actual output</t>
  </si>
  <si>
    <t>Hydraulic broom @ 1250 sqm per hour</t>
  </si>
  <si>
    <t>Paver finisher</t>
  </si>
  <si>
    <t>Generator 125 KVA</t>
  </si>
  <si>
    <t>Front end loader 1 cum bucket capacity</t>
  </si>
  <si>
    <t>Tipper 5.5 cum, 10 t / 5-6 t capacity</t>
  </si>
  <si>
    <t>Three wheel 80-100 kN static roller for initial break down rolling, final and finishing rolling</t>
  </si>
  <si>
    <t>Vibratory roller 80-100 kN for intermediate rolling</t>
  </si>
  <si>
    <t xml:space="preserve">(i) Bitumen @ 3.3 per cent of mix 
(Weight of mix = 102.5 x 2.2 = 225 t) </t>
  </si>
  <si>
    <t xml:space="preserve">(ii) Aggregate </t>
  </si>
  <si>
    <t>Total weight of mix = 225 t</t>
  </si>
  <si>
    <t>Weight of bitumen = 7.425 t</t>
  </si>
  <si>
    <t>Weight of aggregate = 225 – 7.425 = 217.575 t</t>
  </si>
  <si>
    <t>Taking density of aggregate = 1.5 t/cum</t>
  </si>
  <si>
    <t>Volume of aggregate = 145.05 cum</t>
  </si>
  <si>
    <t>Grading (19 mm nominal size) :</t>
  </si>
  <si>
    <t xml:space="preserve">25 -10 mm  - 40 per cent </t>
  </si>
  <si>
    <t xml:space="preserve">10– 5 mm   - 40 per cent </t>
  </si>
  <si>
    <t xml:space="preserve">5 mm and below  - 20 per cent </t>
  </si>
  <si>
    <t xml:space="preserve">Rate  per 102.5 cum </t>
  </si>
  <si>
    <t>25mm HBG Metal</t>
  </si>
  <si>
    <t>10mm HBG Metal</t>
  </si>
  <si>
    <t>6mm HBG Metal</t>
  </si>
  <si>
    <t>Extension of Existing cc road at Km 0/8 +152 to 1/0+ 55</t>
  </si>
  <si>
    <t>5.76+6.48/2</t>
  </si>
  <si>
    <t>0.87+0.51/2</t>
  </si>
  <si>
    <t>Parapet wall</t>
  </si>
  <si>
    <t>Deduct CD work 1/0 to 1/2</t>
  </si>
  <si>
    <t>Km 1/0 + 55 to 1/2</t>
  </si>
  <si>
    <t>Km 1/2 to 1/4</t>
  </si>
  <si>
    <t>Km 1/4 to 1/6</t>
  </si>
  <si>
    <t>Km 1/6 to 1/8</t>
  </si>
  <si>
    <t>Km 1/8 to 2/0</t>
  </si>
  <si>
    <t>As Per Circular memo :RSI / CE (MDR) / DEC ( R ) /EE (TEC) / DEE6 / AEE2 / 2020 Dt 19.06.2020</t>
  </si>
  <si>
    <t>BM</t>
  </si>
  <si>
    <t>Consideration amount</t>
  </si>
  <si>
    <t>DMF Amount 30%</t>
  </si>
  <si>
    <t>Maintenance amount 2%</t>
  </si>
  <si>
    <t>Grand Total</t>
  </si>
  <si>
    <t>Steel - Fe 415 Feb.25</t>
  </si>
  <si>
    <t>Construction of improved subgrade by provided selected earth  and spreading in uniform layers with tractor grader on prepared surface and compacted at OMC with vibratory roller 80-100 KN to meet requirement of table 00.2 with as per technical specification clause 303 MORD, 305 MORTH by using machinery</t>
  </si>
  <si>
    <t>Subgrade</t>
  </si>
  <si>
    <t>KANIGIRI</t>
  </si>
  <si>
    <t xml:space="preserve">                               Hence the estimate is prepared with upto BT standards with following provisions. </t>
  </si>
  <si>
    <t>Construction of Subgrade with selected earth</t>
  </si>
  <si>
    <t>Providing and laying bituminous macadam with 40-60 TPH</t>
  </si>
  <si>
    <t>Vengalayapalli</t>
  </si>
  <si>
    <t>Dismantling of cement concrete pavements by mechanical means using pneumatic tools breaking to pieces not exceeding 0.02 cum in volume and stock piling at designated locations and disposal of dismantled materials upto a lead of 1000 m, stacking serviceable and unserviceable materials separately.</t>
  </si>
  <si>
    <t>RBR-STCL-15</t>
  </si>
  <si>
    <t>Mazdoor (Semi-skilled)</t>
  </si>
  <si>
    <t>Air compressor 210 / 250 cfm with two leads for pneumatic cutters / hammers @ 1 cum per hour</t>
  </si>
  <si>
    <t>HIR- 00002</t>
  </si>
  <si>
    <t>Joint Cutting Machine with 2-3 blades</t>
  </si>
  <si>
    <t>HIR-00048</t>
  </si>
  <si>
    <t>RCC slab</t>
  </si>
  <si>
    <t>Dismantling of existing structures  comprising of stone masonry, including disposal of unserviceable material and stacking the serviceable material with all lifts and lead of 1000 m as per Technical Specification Clause 202 MORD / MORTH</t>
  </si>
  <si>
    <t>RBR-STCL-7</t>
  </si>
  <si>
    <t>Dismantling Stone Masonry as per Technical Specification Clause 202.</t>
  </si>
  <si>
    <t>Taking ouput = 1.25 cum</t>
  </si>
  <si>
    <t>Rubble Stone Masonry in Cement Mortar</t>
  </si>
  <si>
    <t>Rate per 1.25 cum</t>
  </si>
  <si>
    <t>Rate per 1.00 cum</t>
  </si>
  <si>
    <t>ACT0217</t>
  </si>
  <si>
    <t>ACT0504</t>
  </si>
  <si>
    <t>Damaged existing CC road</t>
  </si>
  <si>
    <t>Construction of 3 rows of 1000mm dia vented road dam @ Km 1/0 to 1/2</t>
  </si>
  <si>
    <t>Construction of 2 rows of 1000mm dia vented road dam @ 2/8 to 3/0 &amp; 3/2 to 3/4.</t>
  </si>
  <si>
    <t>Providing BT Surface to road from Peda Alavalapadu -Botlagudur R&amp;B Road to NIMZ (Industrial Park) via Diwakarapuram (Reach-1) in PCPalli Mandal</t>
  </si>
  <si>
    <t>Km 2/0 to 2/0 + 137</t>
  </si>
  <si>
    <t>Km 2/0 to 2/0+137</t>
  </si>
  <si>
    <t>For CC road</t>
  </si>
  <si>
    <t>For BT road</t>
  </si>
  <si>
    <t>Scariftying</t>
  </si>
  <si>
    <t>Subbase</t>
  </si>
  <si>
    <t>wetmix</t>
  </si>
  <si>
    <t xml:space="preserve">CC </t>
  </si>
  <si>
    <t>primer</t>
  </si>
  <si>
    <t>tack coat</t>
  </si>
  <si>
    <t>sdbc</t>
  </si>
  <si>
    <t>Culverts</t>
  </si>
  <si>
    <t xml:space="preserve">Bed </t>
  </si>
  <si>
    <t>Encasement</t>
  </si>
  <si>
    <t>Body walls width</t>
  </si>
  <si>
    <t>Body walls height</t>
  </si>
  <si>
    <t xml:space="preserve">parapet </t>
  </si>
  <si>
    <t>Reach-1</t>
  </si>
  <si>
    <t>0.9+0.45</t>
  </si>
  <si>
    <t>0.23x0.60</t>
  </si>
  <si>
    <t>1/0 to 1/2</t>
  </si>
  <si>
    <t>2 rows of 1000mm dia pipes</t>
  </si>
  <si>
    <t>Reach-2</t>
  </si>
  <si>
    <t>CC road Length = 103 Mts</t>
  </si>
  <si>
    <t>3rows of 1000mm dia pipes</t>
  </si>
  <si>
    <t>2/8 to 3/0</t>
  </si>
  <si>
    <t>3/2 to 3/4</t>
  </si>
  <si>
    <t>Km</t>
  </si>
  <si>
    <t>4No</t>
  </si>
  <si>
    <t>Hm</t>
  </si>
  <si>
    <t>15No</t>
  </si>
  <si>
    <t>BT road = 2479.00 Mts  (51 Mts not done due to lack of funds)</t>
  </si>
  <si>
    <t>9.5mm to 4.75mm size HMG Chips @ 66%</t>
  </si>
  <si>
    <t>HIR-00111</t>
  </si>
  <si>
    <t xml:space="preserve">Formwork @ 4% on cost of material, labour and machinery </t>
  </si>
  <si>
    <t>Conveyance charges-2025-26</t>
  </si>
  <si>
    <t>LEAD STATEMENT (2025-2026)</t>
  </si>
  <si>
    <t>Certified that the rates are provided as per SSR 2025-26</t>
  </si>
  <si>
    <t>Sangam</t>
  </si>
  <si>
    <t>MAT-00219</t>
  </si>
  <si>
    <t>MAT-00216</t>
  </si>
  <si>
    <t>MAT-00215</t>
  </si>
  <si>
    <t>MAT-05645</t>
  </si>
  <si>
    <t>Emulsion RS-1 (Bulk)</t>
  </si>
  <si>
    <t xml:space="preserve">Bitumen VG 30 (Bulk)
</t>
  </si>
  <si>
    <t>Pamuru</t>
  </si>
  <si>
    <t xml:space="preserve"> DATA SHEET (SSR 2025-26)</t>
  </si>
  <si>
    <t>HIR-00062</t>
  </si>
  <si>
    <t>ROAD SAFETY INTERVENTIONS (2025-26)</t>
  </si>
  <si>
    <t>CD WORK - DATA SHEET (SSR 2025-26)</t>
  </si>
  <si>
    <t>Paint Confirming to requirement of Clause 1701.3.8
BMT-J.30</t>
  </si>
  <si>
    <t>Mason (1 st Class)</t>
  </si>
  <si>
    <t>50 HP tractor with trolley HIR-00077</t>
  </si>
  <si>
    <t>47mm x 47mm x 12 SWG Sheet 3050 mm long BMT-F.04</t>
  </si>
  <si>
    <t>Aluminimum sheeting with encapsulated lens type refective sheeting of size including lettering and signs as applicable back ground with epoxy paint MAT-00225</t>
  </si>
  <si>
    <t>Providing BT Surface to the road from Inimerla SC colony to National Highway at Nuchupoda in Inimerla GP of Pamuru Mandal.</t>
  </si>
  <si>
    <t>Emulsion SS-1 (Bulk) 01.01.2026</t>
  </si>
  <si>
    <t>Construction of 1 row of 1000mm dia Pipe culvert - 3 Nos</t>
  </si>
  <si>
    <t>Construction of 3 rows of 1000mm dia  pipe culvert - 3Nos</t>
  </si>
  <si>
    <t>Km 0/0 to 1/6 + 80</t>
  </si>
  <si>
    <t>140.00 Lakhs</t>
  </si>
  <si>
    <t>Grant: FOR ADMINISTRATIVE SANCTION</t>
  </si>
  <si>
    <t xml:space="preserve">                              It is proposed to provide base layer with Granular sub base with 100mm thick and Wet mix mecadam 150mm thick compacted successively. It is proposed to provide shoulders of 100mm thick compacted using selected earth extending the full width of 1.00 Mts on either side of the carriage way, single coat surface dressing is proposed in place of prime coat to protect the WBM surface from damage due to traffic. Black topping is proposed with 25mm thick  semi dense bituminous concrete  as per code</t>
  </si>
  <si>
    <t xml:space="preserve">                            The estimate is prepared as per the current schedule of rates for the year  2025-26 and the work will be executed as per APSS.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</si>
</sst>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 #,##0_ ;_ * \-#,##0_ ;_ * &quot;-&quot;_ ;_ @_ "/>
    <numFmt numFmtId="43" formatCode="_ * #,##0.00_ ;_ * \-#,##0.00_ ;_ * &quot;-&quot;??_ ;_ @_ "/>
    <numFmt numFmtId="164" formatCode="_(&quot;$&quot;* #,##0.00_);_(&quot;$&quot;* \(#,##0.00\);_(&quot;$&quot;* &quot;-&quot;??_);_(@_)"/>
    <numFmt numFmtId="165" formatCode="_(* #,##0.00_);_(* \(#,##0.00\);_(* &quot;-&quot;??_);_(@_)"/>
    <numFmt numFmtId="166" formatCode="_-* #,##0_-;\-* #,##0_-;_-* &quot;-&quot;_-;_-@_-"/>
    <numFmt numFmtId="167" formatCode="0.0"/>
    <numFmt numFmtId="168" formatCode="0.000"/>
    <numFmt numFmtId="169" formatCode="mm/dd/yy"/>
    <numFmt numFmtId="170" formatCode="_([$€-2]* #,##0.00_);_([$€-2]* \(#,##0.00\);_([$€-2]* &quot;-&quot;??_)"/>
    <numFmt numFmtId="171" formatCode="0.00_)"/>
    <numFmt numFmtId="172" formatCode="0;[Red]0"/>
    <numFmt numFmtId="173" formatCode="#,##0.00;[Red]#,##0.00"/>
    <numFmt numFmtId="174" formatCode="0.000_)"/>
    <numFmt numFmtId="175" formatCode="."/>
    <numFmt numFmtId="176" formatCode="0.00;[Red]0.00"/>
    <numFmt numFmtId="177" formatCode="0.000;[Red]0.000"/>
    <numFmt numFmtId="178" formatCode="0.00_);\(0.00\)"/>
    <numFmt numFmtId="179" formatCode="0.000%"/>
    <numFmt numFmtId="180" formatCode="&quot;£&quot;#,##0.00;[Red]\-&quot;£&quot;#,##0.00"/>
    <numFmt numFmtId="181" formatCode="0.0;[Red]0.0"/>
  </numFmts>
  <fonts count="188">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indexed="8"/>
      <name val="Arial"/>
      <family val="2"/>
    </font>
    <font>
      <sz val="10"/>
      <name val="MS Serif"/>
      <family val="1"/>
    </font>
    <font>
      <sz val="10"/>
      <color indexed="16"/>
      <name val="MS Serif"/>
      <family val="1"/>
    </font>
    <font>
      <sz val="8"/>
      <name val="Arial"/>
      <family val="2"/>
    </font>
    <font>
      <b/>
      <sz val="12"/>
      <name val="Arial"/>
      <family val="2"/>
    </font>
    <font>
      <b/>
      <sz val="10"/>
      <name val="Times New Roman"/>
      <family val="1"/>
    </font>
    <font>
      <sz val="7"/>
      <name val="Small Fonts"/>
      <family val="2"/>
    </font>
    <font>
      <sz val="8"/>
      <name val="Helv"/>
    </font>
    <font>
      <b/>
      <sz val="12"/>
      <name val="MS Sans Serif"/>
      <family val="2"/>
    </font>
    <font>
      <sz val="12"/>
      <name val="MS Sans Serif"/>
      <family val="2"/>
    </font>
    <font>
      <b/>
      <sz val="8"/>
      <color indexed="8"/>
      <name val="Helv"/>
    </font>
    <font>
      <b/>
      <sz val="10"/>
      <name val="Arial"/>
      <family val="2"/>
    </font>
    <font>
      <u/>
      <sz val="16"/>
      <name val="Verdana"/>
      <family val="2"/>
    </font>
    <font>
      <b/>
      <sz val="9"/>
      <name val="Verdana"/>
      <family val="2"/>
    </font>
    <font>
      <u/>
      <sz val="12"/>
      <name val="Verdana"/>
      <family val="2"/>
    </font>
    <font>
      <sz val="10"/>
      <name val="Arial"/>
      <family val="2"/>
    </font>
    <font>
      <b/>
      <sz val="14"/>
      <name val="Arial"/>
      <family val="2"/>
    </font>
    <font>
      <b/>
      <sz val="16"/>
      <name val="Arial"/>
      <family val="2"/>
    </font>
    <font>
      <sz val="10"/>
      <name val="Times New Roman"/>
      <family val="1"/>
    </font>
    <font>
      <sz val="18"/>
      <name val="Arial"/>
      <family val="2"/>
    </font>
    <font>
      <b/>
      <i/>
      <sz val="10"/>
      <name val="Arial"/>
      <family val="2"/>
    </font>
    <font>
      <u/>
      <sz val="10"/>
      <name val="Arial"/>
      <family val="2"/>
    </font>
    <font>
      <sz val="10"/>
      <name val="Arial"/>
      <family val="2"/>
    </font>
    <font>
      <sz val="11"/>
      <color indexed="8"/>
      <name val="Calibri"/>
      <family val="2"/>
    </font>
    <font>
      <sz val="11"/>
      <name val="Calibri"/>
      <family val="2"/>
    </font>
    <font>
      <sz val="12"/>
      <name val="Calibri"/>
      <family val="2"/>
    </font>
    <font>
      <sz val="10"/>
      <name val="Calibri"/>
      <family val="2"/>
    </font>
    <font>
      <b/>
      <sz val="12"/>
      <name val="Calibri"/>
      <family val="2"/>
    </font>
    <font>
      <u/>
      <sz val="14"/>
      <name val="Calibri"/>
      <family val="2"/>
    </font>
    <font>
      <b/>
      <sz val="11"/>
      <name val="Calibri"/>
      <family val="2"/>
    </font>
    <font>
      <sz val="12"/>
      <name val="Webdings"/>
      <family val="1"/>
      <charset val="2"/>
    </font>
    <font>
      <sz val="10"/>
      <name val="Helv"/>
    </font>
    <font>
      <sz val="11"/>
      <name val="Tahoma"/>
      <family val="2"/>
    </font>
    <font>
      <sz val="11"/>
      <color theme="1"/>
      <name val="Calibri"/>
      <family val="2"/>
      <scheme val="minor"/>
    </font>
    <font>
      <u/>
      <sz val="10"/>
      <color theme="10"/>
      <name val="Arial"/>
      <family val="2"/>
    </font>
    <font>
      <i/>
      <sz val="10"/>
      <color theme="1"/>
      <name val="Calibri"/>
      <family val="2"/>
    </font>
    <font>
      <b/>
      <i/>
      <sz val="12"/>
      <color theme="1"/>
      <name val="Calibri"/>
      <family val="2"/>
    </font>
    <font>
      <i/>
      <sz val="12"/>
      <color theme="1"/>
      <name val="Calibri"/>
      <family val="2"/>
    </font>
    <font>
      <b/>
      <i/>
      <u/>
      <sz val="12"/>
      <color theme="1"/>
      <name val="Calibri"/>
      <family val="2"/>
    </font>
    <font>
      <i/>
      <sz val="11"/>
      <color theme="1"/>
      <name val="Calibri"/>
      <family val="2"/>
    </font>
    <font>
      <sz val="10"/>
      <name val="Calibri"/>
      <family val="2"/>
      <scheme val="minor"/>
    </font>
    <font>
      <b/>
      <sz val="10"/>
      <name val="Calibri"/>
      <family val="2"/>
      <scheme val="minor"/>
    </font>
    <font>
      <b/>
      <u/>
      <sz val="14"/>
      <name val="Calibri"/>
      <family val="2"/>
      <scheme val="minor"/>
    </font>
    <font>
      <b/>
      <sz val="14"/>
      <name val="Calibri"/>
      <family val="2"/>
      <scheme val="minor"/>
    </font>
    <font>
      <b/>
      <sz val="12"/>
      <name val="Calibri"/>
      <family val="2"/>
      <scheme val="minor"/>
    </font>
    <font>
      <b/>
      <u/>
      <sz val="16"/>
      <name val="Calibri"/>
      <family val="2"/>
      <scheme val="minor"/>
    </font>
    <font>
      <sz val="9"/>
      <name val="Calibri"/>
      <family val="2"/>
      <scheme val="minor"/>
    </font>
    <font>
      <sz val="12"/>
      <name val="Calibri"/>
      <family val="2"/>
      <scheme val="minor"/>
    </font>
    <font>
      <u/>
      <sz val="12"/>
      <name val="Calibri"/>
      <family val="2"/>
      <scheme val="minor"/>
    </font>
    <font>
      <b/>
      <sz val="24"/>
      <name val="Calibri"/>
      <family val="2"/>
      <scheme val="minor"/>
    </font>
    <font>
      <b/>
      <u/>
      <sz val="12"/>
      <name val="Calibri"/>
      <family val="2"/>
      <scheme val="minor"/>
    </font>
    <font>
      <sz val="10"/>
      <color theme="1" tint="4.9989318521683403E-2"/>
      <name val="Calibri"/>
      <family val="2"/>
      <scheme val="minor"/>
    </font>
    <font>
      <b/>
      <u/>
      <sz val="18"/>
      <name val="Calibri"/>
      <family val="2"/>
      <scheme val="minor"/>
    </font>
    <font>
      <b/>
      <i/>
      <u/>
      <sz val="16"/>
      <color theme="1"/>
      <name val="Calibri"/>
      <family val="2"/>
    </font>
    <font>
      <b/>
      <u/>
      <sz val="15"/>
      <name val="Calibri"/>
      <family val="2"/>
      <scheme val="minor"/>
    </font>
    <font>
      <i/>
      <sz val="10"/>
      <name val="Arial"/>
      <family val="2"/>
    </font>
    <font>
      <sz val="11"/>
      <name val="Calibri"/>
      <family val="2"/>
      <scheme val="minor"/>
    </font>
    <font>
      <b/>
      <sz val="9"/>
      <name val="Arial"/>
      <family val="2"/>
    </font>
    <font>
      <b/>
      <sz val="11"/>
      <name val="Calibri"/>
      <family val="2"/>
      <scheme val="minor"/>
    </font>
    <font>
      <sz val="8"/>
      <name val="Calibri"/>
      <family val="2"/>
      <scheme val="minor"/>
    </font>
    <font>
      <b/>
      <u/>
      <sz val="14"/>
      <name val="Calibri"/>
      <family val="2"/>
    </font>
    <font>
      <u/>
      <sz val="11"/>
      <name val="Calibri"/>
      <family val="2"/>
    </font>
    <font>
      <b/>
      <sz val="11"/>
      <name val="Times New Roman"/>
      <family val="1"/>
    </font>
    <font>
      <sz val="10"/>
      <name val="Tahoma"/>
      <family val="2"/>
    </font>
    <font>
      <i/>
      <sz val="10"/>
      <name val="Calibri"/>
      <family val="2"/>
    </font>
    <font>
      <b/>
      <i/>
      <sz val="12"/>
      <name val="Calibri"/>
      <family val="2"/>
    </font>
    <font>
      <b/>
      <sz val="10"/>
      <color theme="1" tint="4.9989318521683403E-2"/>
      <name val="Calibri"/>
      <family val="2"/>
      <scheme val="minor"/>
    </font>
    <font>
      <sz val="11"/>
      <color indexed="9"/>
      <name val="Calibri"/>
      <family val="2"/>
    </font>
    <font>
      <b/>
      <sz val="11"/>
      <color indexed="8"/>
      <name val="Calibri"/>
      <family val="2"/>
    </font>
    <font>
      <b/>
      <sz val="12"/>
      <name val="Courier New"/>
      <family val="3"/>
    </font>
    <font>
      <sz val="11"/>
      <name val="Times New Roman"/>
      <family val="1"/>
    </font>
    <font>
      <b/>
      <sz val="18"/>
      <color indexed="62"/>
      <name val="Cambria"/>
      <family val="2"/>
    </font>
    <font>
      <sz val="10"/>
      <name val="Helv"/>
      <family val="2"/>
    </font>
    <font>
      <b/>
      <sz val="11"/>
      <color rgb="FFFA7D00"/>
      <name val="Calibri"/>
      <family val="2"/>
      <scheme val="minor"/>
    </font>
    <font>
      <i/>
      <sz val="12"/>
      <name val="Calibri"/>
      <family val="2"/>
    </font>
    <font>
      <sz val="11"/>
      <color indexed="16"/>
      <name val="Calibri"/>
      <family val="2"/>
    </font>
    <font>
      <sz val="11"/>
      <color indexed="20"/>
      <name val="Calibri"/>
      <family val="2"/>
    </font>
    <font>
      <b/>
      <sz val="11"/>
      <color indexed="53"/>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5"/>
      <color indexed="56"/>
      <name val="Calibri"/>
      <family val="2"/>
    </font>
    <font>
      <b/>
      <sz val="13"/>
      <color indexed="62"/>
      <name val="Calibri"/>
      <family val="2"/>
    </font>
    <font>
      <b/>
      <sz val="13"/>
      <color indexed="56"/>
      <name val="Calibri"/>
      <family val="2"/>
    </font>
    <font>
      <b/>
      <sz val="11"/>
      <color indexed="62"/>
      <name val="Calibri"/>
      <family val="2"/>
    </font>
    <font>
      <b/>
      <sz val="11"/>
      <color indexed="56"/>
      <name val="Calibri"/>
      <family val="2"/>
    </font>
    <font>
      <u/>
      <sz val="10"/>
      <color indexed="12"/>
      <name val="Arial"/>
      <family val="2"/>
    </font>
    <font>
      <u/>
      <sz val="11"/>
      <color indexed="12"/>
      <name val="Times New Roman"/>
      <family val="1"/>
    </font>
    <font>
      <sz val="11"/>
      <color indexed="62"/>
      <name val="Calibri"/>
      <family val="2"/>
    </font>
    <font>
      <sz val="11"/>
      <color indexed="53"/>
      <name val="Calibri"/>
      <family val="2"/>
    </font>
    <font>
      <sz val="11"/>
      <color indexed="52"/>
      <name val="Calibri"/>
      <family val="2"/>
    </font>
    <font>
      <sz val="11"/>
      <color indexed="60"/>
      <name val="Calibri"/>
      <family val="2"/>
    </font>
    <font>
      <sz val="11.5"/>
      <name val="Times New Roman"/>
      <family val="1"/>
    </font>
    <font>
      <sz val="10"/>
      <name val="Century Gothic"/>
      <family val="2"/>
    </font>
    <font>
      <sz val="12"/>
      <name val="Arial"/>
      <family val="2"/>
    </font>
    <font>
      <b/>
      <sz val="11"/>
      <color indexed="63"/>
      <name val="Calibri"/>
      <family val="2"/>
    </font>
    <font>
      <sz val="10"/>
      <name val="Bradley Hand ITC"/>
      <family val="4"/>
    </font>
    <font>
      <sz val="10"/>
      <name val="Helv"/>
      <charset val="204"/>
    </font>
    <font>
      <sz val="10"/>
      <color theme="1"/>
      <name val="Arial"/>
      <family val="2"/>
    </font>
    <font>
      <b/>
      <sz val="18"/>
      <color indexed="56"/>
      <name val="Cambria"/>
      <family val="2"/>
    </font>
    <font>
      <sz val="11"/>
      <color indexed="10"/>
      <name val="Calibri"/>
      <family val="2"/>
    </font>
    <font>
      <sz val="10"/>
      <color indexed="8"/>
      <name val="Calibri"/>
      <family val="2"/>
      <scheme val="minor"/>
    </font>
    <font>
      <b/>
      <sz val="10"/>
      <color indexed="8"/>
      <name val="Calibri"/>
      <family val="2"/>
      <scheme val="minor"/>
    </font>
    <font>
      <sz val="11"/>
      <color indexed="8"/>
      <name val="Calibri"/>
      <family val="2"/>
      <scheme val="minor"/>
    </font>
    <font>
      <sz val="9"/>
      <name val="Calibri"/>
      <family val="2"/>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b/>
      <sz val="9"/>
      <color indexed="8"/>
      <name val="Tahoma"/>
      <family val="2"/>
    </font>
    <font>
      <b/>
      <i/>
      <sz val="9"/>
      <name val="Tahoma"/>
      <family val="2"/>
    </font>
    <font>
      <i/>
      <sz val="9"/>
      <name val="Tahoma"/>
      <family val="2"/>
    </font>
    <font>
      <b/>
      <i/>
      <sz val="8"/>
      <name val="Tahoma"/>
      <family val="2"/>
    </font>
    <font>
      <sz val="8"/>
      <name val="Tahoma"/>
      <family val="2"/>
    </font>
    <font>
      <sz val="9"/>
      <color indexed="8"/>
      <name val="Tahoma"/>
      <family val="2"/>
    </font>
    <font>
      <sz val="10"/>
      <color theme="1"/>
      <name val="Calibri"/>
      <family val="2"/>
    </font>
    <font>
      <sz val="7"/>
      <name val="Arial"/>
      <family val="2"/>
    </font>
    <font>
      <sz val="6"/>
      <name val="Calibri"/>
      <family val="2"/>
      <scheme val="minor"/>
    </font>
    <font>
      <b/>
      <sz val="11"/>
      <color theme="1"/>
      <name val="Calibri"/>
      <family val="2"/>
      <scheme val="minor"/>
    </font>
    <font>
      <b/>
      <u/>
      <sz val="10"/>
      <name val="Calibri"/>
      <family val="2"/>
      <scheme val="minor"/>
    </font>
    <font>
      <b/>
      <sz val="14"/>
      <color theme="1"/>
      <name val="Calibri"/>
      <family val="2"/>
      <scheme val="minor"/>
    </font>
    <font>
      <sz val="10"/>
      <color theme="1"/>
      <name val="Calibri"/>
      <family val="2"/>
      <scheme val="minor"/>
    </font>
    <font>
      <sz val="11"/>
      <name val="Arial"/>
      <family val="2"/>
    </font>
    <font>
      <b/>
      <sz val="18"/>
      <name val="Calibri"/>
      <family val="2"/>
      <scheme val="minor"/>
    </font>
    <font>
      <b/>
      <i/>
      <u/>
      <sz val="12"/>
      <name val="Calibri"/>
      <family val="2"/>
      <scheme val="minor"/>
    </font>
    <font>
      <b/>
      <i/>
      <sz val="11"/>
      <name val="Calibri"/>
      <family val="2"/>
      <scheme val="minor"/>
    </font>
    <font>
      <b/>
      <i/>
      <u/>
      <sz val="12"/>
      <color rgb="FFFF0000"/>
      <name val="Calibri"/>
      <family val="2"/>
      <scheme val="minor"/>
    </font>
    <font>
      <b/>
      <i/>
      <sz val="12"/>
      <name val="Calibri"/>
      <family val="2"/>
      <scheme val="minor"/>
    </font>
    <font>
      <b/>
      <i/>
      <u/>
      <sz val="11"/>
      <name val="Calibri"/>
      <family val="2"/>
      <scheme val="minor"/>
    </font>
    <font>
      <sz val="10"/>
      <color theme="0"/>
      <name val="Calibri"/>
      <family val="2"/>
      <scheme val="minor"/>
    </font>
    <font>
      <u/>
      <sz val="14"/>
      <name val="Calibri"/>
      <family val="2"/>
      <scheme val="minor"/>
    </font>
    <font>
      <b/>
      <sz val="10"/>
      <color theme="1"/>
      <name val="Calibri"/>
      <family val="2"/>
      <scheme val="minor"/>
    </font>
    <font>
      <b/>
      <u/>
      <sz val="9"/>
      <color rgb="FFFF0000"/>
      <name val="Calibri"/>
      <family val="2"/>
      <scheme val="minor"/>
    </font>
    <font>
      <sz val="10"/>
      <color rgb="FFFF0000"/>
      <name val="Calibri"/>
      <family val="2"/>
      <scheme val="minor"/>
    </font>
    <font>
      <b/>
      <sz val="9"/>
      <name val="Calibri"/>
      <family val="2"/>
      <scheme val="minor"/>
    </font>
    <font>
      <sz val="8.5"/>
      <name val="Calibri"/>
      <family val="2"/>
      <scheme val="minor"/>
    </font>
    <font>
      <sz val="8.5"/>
      <color rgb="FFFF0000"/>
      <name val="Calibri"/>
      <family val="2"/>
      <scheme val="minor"/>
    </font>
    <font>
      <b/>
      <i/>
      <sz val="9"/>
      <name val="Calibri"/>
      <family val="2"/>
      <scheme val="minor"/>
    </font>
    <font>
      <i/>
      <sz val="9"/>
      <name val="Calibri"/>
      <family val="2"/>
      <scheme val="minor"/>
    </font>
    <font>
      <b/>
      <i/>
      <sz val="8"/>
      <name val="Calibri"/>
      <family val="2"/>
      <scheme val="minor"/>
    </font>
    <font>
      <b/>
      <u/>
      <sz val="12"/>
      <name val="Aharoni"/>
      <charset val="177"/>
    </font>
    <font>
      <u/>
      <sz val="12"/>
      <name val="Aharoni"/>
      <charset val="177"/>
    </font>
    <font>
      <sz val="9"/>
      <name val="Arial"/>
      <family val="2"/>
    </font>
    <font>
      <sz val="12"/>
      <color theme="0"/>
      <name val="Calibri"/>
      <family val="2"/>
    </font>
    <font>
      <b/>
      <u/>
      <sz val="13"/>
      <name val="Calibri"/>
      <family val="2"/>
    </font>
    <font>
      <sz val="13"/>
      <name val="Calibri"/>
      <family val="2"/>
    </font>
    <font>
      <sz val="8"/>
      <name val="Calibri"/>
      <family val="2"/>
    </font>
    <font>
      <b/>
      <sz val="10"/>
      <name val="Calibri"/>
      <family val="2"/>
    </font>
    <font>
      <b/>
      <sz val="13"/>
      <color theme="1"/>
      <name val="Calibri"/>
      <family val="2"/>
      <scheme val="minor"/>
    </font>
    <font>
      <b/>
      <u/>
      <sz val="11"/>
      <color theme="1"/>
      <name val="Calibri"/>
      <family val="2"/>
      <scheme val="minor"/>
    </font>
    <font>
      <b/>
      <sz val="9"/>
      <color theme="1"/>
      <name val="Calibri"/>
      <family val="2"/>
      <scheme val="minor"/>
    </font>
    <font>
      <sz val="10"/>
      <color theme="0"/>
      <name val="Aharoni"/>
      <charset val="177"/>
    </font>
    <font>
      <sz val="10"/>
      <name val="Aharoni"/>
      <charset val="177"/>
    </font>
    <font>
      <sz val="8"/>
      <color theme="0"/>
      <name val="Aharoni"/>
      <charset val="177"/>
    </font>
    <font>
      <sz val="8"/>
      <name val="Aharoni"/>
      <charset val="177"/>
    </font>
    <font>
      <sz val="6"/>
      <name val="Aharoni"/>
      <charset val="177"/>
    </font>
    <font>
      <b/>
      <sz val="10"/>
      <color theme="0"/>
      <name val="Calibri"/>
      <family val="2"/>
      <scheme val="minor"/>
    </font>
    <font>
      <b/>
      <sz val="8"/>
      <color theme="0"/>
      <name val="Calibri"/>
      <family val="2"/>
      <scheme val="minor"/>
    </font>
    <font>
      <b/>
      <sz val="8"/>
      <name val="Calibri"/>
      <family val="2"/>
      <scheme val="minor"/>
    </font>
    <font>
      <sz val="10"/>
      <color indexed="10"/>
      <name val="Calibri"/>
      <family val="2"/>
      <scheme val="minor"/>
    </font>
    <font>
      <b/>
      <sz val="10"/>
      <color indexed="10"/>
      <name val="Calibri"/>
      <family val="2"/>
      <scheme val="minor"/>
    </font>
    <font>
      <b/>
      <u/>
      <sz val="13"/>
      <name val="Calibri"/>
      <family val="2"/>
      <scheme val="minor"/>
    </font>
    <font>
      <sz val="13"/>
      <name val="Calibri"/>
      <family val="2"/>
      <scheme val="minor"/>
    </font>
    <font>
      <sz val="7"/>
      <name val="Calibri"/>
      <family val="2"/>
      <scheme val="minor"/>
    </font>
    <font>
      <b/>
      <sz val="16"/>
      <name val="Calibri"/>
      <family val="2"/>
      <scheme val="minor"/>
    </font>
    <font>
      <vertAlign val="superscript"/>
      <sz val="10"/>
      <name val="Calibri"/>
      <family val="2"/>
      <scheme val="minor"/>
    </font>
    <font>
      <sz val="9"/>
      <color indexed="10"/>
      <name val="Calibri"/>
      <family val="2"/>
      <scheme val="minor"/>
    </font>
    <font>
      <u/>
      <sz val="10"/>
      <color theme="10"/>
      <name val="Times New Roman"/>
      <family val="1"/>
    </font>
    <font>
      <u/>
      <sz val="10"/>
      <color indexed="12"/>
      <name val="Times New Roman"/>
      <family val="1"/>
    </font>
    <font>
      <sz val="11"/>
      <color rgb="FF000000"/>
      <name val="Calibri"/>
      <family val="2"/>
      <charset val="204"/>
    </font>
    <font>
      <sz val="11"/>
      <color indexed="8"/>
      <name val="Calibri"/>
      <family val="2"/>
      <charset val="204"/>
    </font>
    <font>
      <sz val="9"/>
      <color theme="1" tint="4.9989318521683403E-2"/>
      <name val="Calibri"/>
      <family val="2"/>
      <scheme val="minor"/>
    </font>
    <font>
      <sz val="8"/>
      <color theme="1" tint="4.9989318521683403E-2"/>
      <name val="Calibri"/>
      <family val="2"/>
      <scheme val="minor"/>
    </font>
  </fonts>
  <fills count="48">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9"/>
        <bgColor indexed="9"/>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rgb="FFF2F2F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4"/>
        <bgColor indexed="54"/>
      </patternFill>
    </fill>
    <fill>
      <patternFill patternType="solid">
        <fgColor indexed="62"/>
      </patternFill>
    </fill>
    <fill>
      <patternFill patternType="solid">
        <fgColor indexed="25"/>
        <bgColor indexed="25"/>
      </patternFill>
    </fill>
    <fill>
      <patternFill patternType="solid">
        <fgColor indexed="10"/>
      </patternFill>
    </fill>
    <fill>
      <patternFill patternType="solid">
        <fgColor indexed="57"/>
      </patternFill>
    </fill>
    <fill>
      <patternFill patternType="solid">
        <fgColor indexed="49"/>
        <bgColor indexed="49"/>
      </patternFill>
    </fill>
    <fill>
      <patternFill patternType="solid">
        <fgColor indexed="52"/>
        <bgColor indexed="52"/>
      </patternFill>
    </fill>
    <fill>
      <patternFill patternType="solid">
        <fgColor indexed="53"/>
      </patternFill>
    </fill>
    <fill>
      <patternFill patternType="solid">
        <fgColor indexed="45"/>
        <bgColor indexed="45"/>
      </patternFill>
    </fill>
    <fill>
      <patternFill patternType="solid">
        <fgColor indexed="22"/>
      </patternFill>
    </fill>
    <fill>
      <patternFill patternType="solid">
        <fgColor indexed="55"/>
      </patternFill>
    </fill>
    <fill>
      <patternFill patternType="solid">
        <fgColor indexed="43"/>
        <bgColor indexed="43"/>
      </patternFill>
    </fill>
    <fill>
      <patternFill patternType="solid">
        <fgColor indexed="43"/>
      </patternFill>
    </fill>
    <fill>
      <patternFill patternType="solid">
        <fgColor indexed="26"/>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s>
  <borders count="60">
    <border>
      <left/>
      <right/>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hair">
        <color indexed="64"/>
      </left>
      <right style="hair">
        <color indexed="64"/>
      </right>
      <top/>
      <bottom style="double">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hair">
        <color indexed="64"/>
      </left>
      <right style="hair">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hair">
        <color indexed="64"/>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style="thin">
        <color indexed="64"/>
      </right>
      <top style="thin">
        <color indexed="64"/>
      </top>
      <bottom style="thin">
        <color indexed="64"/>
      </bottom>
      <diagonal/>
    </border>
    <border>
      <left style="thin">
        <color indexed="64"/>
      </left>
      <right style="thick">
        <color auto="1"/>
      </right>
      <top style="thin">
        <color indexed="64"/>
      </top>
      <bottom style="thin">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style="thin">
        <color indexed="64"/>
      </right>
      <top style="hair">
        <color indexed="64"/>
      </top>
      <bottom style="hair">
        <color indexed="64"/>
      </bottom>
      <diagonal/>
    </border>
    <border>
      <left/>
      <right/>
      <top style="hair">
        <color indexed="64"/>
      </top>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top style="thin">
        <color indexed="64"/>
      </top>
      <bottom style="medium">
        <color indexed="64"/>
      </bottom>
      <diagonal/>
    </border>
  </borders>
  <cellStyleXfs count="1917">
    <xf numFmtId="0" fontId="0" fillId="0" borderId="0"/>
    <xf numFmtId="0" fontId="11" fillId="0" borderId="0" applyFill="0" applyBorder="0" applyAlignment="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26" fillId="0" borderId="0" applyFont="0" applyFill="0" applyBorder="0" applyAlignment="0" applyProtection="0"/>
    <xf numFmtId="165" fontId="26" fillId="0" borderId="0" applyFont="0" applyFill="0" applyBorder="0" applyAlignment="0" applyProtection="0"/>
    <xf numFmtId="0" fontId="12" fillId="0" borderId="0" applyNumberFormat="0" applyAlignment="0">
      <alignment horizontal="left"/>
    </xf>
    <xf numFmtId="164" fontId="26" fillId="0" borderId="0" applyFont="0" applyFill="0" applyBorder="0" applyAlignment="0" applyProtection="0"/>
    <xf numFmtId="0" fontId="13" fillId="0" borderId="0" applyNumberFormat="0" applyAlignment="0">
      <alignment horizontal="left"/>
    </xf>
    <xf numFmtId="2" fontId="26" fillId="0" borderId="0" applyFont="0" applyFill="0" applyBorder="0" applyAlignment="0" applyProtection="0"/>
    <xf numFmtId="1" fontId="26" fillId="0" borderId="0"/>
    <xf numFmtId="38" fontId="14" fillId="2" borderId="0" applyNumberFormat="0" applyBorder="0" applyAlignment="0" applyProtection="0"/>
    <xf numFmtId="0" fontId="15" fillId="0" borderId="1" applyNumberFormat="0" applyAlignment="0" applyProtection="0">
      <alignment horizontal="left" vertical="center"/>
    </xf>
    <xf numFmtId="0" fontId="15" fillId="0" borderId="2">
      <alignment horizontal="left" vertical="center"/>
    </xf>
    <xf numFmtId="0" fontId="3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10" fontId="14" fillId="3" borderId="3" applyNumberFormat="0" applyBorder="0" applyAlignment="0" applyProtection="0"/>
    <xf numFmtId="0" fontId="23" fillId="0" borderId="3">
      <alignment horizontal="center" vertical="center" wrapText="1"/>
    </xf>
    <xf numFmtId="0" fontId="28" fillId="0" borderId="0" applyProtection="0">
      <alignment horizontal="center" vertical="center"/>
    </xf>
    <xf numFmtId="0" fontId="28" fillId="0" borderId="0" applyProtection="0">
      <alignment horizontal="center" vertical="center"/>
    </xf>
    <xf numFmtId="167" fontId="16" fillId="0" borderId="4">
      <alignment horizontal="right"/>
    </xf>
    <xf numFmtId="0" fontId="24" fillId="0" borderId="3">
      <alignment wrapText="1"/>
    </xf>
    <xf numFmtId="37" fontId="17" fillId="0" borderId="0"/>
    <xf numFmtId="0" fontId="10" fillId="0" borderId="0"/>
    <xf numFmtId="0" fontId="26" fillId="0" borderId="0"/>
    <xf numFmtId="0" fontId="26" fillId="0" borderId="0"/>
    <xf numFmtId="0" fontId="26" fillId="0" borderId="0"/>
    <xf numFmtId="0" fontId="29" fillId="0" borderId="0"/>
    <xf numFmtId="0" fontId="44" fillId="0" borderId="0"/>
    <xf numFmtId="0" fontId="34" fillId="0" borderId="0"/>
    <xf numFmtId="0" fontId="26" fillId="0" borderId="0"/>
    <xf numFmtId="0" fontId="26" fillId="0" borderId="0"/>
    <xf numFmtId="0" fontId="26" fillId="0" borderId="0"/>
    <xf numFmtId="0" fontId="26" fillId="0" borderId="0"/>
    <xf numFmtId="0" fontId="26" fillId="0" borderId="0"/>
    <xf numFmtId="0" fontId="44" fillId="0" borderId="0"/>
    <xf numFmtId="0" fontId="29" fillId="0" borderId="0"/>
    <xf numFmtId="0" fontId="26" fillId="0" borderId="0"/>
    <xf numFmtId="0" fontId="44"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9" fillId="0" borderId="0"/>
    <xf numFmtId="10" fontId="10"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169" fontId="18" fillId="0" borderId="0" applyNumberFormat="0" applyFill="0" applyBorder="0" applyAlignment="0" applyProtection="0">
      <alignment horizontal="left"/>
    </xf>
    <xf numFmtId="0" fontId="19" fillId="0" borderId="3">
      <alignment horizontal="center"/>
    </xf>
    <xf numFmtId="0" fontId="42" fillId="0" borderId="0"/>
    <xf numFmtId="0" fontId="19" fillId="0" borderId="0">
      <alignment horizontal="center" vertical="center"/>
    </xf>
    <xf numFmtId="0" fontId="20" fillId="4" borderId="0" applyNumberFormat="0" applyFill="0">
      <alignment horizontal="left" vertical="center"/>
    </xf>
    <xf numFmtId="0" fontId="25" fillId="0" borderId="3">
      <alignment horizontal="center" vertical="center" wrapText="1"/>
    </xf>
    <xf numFmtId="40" fontId="21" fillId="0" borderId="0" applyBorder="0">
      <alignment horizontal="right"/>
    </xf>
    <xf numFmtId="0" fontId="10" fillId="0" borderId="0"/>
    <xf numFmtId="0" fontId="26" fillId="0" borderId="3">
      <alignment vertical="center" wrapText="1" shrinkToFit="1"/>
    </xf>
    <xf numFmtId="0" fontId="10" fillId="0" borderId="0"/>
    <xf numFmtId="0" fontId="10" fillId="0" borderId="0"/>
    <xf numFmtId="0" fontId="10" fillId="0" borderId="0"/>
    <xf numFmtId="0" fontId="9" fillId="0" borderId="0"/>
    <xf numFmtId="0" fontId="10" fillId="0" borderId="0"/>
    <xf numFmtId="164" fontId="29" fillId="0" borderId="0" applyFont="0" applyFill="0" applyBorder="0" applyAlignment="0" applyProtection="0"/>
    <xf numFmtId="1" fontId="10" fillId="0" borderId="0"/>
    <xf numFmtId="1" fontId="10" fillId="0" borderId="0"/>
    <xf numFmtId="1"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10" fontId="10" fillId="0" borderId="0" applyFont="0" applyFill="0" applyBorder="0" applyAlignment="0" applyProtection="0"/>
    <xf numFmtId="10" fontId="10" fillId="0" borderId="0" applyFont="0" applyFill="0" applyBorder="0" applyAlignment="0" applyProtection="0"/>
    <xf numFmtId="10"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40" fontId="73" fillId="0" borderId="0"/>
    <xf numFmtId="0" fontId="10" fillId="0" borderId="14">
      <alignment horizontal="center"/>
    </xf>
    <xf numFmtId="0" fontId="29" fillId="0" borderId="0"/>
    <xf numFmtId="0" fontId="8" fillId="0" borderId="0"/>
    <xf numFmtId="0" fontId="7" fillId="0" borderId="0"/>
    <xf numFmtId="0" fontId="34" fillId="5"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9"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8"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6"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12" borderId="0" applyNumberFormat="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79" fillId="13" borderId="0" applyNumberFormat="0" applyBorder="0" applyAlignment="0" applyProtection="0"/>
    <xf numFmtId="0" fontId="79" fillId="14" borderId="0" applyNumberFormat="0" applyBorder="0" applyAlignment="0" applyProtection="0"/>
    <xf numFmtId="0" fontId="79" fillId="15" borderId="0" applyNumberFormat="0" applyBorder="0" applyAlignment="0" applyProtection="0"/>
    <xf numFmtId="170" fontId="10" fillId="0" borderId="0" applyFont="0" applyFill="0" applyBorder="0" applyAlignment="0" applyProtection="0"/>
    <xf numFmtId="0" fontId="34" fillId="0" borderId="0"/>
    <xf numFmtId="0" fontId="80" fillId="0" borderId="0">
      <alignment vertical="top"/>
    </xf>
    <xf numFmtId="0" fontId="10" fillId="0" borderId="0"/>
    <xf numFmtId="0" fontId="10" fillId="0" borderId="0"/>
    <xf numFmtId="0" fontId="7" fillId="0" borderId="0"/>
    <xf numFmtId="0" fontId="10" fillId="0" borderId="0"/>
    <xf numFmtId="0" fontId="81" fillId="0" borderId="0"/>
    <xf numFmtId="0" fontId="7" fillId="0" borderId="0"/>
    <xf numFmtId="0" fontId="7" fillId="0" borderId="0"/>
    <xf numFmtId="0" fontId="7" fillId="0" borderId="0"/>
    <xf numFmtId="0" fontId="10" fillId="0" borderId="0"/>
    <xf numFmtId="0" fontId="10" fillId="0" borderId="0"/>
    <xf numFmtId="0" fontId="10" fillId="0" borderId="0"/>
    <xf numFmtId="0" fontId="10" fillId="0" borderId="0"/>
    <xf numFmtId="0" fontId="10" fillId="0" borderId="0"/>
    <xf numFmtId="0" fontId="34" fillId="0" borderId="0"/>
    <xf numFmtId="0" fontId="34" fillId="0" borderId="0"/>
    <xf numFmtId="0" fontId="34" fillId="0" borderId="0"/>
    <xf numFmtId="0" fontId="10" fillId="0" borderId="0"/>
    <xf numFmtId="0" fontId="10" fillId="0" borderId="0"/>
    <xf numFmtId="0" fontId="10" fillId="0" borderId="0"/>
    <xf numFmtId="9" fontId="81" fillId="0" borderId="0" applyFont="0" applyFill="0" applyBorder="0" applyAlignment="0" applyProtection="0"/>
    <xf numFmtId="9" fontId="81" fillId="0" borderId="0" applyFont="0" applyFill="0" applyBorder="0" applyAlignment="0" applyProtection="0"/>
    <xf numFmtId="0" fontId="82" fillId="0" borderId="0" applyNumberFormat="0" applyFill="0" applyBorder="0" applyAlignment="0" applyProtection="0"/>
    <xf numFmtId="0" fontId="83" fillId="0" borderId="0"/>
    <xf numFmtId="171" fontId="68" fillId="0" borderId="3">
      <alignment horizontal="center" vertical="center"/>
    </xf>
    <xf numFmtId="171" fontId="68" fillId="0" borderId="3">
      <alignment horizontal="center" vertical="center"/>
    </xf>
    <xf numFmtId="0" fontId="6" fillId="0" borderId="0"/>
    <xf numFmtId="0" fontId="6" fillId="0" borderId="0"/>
    <xf numFmtId="0" fontId="6" fillId="0" borderId="0"/>
    <xf numFmtId="0" fontId="6" fillId="0" borderId="0"/>
    <xf numFmtId="0" fontId="10" fillId="0" borderId="0"/>
    <xf numFmtId="0" fontId="10" fillId="0" borderId="0"/>
    <xf numFmtId="0" fontId="29" fillId="0" borderId="0"/>
    <xf numFmtId="0" fontId="10" fillId="0" borderId="0"/>
    <xf numFmtId="0" fontId="5" fillId="0" borderId="0"/>
    <xf numFmtId="0" fontId="10"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78" fillId="33"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78" fillId="9"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34" fillId="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78" fillId="3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78" fillId="36"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34" fillId="12"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78" fillId="37"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86" fillId="39" borderId="0" applyNumberFormat="0" applyBorder="0" applyAlignment="0" applyProtection="0"/>
    <xf numFmtId="0" fontId="10" fillId="0" borderId="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9" fillId="40" borderId="16" applyNumberFormat="0" applyAlignment="0" applyProtection="0"/>
    <xf numFmtId="0" fontId="89" fillId="40" borderId="16" applyNumberFormat="0" applyAlignment="0" applyProtection="0"/>
    <xf numFmtId="0" fontId="88" fillId="4" borderId="16" applyNumberFormat="0" applyAlignment="0" applyProtection="0"/>
    <xf numFmtId="0" fontId="89" fillId="40" borderId="16" applyNumberFormat="0" applyAlignment="0" applyProtection="0"/>
    <xf numFmtId="0" fontId="84" fillId="16" borderId="15" applyNumberFormat="0" applyAlignment="0" applyProtection="0"/>
    <xf numFmtId="0" fontId="89" fillId="40"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88" fillId="4" borderId="16"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90" fillId="9"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165"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81"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65" fontId="34"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65" fontId="10" fillId="0" borderId="0" applyFont="0" applyFill="0" applyBorder="0" applyAlignment="0" applyProtection="0"/>
    <xf numFmtId="174" fontId="10" fillId="0" borderId="0" applyFont="0" applyFill="0" applyBorder="0" applyAlignment="0" applyProtection="0"/>
    <xf numFmtId="165" fontId="81" fillId="0" borderId="0" applyFont="0" applyFill="0" applyBorder="0" applyAlignment="0" applyProtection="0"/>
    <xf numFmtId="167" fontId="29" fillId="0" borderId="0" applyFont="0" applyFill="0" applyBorder="0" applyAlignment="0" applyProtection="0"/>
    <xf numFmtId="168" fontId="10" fillId="0" borderId="0" applyFill="0" applyBorder="0" applyAlignment="0" applyProtection="0"/>
    <xf numFmtId="168" fontId="10" fillId="0" borderId="0" applyFill="0" applyBorder="0" applyAlignment="0" applyProtection="0"/>
    <xf numFmtId="168"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7" fontId="10" fillId="0" borderId="0" applyFill="0" applyBorder="0" applyAlignment="0" applyProtection="0"/>
    <xf numFmtId="168" fontId="10" fillId="0" borderId="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81" fillId="0" borderId="0" applyFont="0" applyFill="0" applyBorder="0" applyAlignment="0" applyProtection="0"/>
    <xf numFmtId="165" fontId="34" fillId="0" borderId="0" applyFont="0" applyFill="0" applyBorder="0" applyAlignment="0" applyProtection="0"/>
    <xf numFmtId="165" fontId="34" fillId="0" borderId="0" applyFont="0" applyFill="0" applyBorder="0" applyAlignment="0" applyProtection="0"/>
    <xf numFmtId="165"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34"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13" fillId="0" borderId="0" applyNumberFormat="0" applyAlignment="0">
      <alignment horizontal="left"/>
    </xf>
    <xf numFmtId="0" fontId="34" fillId="0" borderId="0"/>
    <xf numFmtId="0" fontId="79" fillId="0" borderId="18"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1" fontId="10" fillId="0" borderId="0"/>
    <xf numFmtId="1" fontId="10" fillId="0" borderId="0"/>
    <xf numFmtId="1" fontId="10" fillId="0" borderId="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38" fontId="14" fillId="2" borderId="0" applyNumberFormat="0" applyBorder="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3" fillId="0" borderId="19"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5" fillId="0" borderId="21"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22" applyNumberFormat="0" applyFill="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10" fontId="14" fillId="3" borderId="3" applyNumberFormat="0" applyBorder="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1" fillId="12" borderId="16" applyNumberFormat="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102" fillId="0" borderId="24" applyNumberFormat="0" applyFill="0" applyAlignment="0" applyProtection="0"/>
    <xf numFmtId="0" fontId="28" fillId="0" borderId="0" applyProtection="0">
      <alignment horizontal="center" vertical="center"/>
    </xf>
    <xf numFmtId="0"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167" fontId="16" fillId="0" borderId="4">
      <alignment horizontal="right"/>
    </xf>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0" fontId="104" fillId="42" borderId="0" applyNumberFormat="0" applyBorder="0" applyAlignment="0" applyProtection="0"/>
    <xf numFmtId="37" fontId="17" fillId="0" borderId="0"/>
    <xf numFmtId="37" fontId="17" fillId="0" borderId="0"/>
    <xf numFmtId="37" fontId="17" fillId="0" borderId="0"/>
    <xf numFmtId="37" fontId="17" fillId="0" borderId="0"/>
    <xf numFmtId="37" fontId="17" fillId="0" borderId="0"/>
    <xf numFmtId="37" fontId="17" fillId="0" borderId="0"/>
    <xf numFmtId="0" fontId="10" fillId="0" borderId="0"/>
    <xf numFmtId="41" fontId="10" fillId="0" borderId="0"/>
    <xf numFmtId="41"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10" fillId="0" borderId="0"/>
    <xf numFmtId="0" fontId="81" fillId="0" borderId="0"/>
    <xf numFmtId="0" fontId="4" fillId="0" borderId="0"/>
    <xf numFmtId="0" fontId="4" fillId="0" borderId="0"/>
    <xf numFmtId="0" fontId="34" fillId="0" borderId="0"/>
    <xf numFmtId="0" fontId="10" fillId="0" borderId="0"/>
    <xf numFmtId="0" fontId="81" fillId="0" borderId="0"/>
    <xf numFmtId="0" fontId="10" fillId="0" borderId="0"/>
    <xf numFmtId="0" fontId="10"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81" fillId="0" borderId="0"/>
    <xf numFmtId="0" fontId="10" fillId="0" borderId="0"/>
    <xf numFmtId="0" fontId="10" fillId="0" borderId="0"/>
    <xf numFmtId="0" fontId="81" fillId="0" borderId="0"/>
    <xf numFmtId="0" fontId="10" fillId="0" borderId="0"/>
    <xf numFmtId="0" fontId="34" fillId="0" borderId="0"/>
    <xf numFmtId="0" fontId="81" fillId="0" borderId="0"/>
    <xf numFmtId="0" fontId="29" fillId="0" borderId="0"/>
    <xf numFmtId="0" fontId="10" fillId="0" borderId="0"/>
    <xf numFmtId="0" fontId="10" fillId="0" borderId="0"/>
    <xf numFmtId="0" fontId="29" fillId="0" borderId="0"/>
    <xf numFmtId="0" fontId="81" fillId="0" borderId="0"/>
    <xf numFmtId="0" fontId="81" fillId="0" borderId="0"/>
    <xf numFmtId="0" fontId="81" fillId="0" borderId="0"/>
    <xf numFmtId="0" fontId="4" fillId="0" borderId="0"/>
    <xf numFmtId="0" fontId="4" fillId="0" borderId="0"/>
    <xf numFmtId="0" fontId="81" fillId="0" borderId="0"/>
    <xf numFmtId="0" fontId="81" fillId="0" borderId="0"/>
    <xf numFmtId="0" fontId="81" fillId="0" borderId="0"/>
    <xf numFmtId="0" fontId="81" fillId="0" borderId="0"/>
    <xf numFmtId="0" fontId="81" fillId="0" borderId="0"/>
    <xf numFmtId="0" fontId="10" fillId="0" borderId="0"/>
    <xf numFmtId="0" fontId="4" fillId="0" borderId="0"/>
    <xf numFmtId="0" fontId="81" fillId="0" borderId="0"/>
    <xf numFmtId="0" fontId="29" fillId="0" borderId="0"/>
    <xf numFmtId="0" fontId="10" fillId="0" borderId="0"/>
    <xf numFmtId="0" fontId="81" fillId="0" borderId="0"/>
    <xf numFmtId="0" fontId="4" fillId="0" borderId="0"/>
    <xf numFmtId="0" fontId="81" fillId="0" borderId="0"/>
    <xf numFmtId="0" fontId="81" fillId="0" borderId="0"/>
    <xf numFmtId="0" fontId="81" fillId="0" borderId="0"/>
    <xf numFmtId="0" fontId="81" fillId="0" borderId="0"/>
    <xf numFmtId="0" fontId="4" fillId="0" borderId="0"/>
    <xf numFmtId="0" fontId="81" fillId="0" borderId="0"/>
    <xf numFmtId="0" fontId="81" fillId="0" borderId="0"/>
    <xf numFmtId="0" fontId="10" fillId="0" borderId="0"/>
    <xf numFmtId="0" fontId="10"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1" fillId="0" borderId="0"/>
    <xf numFmtId="0" fontId="34" fillId="0" borderId="0"/>
    <xf numFmtId="0" fontId="10" fillId="0" borderId="0"/>
    <xf numFmtId="0" fontId="10" fillId="0" borderId="0"/>
    <xf numFmtId="0" fontId="10" fillId="0" borderId="0"/>
    <xf numFmtId="0" fontId="10" fillId="0" borderId="0"/>
    <xf numFmtId="0" fontId="34" fillId="0" borderId="0"/>
    <xf numFmtId="0" fontId="4" fillId="0" borderId="0"/>
    <xf numFmtId="0" fontId="4" fillId="0" borderId="0"/>
    <xf numFmtId="0" fontId="4" fillId="0" borderId="0"/>
    <xf numFmtId="0" fontId="4" fillId="0" borderId="0"/>
    <xf numFmtId="0" fontId="10" fillId="0" borderId="0"/>
    <xf numFmtId="0" fontId="10" fillId="0" borderId="0"/>
    <xf numFmtId="0" fontId="4" fillId="0" borderId="0"/>
    <xf numFmtId="0" fontId="10" fillId="0" borderId="0"/>
    <xf numFmtId="0" fontId="4" fillId="0" borderId="0"/>
    <xf numFmtId="0" fontId="4" fillId="0" borderId="0"/>
    <xf numFmtId="0" fontId="4" fillId="0" borderId="0"/>
    <xf numFmtId="0" fontId="4" fillId="0" borderId="0"/>
    <xf numFmtId="0" fontId="4" fillId="0" borderId="0"/>
    <xf numFmtId="0" fontId="4" fillId="0" borderId="0"/>
    <xf numFmtId="0" fontId="105"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10" fillId="0" borderId="0"/>
    <xf numFmtId="0" fontId="10" fillId="0" borderId="0"/>
    <xf numFmtId="0" fontId="10" fillId="0" borderId="0"/>
    <xf numFmtId="0" fontId="4" fillId="0" borderId="0"/>
    <xf numFmtId="0" fontId="4" fillId="0" borderId="0"/>
    <xf numFmtId="0" fontId="10" fillId="0" borderId="0"/>
    <xf numFmtId="0" fontId="10" fillId="0" borderId="0"/>
    <xf numFmtId="0" fontId="4" fillId="0" borderId="0"/>
    <xf numFmtId="0" fontId="4" fillId="0" borderId="0"/>
    <xf numFmtId="0" fontId="4" fillId="0" borderId="0"/>
    <xf numFmtId="0" fontId="4" fillId="0" borderId="0"/>
    <xf numFmtId="0" fontId="4" fillId="0" borderId="0"/>
    <xf numFmtId="0" fontId="10" fillId="0" borderId="0"/>
    <xf numFmtId="0" fontId="10" fillId="0" borderId="0"/>
    <xf numFmtId="0" fontId="10" fillId="0" borderId="0"/>
    <xf numFmtId="0" fontId="4" fillId="0" borderId="0"/>
    <xf numFmtId="0" fontId="10" fillId="0" borderId="0"/>
    <xf numFmtId="0" fontId="4" fillId="0" borderId="0"/>
    <xf numFmtId="0" fontId="34" fillId="0" borderId="0"/>
    <xf numFmtId="0" fontId="81" fillId="0" borderId="0"/>
    <xf numFmtId="0" fontId="10" fillId="0" borderId="0"/>
    <xf numFmtId="0" fontId="4" fillId="0" borderId="0"/>
    <xf numFmtId="0" fontId="34" fillId="0" borderId="0"/>
    <xf numFmtId="0" fontId="10" fillId="0" borderId="0"/>
    <xf numFmtId="0" fontId="10" fillId="0" borderId="0"/>
    <xf numFmtId="0" fontId="10" fillId="0" borderId="0"/>
    <xf numFmtId="0" fontId="34" fillId="0" borderId="0"/>
    <xf numFmtId="0" fontId="10" fillId="0" borderId="0"/>
    <xf numFmtId="0" fontId="10" fillId="0" borderId="0"/>
    <xf numFmtId="0" fontId="10" fillId="0" borderId="0"/>
    <xf numFmtId="0" fontId="4" fillId="0" borderId="0"/>
    <xf numFmtId="0" fontId="81" fillId="0" borderId="0"/>
    <xf numFmtId="0" fontId="4" fillId="0" borderId="0"/>
    <xf numFmtId="0" fontId="4" fillId="0" borderId="0"/>
    <xf numFmtId="0" fontId="4" fillId="0" borderId="0"/>
    <xf numFmtId="0" fontId="4" fillId="0" borderId="0"/>
    <xf numFmtId="0" fontId="4" fillId="0" borderId="0"/>
    <xf numFmtId="0" fontId="81" fillId="0" borderId="0"/>
    <xf numFmtId="0" fontId="10" fillId="0" borderId="0"/>
    <xf numFmtId="0" fontId="4" fillId="0" borderId="0"/>
    <xf numFmtId="0" fontId="4" fillId="0" borderId="0"/>
    <xf numFmtId="0" fontId="4" fillId="0" borderId="0"/>
    <xf numFmtId="0" fontId="34" fillId="0" borderId="0"/>
    <xf numFmtId="0" fontId="10" fillId="0" borderId="0"/>
    <xf numFmtId="0" fontId="10" fillId="0" borderId="0"/>
    <xf numFmtId="0" fontId="10" fillId="0" borderId="0"/>
    <xf numFmtId="0" fontId="10" fillId="0" borderId="0"/>
    <xf numFmtId="0" fontId="10" fillId="0" borderId="0"/>
    <xf numFmtId="0" fontId="10" fillId="0" borderId="0"/>
    <xf numFmtId="0" fontId="4" fillId="0" borderId="0"/>
    <xf numFmtId="0" fontId="4" fillId="0" borderId="0"/>
    <xf numFmtId="0" fontId="10" fillId="0" borderId="0"/>
    <xf numFmtId="0" fontId="4" fillId="0" borderId="0"/>
    <xf numFmtId="0" fontId="29" fillId="0" borderId="0"/>
    <xf numFmtId="0" fontId="29" fillId="0" borderId="0"/>
    <xf numFmtId="0" fontId="29" fillId="0" borderId="0"/>
    <xf numFmtId="0" fontId="10" fillId="0" borderId="0"/>
    <xf numFmtId="0" fontId="106" fillId="0" borderId="0"/>
    <xf numFmtId="0" fontId="107" fillId="0" borderId="0"/>
    <xf numFmtId="0" fontId="107" fillId="0" borderId="0"/>
    <xf numFmtId="0" fontId="34" fillId="0" borderId="0"/>
    <xf numFmtId="0" fontId="4" fillId="0" borderId="0"/>
    <xf numFmtId="0" fontId="29" fillId="0" borderId="0"/>
    <xf numFmtId="0" fontId="29" fillId="0" borderId="0"/>
    <xf numFmtId="0" fontId="29" fillId="0" borderId="0"/>
    <xf numFmtId="0" fontId="29" fillId="0" borderId="0"/>
    <xf numFmtId="0" fontId="107" fillId="0" borderId="0"/>
    <xf numFmtId="0" fontId="10" fillId="0" borderId="0"/>
    <xf numFmtId="0" fontId="10" fillId="0" borderId="0"/>
    <xf numFmtId="0" fontId="29" fillId="0" borderId="0"/>
    <xf numFmtId="0" fontId="29" fillId="0" borderId="0"/>
    <xf numFmtId="0" fontId="34" fillId="0" borderId="0"/>
    <xf numFmtId="0" fontId="81" fillId="0" borderId="0"/>
    <xf numFmtId="0" fontId="8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81" fillId="0" borderId="0"/>
    <xf numFmtId="0" fontId="81" fillId="0" borderId="0"/>
    <xf numFmtId="0" fontId="29" fillId="0" borderId="0"/>
    <xf numFmtId="0" fontId="34" fillId="0" borderId="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 fillId="7" borderId="25" applyNumberFormat="0" applyFon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0" fontId="108" fillId="4"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34"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0" fontId="109" fillId="0" borderId="0">
      <alignment vertical="top"/>
    </xf>
    <xf numFmtId="14" fontId="18" fillId="0" borderId="0" applyNumberFormat="0" applyFill="0" applyBorder="0" applyAlignment="0" applyProtection="0">
      <alignment horizontal="left"/>
    </xf>
    <xf numFmtId="0" fontId="110" fillId="0" borderId="0"/>
    <xf numFmtId="0" fontId="42" fillId="0" borderId="0"/>
    <xf numFmtId="0" fontId="42" fillId="0" borderId="0"/>
    <xf numFmtId="0" fontId="111" fillId="0" borderId="27">
      <alignment wrapText="1"/>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0" fontId="20" fillId="4" borderId="0" applyNumberFormat="0" applyFill="0">
      <alignment horizontal="left" vertical="center"/>
    </xf>
    <xf numFmtId="49" fontId="10" fillId="0" borderId="0"/>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0" fontId="79" fillId="0" borderId="28" applyNumberFormat="0" applyFill="0" applyAlignment="0" applyProtection="0"/>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171" fontId="68" fillId="0" borderId="3">
      <alignment horizontal="center" vertical="center"/>
    </xf>
    <xf numFmtId="0" fontId="10" fillId="0" borderId="14">
      <alignment horizontal="center"/>
    </xf>
    <xf numFmtId="0" fontId="10" fillId="0" borderId="14">
      <alignment horizontal="center"/>
    </xf>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0" fontId="29" fillId="0" borderId="0"/>
    <xf numFmtId="0" fontId="29" fillId="0" borderId="0"/>
    <xf numFmtId="0" fontId="10" fillId="0" borderId="0"/>
    <xf numFmtId="166" fontId="10" fillId="0" borderId="0" applyFont="0" applyFill="0" applyBorder="0" applyAlignment="0" applyProtection="0"/>
    <xf numFmtId="0" fontId="3" fillId="0" borderId="0"/>
    <xf numFmtId="0" fontId="10" fillId="0" borderId="0"/>
    <xf numFmtId="0" fontId="29" fillId="0" borderId="0"/>
    <xf numFmtId="0" fontId="10" fillId="0" borderId="0"/>
    <xf numFmtId="0" fontId="10" fillId="0" borderId="0"/>
    <xf numFmtId="0" fontId="10" fillId="0" borderId="0"/>
    <xf numFmtId="0" fontId="10" fillId="0" borderId="0"/>
    <xf numFmtId="0" fontId="2" fillId="0" borderId="0"/>
    <xf numFmtId="176" fontId="29" fillId="0" borderId="0" applyFont="0" applyFill="0" applyBorder="0" applyAlignment="0" applyProtection="0"/>
    <xf numFmtId="170" fontId="10" fillId="0" borderId="0" applyFont="0" applyFill="0" applyBorder="0" applyAlignment="0" applyProtection="0"/>
    <xf numFmtId="2" fontId="10" fillId="0" borderId="0" applyFon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9" fillId="0" borderId="0"/>
    <xf numFmtId="0" fontId="10" fillId="0" borderId="0"/>
    <xf numFmtId="0" fontId="81"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4" fontId="29" fillId="0" borderId="3" applyProtection="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10" fillId="0" borderId="0"/>
    <xf numFmtId="0" fontId="10" fillId="0" borderId="0"/>
    <xf numFmtId="0" fontId="29"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8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ill="0" applyBorder="0" applyAlignment="0" applyProtection="0"/>
    <xf numFmtId="0" fontId="10" fillId="0" borderId="14">
      <alignment horizontal="center"/>
    </xf>
    <xf numFmtId="0" fontId="10" fillId="0" borderId="14">
      <alignment horizontal="center"/>
    </xf>
    <xf numFmtId="0" fontId="10" fillId="0" borderId="14">
      <alignment horizontal="center"/>
    </xf>
    <xf numFmtId="0" fontId="10" fillId="0" borderId="14">
      <alignment horizontal="center"/>
    </xf>
    <xf numFmtId="0" fontId="29" fillId="0" borderId="0"/>
    <xf numFmtId="0" fontId="10" fillId="0" borderId="0"/>
    <xf numFmtId="0" fontId="110" fillId="0" borderId="0"/>
    <xf numFmtId="0" fontId="34" fillId="17" borderId="0" applyNumberFormat="0" applyBorder="0" applyAlignment="0" applyProtection="0"/>
    <xf numFmtId="0" fontId="34" fillId="17" borderId="0" applyNumberFormat="0" applyBorder="0" applyAlignment="0" applyProtection="0"/>
    <xf numFmtId="0" fontId="34" fillId="17"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19"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4"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5"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0"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7"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4"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5"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78" fillId="30" borderId="0" applyNumberFormat="0" applyBorder="0" applyAlignment="0" applyProtection="0"/>
    <xf numFmtId="0" fontId="34" fillId="5" borderId="0" applyNumberFormat="0" applyBorder="0" applyAlignment="0" applyProtection="0"/>
    <xf numFmtId="0" fontId="34" fillId="5"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78" fillId="32" borderId="0" applyNumberFormat="0" applyBorder="0" applyAlignment="0" applyProtection="0"/>
    <xf numFmtId="0" fontId="34" fillId="7" borderId="0" applyNumberFormat="0" applyBorder="0" applyAlignment="0" applyProtection="0"/>
    <xf numFmtId="0" fontId="34" fillId="8"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78" fillId="34" borderId="0" applyNumberFormat="0" applyBorder="0" applyAlignment="0" applyProtection="0"/>
    <xf numFmtId="0" fontId="34" fillId="7" borderId="0" applyNumberFormat="0" applyBorder="0" applyAlignment="0" applyProtection="0"/>
    <xf numFmtId="0" fontId="34" fillId="10"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78" fillId="35" borderId="0" applyNumberFormat="0" applyBorder="0" applyAlignment="0" applyProtection="0"/>
    <xf numFmtId="0" fontId="34" fillId="5" borderId="0" applyNumberFormat="0" applyBorder="0" applyAlignment="0" applyProtection="0"/>
    <xf numFmtId="0" fontId="34" fillId="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78" fillId="28" borderId="0" applyNumberFormat="0" applyBorder="0" applyAlignment="0" applyProtection="0"/>
    <xf numFmtId="0" fontId="34" fillId="11" borderId="0" applyNumberFormat="0" applyBorder="0" applyAlignment="0" applyProtection="0"/>
    <xf numFmtId="0" fontId="34" fillId="5"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78" fillId="29" borderId="0" applyNumberFormat="0" applyBorder="0" applyAlignment="0" applyProtection="0"/>
    <xf numFmtId="0" fontId="34" fillId="7" borderId="0" applyNumberFormat="0" applyBorder="0" applyAlignment="0" applyProtection="0"/>
    <xf numFmtId="0" fontId="34" fillId="12"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78" fillId="3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7" fillId="18" borderId="0" applyNumberFormat="0" applyBorder="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89" fillId="40" borderId="16"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90" fillId="41" borderId="17" applyNumberFormat="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5"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0"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172" fontId="29"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80" fontId="29" fillId="0" borderId="0" applyFont="0" applyFill="0" applyBorder="0" applyAlignment="0" applyProtection="0"/>
    <xf numFmtId="165" fontId="10" fillId="0" borderId="0" applyFont="0" applyFill="0" applyBorder="0" applyAlignment="0" applyProtection="0"/>
    <xf numFmtId="167" fontId="29"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167" fontId="29" fillId="0" borderId="0" applyFont="0" applyFill="0" applyBorder="0" applyAlignment="0" applyProtection="0"/>
    <xf numFmtId="43" fontId="10" fillId="0" borderId="0" applyFont="0" applyFill="0" applyBorder="0" applyAlignment="0" applyProtection="0"/>
    <xf numFmtId="0" fontId="12" fillId="0" borderId="0" applyNumberFormat="0" applyAlignment="0">
      <alignment horizontal="left"/>
    </xf>
    <xf numFmtId="0" fontId="12" fillId="0" borderId="0" applyNumberFormat="0" applyAlignment="0">
      <alignment horizontal="left"/>
    </xf>
    <xf numFmtId="164" fontId="10" fillId="0" borderId="0" applyFont="0" applyFill="0" applyBorder="0" applyAlignment="0" applyProtection="0"/>
    <xf numFmtId="164" fontId="10" fillId="0" borderId="0" applyFont="0" applyFill="0" applyBorder="0" applyAlignment="0" applyProtection="0"/>
    <xf numFmtId="164" fontId="10" fillId="0" borderId="0" applyFont="0" applyFill="0" applyBorder="0" applyAlignment="0" applyProtection="0"/>
    <xf numFmtId="0" fontId="13" fillId="0" borderId="0" applyNumberFormat="0" applyAlignment="0">
      <alignment horizontal="left"/>
    </xf>
    <xf numFmtId="0" fontId="13" fillId="0" borderId="0" applyNumberFormat="0" applyAlignment="0">
      <alignment horizontal="left"/>
    </xf>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2" fontId="10" fillId="0" borderId="0" applyFont="0" applyFill="0" applyBorder="0" applyAlignment="0" applyProtection="0"/>
    <xf numFmtId="2" fontId="10" fillId="0" borderId="0" applyFont="0" applyFill="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2" fillId="19" borderId="0" applyNumberFormat="0" applyBorder="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4" fillId="0" borderId="20"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6" fillId="0" borderId="21"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23" applyNumberFormat="0" applyFill="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0" fontId="182" fillId="0" borderId="0" applyNumberFormat="0" applyFill="0" applyBorder="0" applyAlignment="0" applyProtection="0">
      <alignment vertical="top"/>
      <protection locked="0"/>
    </xf>
    <xf numFmtId="0" fontId="183" fillId="0" borderId="0" applyNumberFormat="0" applyFill="0" applyBorder="0" applyAlignment="0" applyProtection="0">
      <alignment vertical="top"/>
      <protection locked="0"/>
    </xf>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1" fillId="22" borderId="16" applyNumberFormat="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0" fontId="103" fillId="0" borderId="24" applyNumberFormat="0" applyFill="0" applyAlignment="0" applyProtection="0"/>
    <xf numFmtId="167" fontId="16" fillId="0" borderId="4">
      <alignment horizontal="right"/>
    </xf>
    <xf numFmtId="167" fontId="16" fillId="0" borderId="4">
      <alignment horizontal="right"/>
    </xf>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0" fontId="104" fillId="43" borderId="0" applyNumberFormat="0" applyBorder="0" applyAlignment="0" applyProtection="0"/>
    <xf numFmtId="37" fontId="17" fillId="0" borderId="0"/>
    <xf numFmtId="37" fontId="17" fillId="0" borderId="0"/>
    <xf numFmtId="0" fontId="10" fillId="0" borderId="0"/>
    <xf numFmtId="0" fontId="29" fillId="0" borderId="0"/>
    <xf numFmtId="0" fontId="10" fillId="0" borderId="0"/>
    <xf numFmtId="0" fontId="29" fillId="0" borderId="0"/>
    <xf numFmtId="0" fontId="29" fillId="0" borderId="0"/>
    <xf numFmtId="0" fontId="29" fillId="0" borderId="0"/>
    <xf numFmtId="0" fontId="29" fillId="0" borderId="0"/>
    <xf numFmtId="0" fontId="29" fillId="0" borderId="0"/>
    <xf numFmtId="0" fontId="29" fillId="0" borderId="0"/>
    <xf numFmtId="0" fontId="34" fillId="0" borderId="0"/>
    <xf numFmtId="0" fontId="10" fillId="0" borderId="0"/>
    <xf numFmtId="0" fontId="10" fillId="0" borderId="0"/>
    <xf numFmtId="0" fontId="10" fillId="0" borderId="0"/>
    <xf numFmtId="0" fontId="10"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81" fillId="0" borderId="0"/>
    <xf numFmtId="0" fontId="34" fillId="0" borderId="0"/>
    <xf numFmtId="0" fontId="34" fillId="0" borderId="0"/>
    <xf numFmtId="0" fontId="34" fillId="0" borderId="0"/>
    <xf numFmtId="0" fontId="10" fillId="0" borderId="0"/>
    <xf numFmtId="0" fontId="10" fillId="0" borderId="0"/>
    <xf numFmtId="0" fontId="1" fillId="0" borderId="0"/>
    <xf numFmtId="0" fontId="29" fillId="0" borderId="0"/>
    <xf numFmtId="0" fontId="34" fillId="0" borderId="0"/>
    <xf numFmtId="0" fontId="29" fillId="0" borderId="0"/>
    <xf numFmtId="0" fontId="10" fillId="0" borderId="0"/>
    <xf numFmtId="0" fontId="10" fillId="0" borderId="0"/>
    <xf numFmtId="0" fontId="10" fillId="0" borderId="0"/>
    <xf numFmtId="0" fontId="10" fillId="0" borderId="0"/>
    <xf numFmtId="0" fontId="10" fillId="0" borderId="0"/>
    <xf numFmtId="0" fontId="34" fillId="0" borderId="0"/>
    <xf numFmtId="0" fontId="105"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29" fillId="0" borderId="0"/>
    <xf numFmtId="0" fontId="10" fillId="0" borderId="0"/>
    <xf numFmtId="0" fontId="10" fillId="0" borderId="0"/>
    <xf numFmtId="0" fontId="10" fillId="0" borderId="0"/>
    <xf numFmtId="0" fontId="29" fillId="0" borderId="0"/>
    <xf numFmtId="0" fontId="10" fillId="0" borderId="0"/>
    <xf numFmtId="0" fontId="29" fillId="0" borderId="0"/>
    <xf numFmtId="0" fontId="29"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84" fillId="0" borderId="0"/>
    <xf numFmtId="0" fontId="29" fillId="0" borderId="0"/>
    <xf numFmtId="0" fontId="29" fillId="0" borderId="0"/>
    <xf numFmtId="0" fontId="34" fillId="0" borderId="0"/>
    <xf numFmtId="0" fontId="34" fillId="0" borderId="0"/>
    <xf numFmtId="0" fontId="34" fillId="0" borderId="0"/>
    <xf numFmtId="0" fontId="1" fillId="0" borderId="0"/>
    <xf numFmtId="0" fontId="1" fillId="0" borderId="0"/>
    <xf numFmtId="0" fontId="185" fillId="0" borderId="0"/>
    <xf numFmtId="0" fontId="184" fillId="0" borderId="0"/>
    <xf numFmtId="0" fontId="1" fillId="0" borderId="0"/>
    <xf numFmtId="0" fontId="81" fillId="0" borderId="0"/>
    <xf numFmtId="0" fontId="107" fillId="0" borderId="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10"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29" fillId="44" borderId="25" applyNumberFormat="0" applyFon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0" fontId="108" fillId="40" borderId="26" applyNumberFormat="0" applyAlignment="0" applyProtection="0"/>
    <xf numFmtId="10" fontId="10" fillId="0" borderId="0" applyFont="0" applyFill="0" applyBorder="0" applyAlignment="0" applyProtection="0"/>
    <xf numFmtId="10" fontId="10" fillId="0" borderId="0" applyFont="0" applyFill="0" applyBorder="0" applyAlignment="0" applyProtection="0"/>
    <xf numFmtId="9" fontId="29" fillId="0" borderId="0" applyFont="0" applyFill="0" applyBorder="0" applyAlignment="0" applyProtection="0"/>
    <xf numFmtId="9" fontId="34" fillId="0" borderId="0" applyFont="0" applyFill="0" applyBorder="0" applyAlignment="0" applyProtection="0"/>
    <xf numFmtId="9" fontId="34"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29" fillId="0" borderId="0" applyFont="0" applyFill="0" applyBorder="0" applyAlignment="0" applyProtection="0"/>
    <xf numFmtId="9" fontId="81" fillId="0" borderId="0" applyFont="0" applyFill="0" applyBorder="0" applyAlignment="0" applyProtection="0"/>
    <xf numFmtId="0" fontId="22" fillId="0" borderId="0" applyNumberFormat="0" applyFill="0" applyBorder="0" applyAlignment="0" applyProtection="0"/>
    <xf numFmtId="0" fontId="19" fillId="0" borderId="3">
      <alignment horizontal="center"/>
    </xf>
    <xf numFmtId="0" fontId="19" fillId="0" borderId="3">
      <alignment horizontal="center"/>
    </xf>
    <xf numFmtId="0" fontId="19" fillId="0" borderId="0">
      <alignment horizontal="center" vertical="center"/>
    </xf>
    <xf numFmtId="0" fontId="19" fillId="0" borderId="0">
      <alignment horizontal="center" vertical="center"/>
    </xf>
    <xf numFmtId="0" fontId="20" fillId="4" borderId="0" applyNumberFormat="0" applyFill="0">
      <alignment horizontal="left" vertical="center"/>
    </xf>
    <xf numFmtId="0" fontId="20" fillId="4" borderId="0" applyNumberFormat="0" applyFill="0">
      <alignment horizontal="left" vertical="center"/>
    </xf>
    <xf numFmtId="166" fontId="10" fillId="0" borderId="0" applyFont="0" applyFill="0" applyBorder="0" applyAlignment="0" applyProtection="0"/>
    <xf numFmtId="166" fontId="10" fillId="0" borderId="0" applyFont="0" applyFill="0" applyBorder="0" applyAlignment="0" applyProtection="0"/>
    <xf numFmtId="0" fontId="10" fillId="0" borderId="0"/>
    <xf numFmtId="0" fontId="10" fillId="0" borderId="0"/>
    <xf numFmtId="0" fontId="10" fillId="0" borderId="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79" fillId="0" borderId="18" applyNumberFormat="0" applyFill="0" applyAlignment="0" applyProtection="0"/>
    <xf numFmtId="0" fontId="113" fillId="0" borderId="0" applyNumberFormat="0" applyFill="0" applyBorder="0" applyAlignment="0" applyProtection="0"/>
    <xf numFmtId="0" fontId="113" fillId="0" borderId="0" applyNumberFormat="0" applyFill="0" applyBorder="0" applyAlignment="0" applyProtection="0"/>
  </cellStyleXfs>
  <cellXfs count="1460">
    <xf numFmtId="0" fontId="0" fillId="0" borderId="0" xfId="0"/>
    <xf numFmtId="0" fontId="26" fillId="0" borderId="5" xfId="0" applyFont="1" applyBorder="1" applyAlignment="1">
      <alignment horizontal="center"/>
    </xf>
    <xf numFmtId="0" fontId="31" fillId="0" borderId="5" xfId="0" applyFont="1" applyBorder="1" applyAlignment="1">
      <alignment horizontal="center" vertical="center" wrapText="1"/>
    </xf>
    <xf numFmtId="0" fontId="31" fillId="0" borderId="5" xfId="0" applyFont="1" applyBorder="1" applyAlignment="1">
      <alignment horizontal="center" vertical="top" wrapText="1"/>
    </xf>
    <xf numFmtId="0" fontId="46" fillId="0" borderId="0" xfId="31" applyFont="1"/>
    <xf numFmtId="0" fontId="47" fillId="0" borderId="0" xfId="31" applyFont="1"/>
    <xf numFmtId="0" fontId="48" fillId="0" borderId="0" xfId="31" applyFont="1"/>
    <xf numFmtId="2" fontId="49" fillId="0" borderId="0" xfId="31" applyNumberFormat="1" applyFont="1"/>
    <xf numFmtId="0" fontId="49" fillId="0" borderId="0" xfId="31" applyFont="1"/>
    <xf numFmtId="0" fontId="50" fillId="0" borderId="0" xfId="31" applyFont="1"/>
    <xf numFmtId="0" fontId="35" fillId="0" borderId="0" xfId="0" applyFont="1" applyAlignment="1">
      <alignment vertical="top"/>
    </xf>
    <xf numFmtId="0" fontId="36" fillId="0" borderId="0" xfId="0" applyFont="1" applyAlignment="1">
      <alignment vertical="top" wrapText="1"/>
    </xf>
    <xf numFmtId="0" fontId="35" fillId="0" borderId="0" xfId="0" applyFont="1" applyAlignment="1">
      <alignment horizontal="center" vertical="top"/>
    </xf>
    <xf numFmtId="0" fontId="35" fillId="0" borderId="5" xfId="0" applyFont="1" applyBorder="1" applyAlignment="1">
      <alignment horizontal="center" vertical="top"/>
    </xf>
    <xf numFmtId="2" fontId="35" fillId="0" borderId="5" xfId="0" applyNumberFormat="1" applyFont="1" applyBorder="1" applyAlignment="1">
      <alignment horizontal="center" vertical="top"/>
    </xf>
    <xf numFmtId="2" fontId="35" fillId="0" borderId="0" xfId="0" applyNumberFormat="1" applyFont="1" applyAlignment="1">
      <alignment horizontal="center" vertical="top"/>
    </xf>
    <xf numFmtId="0" fontId="35" fillId="0" borderId="0" xfId="0" applyFont="1" applyAlignment="1">
      <alignment horizontal="center" vertical="top" wrapText="1"/>
    </xf>
    <xf numFmtId="0" fontId="35" fillId="0" borderId="0" xfId="0" applyFont="1" applyAlignment="1">
      <alignment horizontal="right" vertical="top"/>
    </xf>
    <xf numFmtId="0" fontId="37" fillId="0" borderId="0" xfId="0" applyFont="1" applyAlignment="1">
      <alignment horizontal="right" vertical="top"/>
    </xf>
    <xf numFmtId="0" fontId="37" fillId="0" borderId="0" xfId="0" applyFont="1" applyAlignment="1">
      <alignment vertical="top"/>
    </xf>
    <xf numFmtId="0" fontId="35" fillId="0" borderId="0" xfId="0" applyFont="1"/>
    <xf numFmtId="0" fontId="51" fillId="0" borderId="0" xfId="0" applyFont="1" applyAlignment="1">
      <alignment horizontal="center" vertical="justify"/>
    </xf>
    <xf numFmtId="0" fontId="51" fillId="0" borderId="0" xfId="0" applyFont="1"/>
    <xf numFmtId="0" fontId="52" fillId="0" borderId="0" xfId="0" applyFont="1" applyAlignment="1">
      <alignment horizontal="center"/>
    </xf>
    <xf numFmtId="0" fontId="53" fillId="0" borderId="0" xfId="0" applyFont="1" applyAlignment="1">
      <alignment vertical="center"/>
    </xf>
    <xf numFmtId="0" fontId="52" fillId="0" borderId="0" xfId="0" applyFont="1" applyAlignment="1">
      <alignment horizontal="left"/>
    </xf>
    <xf numFmtId="0" fontId="52" fillId="0" borderId="0" xfId="0" applyFont="1"/>
    <xf numFmtId="0" fontId="54" fillId="0" borderId="0" xfId="0" applyFont="1" applyAlignment="1">
      <alignment horizontal="center" vertical="center"/>
    </xf>
    <xf numFmtId="0" fontId="55" fillId="0" borderId="0" xfId="0" applyFont="1" applyAlignment="1">
      <alignment vertical="center" wrapText="1"/>
    </xf>
    <xf numFmtId="2" fontId="55" fillId="0" borderId="0" xfId="0" applyNumberFormat="1" applyFont="1" applyAlignment="1">
      <alignment horizontal="left" vertical="center" wrapText="1"/>
    </xf>
    <xf numFmtId="0" fontId="56" fillId="0" borderId="0" xfId="0" applyFont="1" applyAlignment="1">
      <alignment horizontal="center" vertical="center"/>
    </xf>
    <xf numFmtId="2" fontId="51" fillId="0" borderId="0" xfId="0" applyNumberFormat="1" applyFont="1"/>
    <xf numFmtId="0" fontId="51" fillId="0" borderId="0" xfId="0" applyFont="1" applyAlignment="1">
      <alignment vertical="top"/>
    </xf>
    <xf numFmtId="0" fontId="51" fillId="0" borderId="0" xfId="0" applyFont="1" applyAlignment="1">
      <alignment horizontal="center"/>
    </xf>
    <xf numFmtId="0" fontId="51" fillId="0" borderId="0" xfId="0" applyFont="1" applyAlignment="1">
      <alignment horizontal="right"/>
    </xf>
    <xf numFmtId="0" fontId="51" fillId="0" borderId="0" xfId="0" applyFont="1" applyAlignment="1">
      <alignment horizontal="left"/>
    </xf>
    <xf numFmtId="0" fontId="57" fillId="0" borderId="0" xfId="0" applyFont="1" applyAlignment="1">
      <alignment horizontal="center" vertical="top"/>
    </xf>
    <xf numFmtId="2" fontId="57" fillId="0" borderId="0" xfId="0" applyNumberFormat="1" applyFont="1" applyAlignment="1">
      <alignment horizontal="right"/>
    </xf>
    <xf numFmtId="0" fontId="57" fillId="0" borderId="0" xfId="0" applyFont="1" applyAlignment="1">
      <alignment horizontal="left"/>
    </xf>
    <xf numFmtId="2" fontId="57" fillId="0" borderId="0" xfId="0" applyNumberFormat="1" applyFont="1" applyAlignment="1">
      <alignment horizontal="center"/>
    </xf>
    <xf numFmtId="0" fontId="57" fillId="0" borderId="0" xfId="0" applyFont="1" applyAlignment="1">
      <alignment horizontal="center"/>
    </xf>
    <xf numFmtId="0" fontId="57" fillId="0" borderId="0" xfId="0" applyFont="1"/>
    <xf numFmtId="0" fontId="52" fillId="0" borderId="5" xfId="0" applyFont="1" applyBorder="1" applyAlignment="1">
      <alignment horizontal="center" vertical="top" wrapText="1"/>
    </xf>
    <xf numFmtId="2" fontId="52" fillId="0" borderId="6" xfId="0" applyNumberFormat="1" applyFont="1" applyBorder="1" applyAlignment="1">
      <alignment horizontal="center" vertical="center"/>
    </xf>
    <xf numFmtId="0" fontId="52" fillId="0" borderId="7" xfId="0" applyFont="1" applyBorder="1" applyAlignment="1">
      <alignment horizontal="center" vertical="center"/>
    </xf>
    <xf numFmtId="0" fontId="52" fillId="0" borderId="5" xfId="0" applyFont="1" applyBorder="1" applyAlignment="1">
      <alignment horizontal="center" vertical="center"/>
    </xf>
    <xf numFmtId="2" fontId="52" fillId="0" borderId="5" xfId="0" applyNumberFormat="1" applyFont="1" applyBorder="1" applyAlignment="1">
      <alignment horizontal="center" vertical="center"/>
    </xf>
    <xf numFmtId="0" fontId="52" fillId="0" borderId="0" xfId="0" applyFont="1" applyAlignment="1">
      <alignment horizontal="center" vertical="center"/>
    </xf>
    <xf numFmtId="0" fontId="52" fillId="0" borderId="5" xfId="0" applyFont="1" applyBorder="1" applyAlignment="1">
      <alignment horizontal="center" vertical="top"/>
    </xf>
    <xf numFmtId="1" fontId="52" fillId="0" borderId="6" xfId="0" applyNumberFormat="1" applyFont="1" applyBorder="1" applyAlignment="1">
      <alignment horizontal="center"/>
    </xf>
    <xf numFmtId="0" fontId="52" fillId="0" borderId="7" xfId="0" applyFont="1" applyBorder="1" applyAlignment="1">
      <alignment horizontal="center"/>
    </xf>
    <xf numFmtId="0" fontId="52" fillId="0" borderId="5" xfId="0" applyFont="1" applyBorder="1" applyAlignment="1">
      <alignment horizontal="center"/>
    </xf>
    <xf numFmtId="1" fontId="52" fillId="0" borderId="5" xfId="0" applyNumberFormat="1" applyFont="1" applyBorder="1" applyAlignment="1">
      <alignment horizontal="center"/>
    </xf>
    <xf numFmtId="0" fontId="51" fillId="0" borderId="0" xfId="0" applyFont="1" applyAlignment="1">
      <alignment horizontal="center" vertical="top" wrapText="1"/>
    </xf>
    <xf numFmtId="0" fontId="55" fillId="0" borderId="0" xfId="0" applyFont="1" applyAlignment="1">
      <alignment horizontal="left" vertical="center" wrapText="1"/>
    </xf>
    <xf numFmtId="0" fontId="53" fillId="0" borderId="0" xfId="0" applyFont="1" applyAlignment="1">
      <alignment horizontal="center" vertical="center"/>
    </xf>
    <xf numFmtId="0" fontId="58" fillId="0" borderId="0" xfId="0" applyFont="1"/>
    <xf numFmtId="2" fontId="55" fillId="0" borderId="0" xfId="0" applyNumberFormat="1" applyFont="1"/>
    <xf numFmtId="0" fontId="59" fillId="0" borderId="0" xfId="0" applyFont="1" applyAlignment="1">
      <alignment horizontal="center" vertical="center" wrapText="1"/>
    </xf>
    <xf numFmtId="0" fontId="59" fillId="0" borderId="0" xfId="0" applyFont="1" applyAlignment="1">
      <alignment horizontal="right" vertical="center" wrapText="1"/>
    </xf>
    <xf numFmtId="0" fontId="59" fillId="0" borderId="0" xfId="0" applyFont="1" applyAlignment="1">
      <alignment horizontal="left" vertical="center" wrapText="1"/>
    </xf>
    <xf numFmtId="0" fontId="58" fillId="0" borderId="0" xfId="0" applyFont="1" applyAlignment="1">
      <alignment horizontal="center" vertical="center" wrapText="1"/>
    </xf>
    <xf numFmtId="0" fontId="58" fillId="0" borderId="0" xfId="0" applyFont="1" applyAlignment="1">
      <alignment vertical="center"/>
    </xf>
    <xf numFmtId="0" fontId="60" fillId="0" borderId="0" xfId="0" applyFont="1" applyAlignment="1">
      <alignment horizontal="center"/>
    </xf>
    <xf numFmtId="0" fontId="55" fillId="0" borderId="0" xfId="0" applyFont="1" applyAlignment="1">
      <alignment horizontal="center" vertical="top"/>
    </xf>
    <xf numFmtId="0" fontId="61" fillId="0" borderId="0" xfId="0" applyFont="1" applyAlignment="1">
      <alignment horizontal="center" vertical="center"/>
    </xf>
    <xf numFmtId="0" fontId="55" fillId="0" borderId="0" xfId="0" applyFont="1" applyAlignment="1">
      <alignment horizontal="center" vertical="center"/>
    </xf>
    <xf numFmtId="0" fontId="55" fillId="0" borderId="0" xfId="0" applyFont="1" applyAlignment="1">
      <alignment horizontal="center"/>
    </xf>
    <xf numFmtId="0" fontId="55" fillId="0" borderId="0" xfId="0" applyFont="1" applyAlignment="1">
      <alignment horizontal="left" vertical="center"/>
    </xf>
    <xf numFmtId="0" fontId="58" fillId="0" borderId="0" xfId="0" applyFont="1" applyAlignment="1">
      <alignment horizontal="center" vertical="top" wrapText="1"/>
    </xf>
    <xf numFmtId="0" fontId="58" fillId="0" borderId="0" xfId="0" applyFont="1" applyAlignment="1">
      <alignment vertical="top" wrapText="1"/>
    </xf>
    <xf numFmtId="2" fontId="58" fillId="0" borderId="0" xfId="0" applyNumberFormat="1" applyFont="1" applyAlignment="1">
      <alignment horizontal="right" vertical="top" wrapText="1"/>
    </xf>
    <xf numFmtId="0" fontId="58" fillId="0" borderId="0" xfId="0" applyFont="1" applyAlignment="1">
      <alignment horizontal="left" vertical="top" wrapText="1"/>
    </xf>
    <xf numFmtId="0" fontId="51" fillId="0" borderId="5" xfId="0" applyFont="1" applyBorder="1" applyAlignment="1">
      <alignment horizontal="center" vertical="top"/>
    </xf>
    <xf numFmtId="2" fontId="51" fillId="0" borderId="5" xfId="0" applyNumberFormat="1" applyFont="1" applyBorder="1" applyAlignment="1">
      <alignment horizontal="center" vertical="center"/>
    </xf>
    <xf numFmtId="2" fontId="51" fillId="0" borderId="7" xfId="0" applyNumberFormat="1" applyFont="1" applyBorder="1" applyAlignment="1">
      <alignment horizontal="center" vertical="center"/>
    </xf>
    <xf numFmtId="2" fontId="51" fillId="0" borderId="6" xfId="0" applyNumberFormat="1" applyFont="1" applyBorder="1" applyAlignment="1">
      <alignment horizontal="right" vertical="center"/>
    </xf>
    <xf numFmtId="2" fontId="51" fillId="0" borderId="7" xfId="0" applyNumberFormat="1" applyFont="1" applyBorder="1" applyAlignment="1">
      <alignment horizontal="center" vertical="top"/>
    </xf>
    <xf numFmtId="2" fontId="51" fillId="0" borderId="5" xfId="0" applyNumberFormat="1" applyFont="1" applyBorder="1" applyAlignment="1">
      <alignment horizontal="center" vertical="top"/>
    </xf>
    <xf numFmtId="2" fontId="51" fillId="0" borderId="6" xfId="0" applyNumberFormat="1" applyFont="1" applyBorder="1" applyAlignment="1">
      <alignment horizontal="right" vertical="top"/>
    </xf>
    <xf numFmtId="2" fontId="51" fillId="0" borderId="7" xfId="0" applyNumberFormat="1" applyFont="1" applyBorder="1" applyAlignment="1">
      <alignment horizontal="left" vertical="center"/>
    </xf>
    <xf numFmtId="0" fontId="62" fillId="0" borderId="5" xfId="0" applyFont="1" applyBorder="1" applyAlignment="1">
      <alignment horizontal="center" vertical="top" wrapText="1"/>
    </xf>
    <xf numFmtId="0" fontId="62" fillId="0" borderId="6" xfId="0" applyFont="1" applyBorder="1" applyAlignment="1">
      <alignment horizontal="right" vertical="top" wrapText="1"/>
    </xf>
    <xf numFmtId="0" fontId="62" fillId="0" borderId="7" xfId="0" applyFont="1" applyBorder="1" applyAlignment="1">
      <alignment horizontal="right" vertical="top" wrapText="1"/>
    </xf>
    <xf numFmtId="0" fontId="62" fillId="0" borderId="5" xfId="0" applyFont="1" applyBorder="1" applyAlignment="1">
      <alignment vertical="top" wrapText="1"/>
    </xf>
    <xf numFmtId="0" fontId="62" fillId="0" borderId="0" xfId="0" applyFont="1" applyAlignment="1">
      <alignment vertical="top" wrapText="1"/>
    </xf>
    <xf numFmtId="0" fontId="62" fillId="0" borderId="5" xfId="0" applyFont="1" applyBorder="1" applyAlignment="1">
      <alignment horizontal="center"/>
    </xf>
    <xf numFmtId="0" fontId="62" fillId="0" borderId="6" xfId="0" applyFont="1" applyBorder="1" applyAlignment="1">
      <alignment horizontal="right"/>
    </xf>
    <xf numFmtId="0" fontId="62" fillId="0" borderId="8" xfId="0" applyFont="1" applyBorder="1" applyAlignment="1">
      <alignment horizontal="center"/>
    </xf>
    <xf numFmtId="0" fontId="62" fillId="0" borderId="7" xfId="0" applyFont="1" applyBorder="1" applyAlignment="1">
      <alignment horizontal="left"/>
    </xf>
    <xf numFmtId="2" fontId="62" fillId="0" borderId="6" xfId="0" applyNumberFormat="1" applyFont="1" applyBorder="1" applyAlignment="1">
      <alignment horizontal="right" vertical="top"/>
    </xf>
    <xf numFmtId="2" fontId="62" fillId="0" borderId="7" xfId="0" applyNumberFormat="1" applyFont="1" applyBorder="1" applyAlignment="1">
      <alignment horizontal="left" vertical="top"/>
    </xf>
    <xf numFmtId="0" fontId="62" fillId="0" borderId="0" xfId="0" applyFont="1"/>
    <xf numFmtId="2" fontId="62" fillId="0" borderId="6" xfId="0" applyNumberFormat="1" applyFont="1" applyBorder="1" applyAlignment="1">
      <alignment horizontal="right" vertical="top" wrapText="1"/>
    </xf>
    <xf numFmtId="2" fontId="62" fillId="0" borderId="5" xfId="0" applyNumberFormat="1" applyFont="1" applyBorder="1" applyAlignment="1">
      <alignment horizontal="center" vertical="top" wrapText="1"/>
    </xf>
    <xf numFmtId="2" fontId="51" fillId="0" borderId="5" xfId="0" applyNumberFormat="1" applyFont="1" applyBorder="1" applyAlignment="1">
      <alignment horizontal="center" vertical="top" wrapText="1"/>
    </xf>
    <xf numFmtId="2" fontId="51" fillId="0" borderId="5" xfId="0" applyNumberFormat="1" applyFont="1" applyBorder="1" applyAlignment="1">
      <alignment horizontal="right" vertical="top"/>
    </xf>
    <xf numFmtId="2" fontId="51" fillId="0" borderId="5" xfId="0" applyNumberFormat="1" applyFont="1" applyBorder="1" applyAlignment="1">
      <alignment horizontal="right" vertical="center"/>
    </xf>
    <xf numFmtId="2" fontId="52" fillId="0" borderId="5" xfId="0" applyNumberFormat="1" applyFont="1" applyBorder="1" applyAlignment="1">
      <alignment horizontal="right" vertical="center"/>
    </xf>
    <xf numFmtId="0" fontId="66" fillId="0" borderId="5" xfId="0" applyFont="1" applyBorder="1" applyAlignment="1">
      <alignment horizontal="center" vertical="top" wrapText="1"/>
    </xf>
    <xf numFmtId="2" fontId="35" fillId="0" borderId="5" xfId="68" applyNumberFormat="1" applyFont="1" applyBorder="1" applyAlignment="1">
      <alignment horizontal="center" vertical="top" wrapText="1" shrinkToFit="1"/>
    </xf>
    <xf numFmtId="2" fontId="40" fillId="0" borderId="5" xfId="0" applyNumberFormat="1" applyFont="1" applyBorder="1" applyAlignment="1">
      <alignment horizontal="right" vertical="top"/>
    </xf>
    <xf numFmtId="0" fontId="37" fillId="0" borderId="0" xfId="0" applyFont="1" applyAlignment="1">
      <alignment horizontal="center"/>
    </xf>
    <xf numFmtId="0" fontId="40" fillId="0" borderId="0" xfId="0" applyFont="1" applyAlignment="1">
      <alignment vertical="center"/>
    </xf>
    <xf numFmtId="0" fontId="40" fillId="0" borderId="5" xfId="0" applyFont="1" applyBorder="1" applyAlignment="1">
      <alignment horizontal="center" vertical="top" wrapText="1"/>
    </xf>
    <xf numFmtId="0" fontId="40" fillId="0" borderId="0" xfId="0" applyFont="1" applyAlignment="1">
      <alignment vertical="top"/>
    </xf>
    <xf numFmtId="2" fontId="40" fillId="0" borderId="5" xfId="68" applyNumberFormat="1" applyFont="1" applyBorder="1" applyAlignment="1">
      <alignment horizontal="center" vertical="top" wrapText="1" shrinkToFit="1"/>
    </xf>
    <xf numFmtId="2" fontId="62" fillId="0" borderId="5" xfId="0" applyNumberFormat="1" applyFont="1" applyBorder="1" applyAlignment="1">
      <alignment horizontal="center" vertical="top"/>
    </xf>
    <xf numFmtId="0" fontId="35" fillId="0" borderId="5" xfId="68" applyFont="1" applyBorder="1" applyAlignment="1">
      <alignment vertical="top" wrapText="1" shrinkToFit="1"/>
    </xf>
    <xf numFmtId="0" fontId="35" fillId="0" borderId="5" xfId="68" applyFont="1" applyBorder="1" applyAlignment="1">
      <alignment horizontal="center" vertical="top" wrapText="1" shrinkToFit="1"/>
    </xf>
    <xf numFmtId="0" fontId="37" fillId="0" borderId="0" xfId="70" applyFont="1" applyAlignment="1">
      <alignment vertical="top"/>
    </xf>
    <xf numFmtId="0" fontId="72" fillId="0" borderId="9" xfId="70" applyFont="1" applyBorder="1" applyAlignment="1">
      <alignment horizontal="center" vertical="center" wrapText="1"/>
    </xf>
    <xf numFmtId="0" fontId="72" fillId="0" borderId="0" xfId="70" applyFont="1" applyAlignment="1">
      <alignment horizontal="center" vertical="center" wrapText="1"/>
    </xf>
    <xf numFmtId="0" fontId="35" fillId="0" borderId="5" xfId="70" applyFont="1" applyBorder="1" applyAlignment="1">
      <alignment horizontal="center" vertical="center"/>
    </xf>
    <xf numFmtId="0" fontId="35" fillId="0" borderId="10" xfId="70" applyFont="1" applyBorder="1" applyAlignment="1">
      <alignment horizontal="center" vertical="center"/>
    </xf>
    <xf numFmtId="0" fontId="35" fillId="0" borderId="0" xfId="70" applyFont="1" applyAlignment="1">
      <alignment vertical="center"/>
    </xf>
    <xf numFmtId="0" fontId="35" fillId="0" borderId="5" xfId="70" applyFont="1" applyBorder="1" applyAlignment="1">
      <alignment horizontal="center" vertical="top"/>
    </xf>
    <xf numFmtId="0" fontId="35" fillId="0" borderId="0" xfId="70" applyFont="1" applyAlignment="1">
      <alignment vertical="top"/>
    </xf>
    <xf numFmtId="0" fontId="35" fillId="0" borderId="6" xfId="70" applyFont="1" applyBorder="1" applyAlignment="1">
      <alignment vertical="top" wrapText="1"/>
    </xf>
    <xf numFmtId="0" fontId="35" fillId="0" borderId="6" xfId="70" applyFont="1" applyBorder="1" applyAlignment="1">
      <alignment vertical="top"/>
    </xf>
    <xf numFmtId="2" fontId="35" fillId="0" borderId="5" xfId="70" applyNumberFormat="1" applyFont="1" applyBorder="1" applyAlignment="1">
      <alignment vertical="top"/>
    </xf>
    <xf numFmtId="2" fontId="35" fillId="0" borderId="5" xfId="70" applyNumberFormat="1" applyFont="1" applyBorder="1" applyAlignment="1">
      <alignment horizontal="center" vertical="top"/>
    </xf>
    <xf numFmtId="2" fontId="35" fillId="0" borderId="6" xfId="70" applyNumberFormat="1" applyFont="1" applyBorder="1" applyAlignment="1">
      <alignment horizontal="left" vertical="top"/>
    </xf>
    <xf numFmtId="2" fontId="35" fillId="0" borderId="6" xfId="70" applyNumberFormat="1" applyFont="1" applyBorder="1" applyAlignment="1">
      <alignment horizontal="center" vertical="top"/>
    </xf>
    <xf numFmtId="0" fontId="35" fillId="0" borderId="5" xfId="70" applyFont="1" applyBorder="1" applyAlignment="1">
      <alignment vertical="top" wrapText="1"/>
    </xf>
    <xf numFmtId="0" fontId="35" fillId="0" borderId="5" xfId="70" applyFont="1" applyBorder="1" applyAlignment="1">
      <alignment vertical="top"/>
    </xf>
    <xf numFmtId="2" fontId="35" fillId="0" borderId="5" xfId="70" applyNumberFormat="1" applyFont="1" applyBorder="1" applyAlignment="1">
      <alignment horizontal="left" vertical="top"/>
    </xf>
    <xf numFmtId="0" fontId="35" fillId="0" borderId="0" xfId="70" applyFont="1" applyAlignment="1">
      <alignment horizontal="left" vertical="top"/>
    </xf>
    <xf numFmtId="0" fontId="35" fillId="0" borderId="0" xfId="70" applyFont="1" applyAlignment="1">
      <alignment horizontal="center" vertical="top"/>
    </xf>
    <xf numFmtId="2" fontId="51" fillId="0" borderId="0" xfId="0" applyNumberFormat="1" applyFont="1" applyAlignment="1">
      <alignment horizontal="center"/>
    </xf>
    <xf numFmtId="0" fontId="37" fillId="0" borderId="0" xfId="70" applyFont="1" applyAlignment="1">
      <alignment horizontal="left" vertical="top"/>
    </xf>
    <xf numFmtId="0" fontId="37" fillId="0" borderId="0" xfId="70" applyFont="1" applyAlignment="1">
      <alignment horizontal="center" vertical="top"/>
    </xf>
    <xf numFmtId="0" fontId="35" fillId="0" borderId="9" xfId="70" applyFont="1" applyBorder="1" applyAlignment="1">
      <alignment horizontal="center" vertical="center" wrapText="1"/>
    </xf>
    <xf numFmtId="0" fontId="35" fillId="0" borderId="9" xfId="70" applyFont="1" applyBorder="1" applyAlignment="1">
      <alignment horizontal="left" vertical="center"/>
    </xf>
    <xf numFmtId="0" fontId="72" fillId="0" borderId="9" xfId="70" applyFont="1" applyBorder="1" applyAlignment="1">
      <alignment horizontal="right" vertical="center" wrapText="1"/>
    </xf>
    <xf numFmtId="0" fontId="75" fillId="0" borderId="0" xfId="31" applyFont="1"/>
    <xf numFmtId="0" fontId="76" fillId="0" borderId="0" xfId="31" applyFont="1"/>
    <xf numFmtId="0" fontId="35" fillId="0" borderId="0" xfId="0" applyFont="1" applyAlignment="1">
      <alignment horizontal="center"/>
    </xf>
    <xf numFmtId="0" fontId="74" fillId="0" borderId="0" xfId="0" applyFont="1" applyAlignment="1">
      <alignment horizontal="right"/>
    </xf>
    <xf numFmtId="2" fontId="46" fillId="0" borderId="0" xfId="80" applyNumberFormat="1" applyFont="1" applyAlignment="1">
      <alignment vertical="top"/>
    </xf>
    <xf numFmtId="0" fontId="46" fillId="0" borderId="0" xfId="80" applyFont="1" applyAlignment="1">
      <alignment vertical="top"/>
    </xf>
    <xf numFmtId="0" fontId="46" fillId="0" borderId="0" xfId="80" applyFont="1"/>
    <xf numFmtId="0" fontId="51" fillId="0" borderId="0" xfId="0" applyFont="1" applyAlignment="1">
      <alignment horizontal="center" vertical="top"/>
    </xf>
    <xf numFmtId="0" fontId="52" fillId="0" borderId="0" xfId="0" applyFont="1" applyAlignment="1">
      <alignment horizontal="justify" vertical="top" wrapText="1"/>
    </xf>
    <xf numFmtId="2" fontId="51" fillId="0" borderId="0" xfId="0" applyNumberFormat="1" applyFont="1" applyAlignment="1">
      <alignment horizontal="center" vertical="center"/>
    </xf>
    <xf numFmtId="2" fontId="52" fillId="0" borderId="6" xfId="0" applyNumberFormat="1" applyFont="1" applyBorder="1" applyAlignment="1">
      <alignment horizontal="right" vertical="center"/>
    </xf>
    <xf numFmtId="2" fontId="52" fillId="0" borderId="7" xfId="0" applyNumberFormat="1" applyFont="1" applyBorder="1" applyAlignment="1">
      <alignment horizontal="right" vertical="center"/>
    </xf>
    <xf numFmtId="2" fontId="52" fillId="0" borderId="7" xfId="0" applyNumberFormat="1" applyFont="1" applyBorder="1" applyAlignment="1">
      <alignment horizontal="center" vertical="center"/>
    </xf>
    <xf numFmtId="2" fontId="52" fillId="0" borderId="0" xfId="0" applyNumberFormat="1" applyFont="1" applyAlignment="1">
      <alignment horizontal="right" vertical="center"/>
    </xf>
    <xf numFmtId="2" fontId="52" fillId="0" borderId="0" xfId="0" applyNumberFormat="1" applyFont="1" applyAlignment="1">
      <alignment horizontal="center" vertical="center"/>
    </xf>
    <xf numFmtId="2" fontId="10" fillId="0" borderId="5" xfId="0" applyNumberFormat="1" applyFont="1" applyBorder="1" applyAlignment="1">
      <alignment horizontal="center" vertical="center"/>
    </xf>
    <xf numFmtId="0" fontId="62" fillId="0" borderId="5" xfId="0" applyFont="1" applyBorder="1" applyAlignment="1">
      <alignment horizontal="center" vertical="top"/>
    </xf>
    <xf numFmtId="0" fontId="62" fillId="0" borderId="6" xfId="0" applyFont="1" applyBorder="1" applyAlignment="1">
      <alignment horizontal="right" vertical="top"/>
    </xf>
    <xf numFmtId="0" fontId="62" fillId="0" borderId="8" xfId="0" applyFont="1" applyBorder="1" applyAlignment="1">
      <alignment horizontal="center" vertical="top"/>
    </xf>
    <xf numFmtId="0" fontId="62" fillId="0" borderId="7" xfId="0" applyFont="1" applyBorder="1" applyAlignment="1">
      <alignment horizontal="left" vertical="top"/>
    </xf>
    <xf numFmtId="2" fontId="62" fillId="0" borderId="0" xfId="0" applyNumberFormat="1" applyFont="1" applyAlignment="1">
      <alignment vertical="top"/>
    </xf>
    <xf numFmtId="0" fontId="62" fillId="0" borderId="0" xfId="0" applyFont="1" applyAlignment="1">
      <alignment vertical="top"/>
    </xf>
    <xf numFmtId="0" fontId="62" fillId="0" borderId="5" xfId="0" applyFont="1" applyBorder="1" applyAlignment="1">
      <alignment horizontal="right" vertical="top"/>
    </xf>
    <xf numFmtId="0" fontId="51" fillId="0" borderId="0" xfId="29" applyFont="1"/>
    <xf numFmtId="0" fontId="51" fillId="0" borderId="0" xfId="29" applyFont="1" applyAlignment="1">
      <alignment horizontal="center"/>
    </xf>
    <xf numFmtId="168" fontId="62" fillId="0" borderId="5" xfId="0" applyNumberFormat="1" applyFont="1" applyBorder="1" applyAlignment="1">
      <alignment horizontal="center" vertical="top" wrapText="1"/>
    </xf>
    <xf numFmtId="2" fontId="52" fillId="0" borderId="7" xfId="0" applyNumberFormat="1" applyFont="1" applyBorder="1" applyAlignment="1">
      <alignment horizontal="left" vertical="center"/>
    </xf>
    <xf numFmtId="2" fontId="35" fillId="0" borderId="0" xfId="70" applyNumberFormat="1" applyFont="1" applyAlignment="1">
      <alignment vertical="top"/>
    </xf>
    <xf numFmtId="0" fontId="52" fillId="0" borderId="0" xfId="0" applyFont="1" applyAlignment="1">
      <alignment horizontal="left" vertical="top" wrapText="1"/>
    </xf>
    <xf numFmtId="0" fontId="52" fillId="0" borderId="0" xfId="0" applyFont="1" applyAlignment="1">
      <alignment horizontal="right" vertical="top" wrapText="1"/>
    </xf>
    <xf numFmtId="2" fontId="51" fillId="0" borderId="7" xfId="0" applyNumberFormat="1" applyFont="1" applyBorder="1" applyAlignment="1">
      <alignment horizontal="left" vertical="top"/>
    </xf>
    <xf numFmtId="0" fontId="51" fillId="0" borderId="5" xfId="161" applyFont="1" applyBorder="1" applyAlignment="1">
      <alignment horizontal="justify" vertical="top" wrapText="1"/>
    </xf>
    <xf numFmtId="2" fontId="46" fillId="0" borderId="0" xfId="163" applyNumberFormat="1" applyFont="1" applyAlignment="1">
      <alignment vertical="top"/>
    </xf>
    <xf numFmtId="0" fontId="46" fillId="0" borderId="0" xfId="163" applyFont="1" applyAlignment="1">
      <alignment vertical="top"/>
    </xf>
    <xf numFmtId="0" fontId="46" fillId="0" borderId="0" xfId="163" applyFont="1"/>
    <xf numFmtId="2" fontId="38" fillId="0" borderId="0" xfId="0" applyNumberFormat="1" applyFont="1" applyAlignment="1">
      <alignment horizontal="left" vertical="top"/>
    </xf>
    <xf numFmtId="0" fontId="35" fillId="0" borderId="0" xfId="70" applyFont="1" applyAlignment="1">
      <alignment vertical="top" wrapText="1"/>
    </xf>
    <xf numFmtId="2" fontId="35" fillId="0" borderId="0" xfId="70" applyNumberFormat="1" applyFont="1" applyAlignment="1">
      <alignment horizontal="left" vertical="top"/>
    </xf>
    <xf numFmtId="2" fontId="35" fillId="0" borderId="0" xfId="70" applyNumberFormat="1" applyFont="1" applyAlignment="1">
      <alignment horizontal="center" vertical="top"/>
    </xf>
    <xf numFmtId="0" fontId="116" fillId="0" borderId="5" xfId="29" applyFont="1" applyBorder="1" applyAlignment="1">
      <alignment horizontal="center" vertical="center" wrapText="1"/>
    </xf>
    <xf numFmtId="0" fontId="116" fillId="0" borderId="5" xfId="29" applyFont="1" applyBorder="1" applyAlignment="1">
      <alignment vertical="center" wrapText="1"/>
    </xf>
    <xf numFmtId="2" fontId="67" fillId="0" borderId="5" xfId="29" applyNumberFormat="1" applyFont="1" applyBorder="1" applyAlignment="1">
      <alignment vertical="center" wrapText="1"/>
    </xf>
    <xf numFmtId="2" fontId="67" fillId="0" borderId="5" xfId="29" applyNumberFormat="1" applyFont="1" applyBorder="1" applyAlignment="1">
      <alignment horizontal="right" vertical="center" wrapText="1"/>
    </xf>
    <xf numFmtId="2" fontId="40" fillId="0" borderId="30" xfId="0" applyNumberFormat="1" applyFont="1" applyBorder="1" applyAlignment="1">
      <alignment vertical="center"/>
    </xf>
    <xf numFmtId="2" fontId="40" fillId="0" borderId="31" xfId="0" applyNumberFormat="1" applyFont="1" applyBorder="1" applyAlignment="1">
      <alignment vertical="center"/>
    </xf>
    <xf numFmtId="2" fontId="62" fillId="0" borderId="0" xfId="0" applyNumberFormat="1" applyFont="1" applyAlignment="1">
      <alignment vertical="top" wrapText="1"/>
    </xf>
    <xf numFmtId="2" fontId="77" fillId="0" borderId="6" xfId="0" applyNumberFormat="1" applyFont="1" applyBorder="1" applyAlignment="1">
      <alignment horizontal="right" vertical="top" wrapText="1"/>
    </xf>
    <xf numFmtId="2" fontId="77" fillId="0" borderId="7" xfId="0" applyNumberFormat="1" applyFont="1" applyBorder="1" applyAlignment="1">
      <alignment horizontal="left" vertical="top"/>
    </xf>
    <xf numFmtId="2" fontId="77" fillId="0" borderId="5" xfId="0" applyNumberFormat="1" applyFont="1" applyBorder="1" applyAlignment="1">
      <alignment horizontal="center" vertical="top" wrapText="1"/>
    </xf>
    <xf numFmtId="2" fontId="52" fillId="0" borderId="5" xfId="0" applyNumberFormat="1" applyFont="1" applyBorder="1" applyAlignment="1">
      <alignment horizontal="center" vertical="top" wrapText="1"/>
    </xf>
    <xf numFmtId="2" fontId="77" fillId="0" borderId="5" xfId="0" applyNumberFormat="1" applyFont="1" applyBorder="1" applyAlignment="1">
      <alignment horizontal="right" vertical="top" wrapText="1"/>
    </xf>
    <xf numFmtId="0" fontId="22" fillId="0" borderId="5" xfId="0" applyFont="1" applyBorder="1" applyAlignment="1">
      <alignment horizontal="center" vertical="top" wrapText="1"/>
    </xf>
    <xf numFmtId="0" fontId="74" fillId="0" borderId="0" xfId="0" applyFont="1" applyAlignment="1">
      <alignment horizontal="center"/>
    </xf>
    <xf numFmtId="0" fontId="74" fillId="0" borderId="0" xfId="139" applyFont="1"/>
    <xf numFmtId="0" fontId="74" fillId="0" borderId="0" xfId="139" applyFont="1" applyAlignment="1">
      <alignment horizontal="center"/>
    </xf>
    <xf numFmtId="0" fontId="74" fillId="0" borderId="0" xfId="139" applyFont="1" applyAlignment="1">
      <alignment horizontal="center" vertical="center"/>
    </xf>
    <xf numFmtId="0" fontId="74" fillId="0" borderId="0" xfId="139" applyFont="1" applyAlignment="1">
      <alignment horizontal="justify" vertical="center"/>
    </xf>
    <xf numFmtId="2" fontId="121" fillId="0" borderId="0" xfId="139" applyNumberFormat="1" applyFont="1" applyAlignment="1">
      <alignment horizontal="right" vertical="center"/>
    </xf>
    <xf numFmtId="0" fontId="121" fillId="0" borderId="0" xfId="139" applyFont="1" applyAlignment="1">
      <alignment horizontal="justify" vertical="center"/>
    </xf>
    <xf numFmtId="2" fontId="121" fillId="0" borderId="0" xfId="139" applyNumberFormat="1" applyFont="1" applyAlignment="1">
      <alignment horizontal="justify" vertical="center"/>
    </xf>
    <xf numFmtId="0" fontId="121" fillId="0" borderId="0" xfId="139" applyFont="1" applyAlignment="1">
      <alignment horizontal="center" vertical="center"/>
    </xf>
    <xf numFmtId="0" fontId="123" fillId="0" borderId="0" xfId="139" applyFont="1"/>
    <xf numFmtId="2" fontId="122" fillId="0" borderId="3" xfId="139" applyNumberFormat="1" applyFont="1" applyBorder="1" applyAlignment="1">
      <alignment horizontal="center" vertical="center" wrapText="1"/>
    </xf>
    <xf numFmtId="49" fontId="122" fillId="0" borderId="3" xfId="139" applyNumberFormat="1" applyFont="1" applyBorder="1" applyAlignment="1">
      <alignment horizontal="center" vertical="center" wrapText="1"/>
    </xf>
    <xf numFmtId="0" fontId="123" fillId="0" borderId="36" xfId="139" applyFont="1" applyBorder="1" applyAlignment="1">
      <alignment horizontal="center" vertical="top"/>
    </xf>
    <xf numFmtId="2" fontId="123" fillId="0" borderId="37" xfId="139" applyNumberFormat="1" applyFont="1" applyBorder="1" applyAlignment="1">
      <alignment horizontal="right" vertical="top" wrapText="1"/>
    </xf>
    <xf numFmtId="2" fontId="117" fillId="0" borderId="36" xfId="69" applyNumberFormat="1" applyFont="1" applyBorder="1" applyAlignment="1">
      <alignment vertical="top" wrapText="1"/>
    </xf>
    <xf numFmtId="0" fontId="123" fillId="0" borderId="38" xfId="139" applyFont="1" applyBorder="1"/>
    <xf numFmtId="2" fontId="123" fillId="0" borderId="38" xfId="139" applyNumberFormat="1" applyFont="1" applyBorder="1" applyAlignment="1">
      <alignment horizontal="center" vertical="top" wrapText="1"/>
    </xf>
    <xf numFmtId="2" fontId="123" fillId="0" borderId="38" xfId="139" applyNumberFormat="1" applyFont="1" applyBorder="1" applyAlignment="1">
      <alignment horizontal="right" vertical="top" wrapText="1"/>
    </xf>
    <xf numFmtId="2" fontId="123" fillId="0" borderId="0" xfId="139" applyNumberFormat="1" applyFont="1" applyAlignment="1">
      <alignment horizontal="right" vertical="top" wrapText="1"/>
    </xf>
    <xf numFmtId="2" fontId="123" fillId="0" borderId="0" xfId="139" applyNumberFormat="1" applyFont="1" applyAlignment="1">
      <alignment vertical="top"/>
    </xf>
    <xf numFmtId="0" fontId="123" fillId="0" borderId="4" xfId="139" applyFont="1" applyBorder="1" applyAlignment="1">
      <alignment horizontal="center" vertical="top"/>
    </xf>
    <xf numFmtId="2" fontId="123" fillId="0" borderId="39" xfId="139" applyNumberFormat="1" applyFont="1" applyBorder="1" applyAlignment="1">
      <alignment horizontal="right" vertical="top" wrapText="1"/>
    </xf>
    <xf numFmtId="2" fontId="117" fillId="0" borderId="4" xfId="69" applyNumberFormat="1" applyFont="1" applyBorder="1" applyAlignment="1">
      <alignment vertical="top" wrapText="1"/>
    </xf>
    <xf numFmtId="0" fontId="123" fillId="0" borderId="40" xfId="139" applyFont="1" applyBorder="1"/>
    <xf numFmtId="2" fontId="123" fillId="0" borderId="40" xfId="139" applyNumberFormat="1" applyFont="1" applyBorder="1" applyAlignment="1">
      <alignment horizontal="center" vertical="top" wrapText="1"/>
    </xf>
    <xf numFmtId="49" fontId="123" fillId="0" borderId="40" xfId="139" applyNumberFormat="1" applyFont="1" applyBorder="1" applyAlignment="1">
      <alignment horizontal="center" vertical="top" wrapText="1"/>
    </xf>
    <xf numFmtId="2" fontId="123" fillId="0" borderId="40" xfId="139" applyNumberFormat="1" applyFont="1" applyBorder="1" applyAlignment="1">
      <alignment horizontal="right" vertical="top" wrapText="1"/>
    </xf>
    <xf numFmtId="0" fontId="123" fillId="0" borderId="41" xfId="70" applyFont="1" applyBorder="1" applyAlignment="1">
      <alignment horizontal="center" vertical="top"/>
    </xf>
    <xf numFmtId="2" fontId="123" fillId="0" borderId="42" xfId="70" applyNumberFormat="1" applyFont="1" applyBorder="1" applyAlignment="1">
      <alignment horizontal="right" vertical="top" wrapText="1"/>
    </xf>
    <xf numFmtId="49" fontId="123" fillId="0" borderId="41" xfId="70" applyNumberFormat="1" applyFont="1" applyBorder="1" applyAlignment="1">
      <alignment horizontal="left" vertical="top" wrapText="1"/>
    </xf>
    <xf numFmtId="2" fontId="123" fillId="0" borderId="43" xfId="70" applyNumberFormat="1" applyFont="1" applyBorder="1" applyAlignment="1">
      <alignment horizontal="center" vertical="top" wrapText="1"/>
    </xf>
    <xf numFmtId="49" fontId="122" fillId="0" borderId="43" xfId="70" applyNumberFormat="1" applyFont="1" applyBorder="1" applyAlignment="1">
      <alignment horizontal="right" vertical="top" wrapText="1"/>
    </xf>
    <xf numFmtId="2" fontId="124" fillId="0" borderId="43" xfId="70" applyNumberFormat="1" applyFont="1" applyBorder="1" applyAlignment="1">
      <alignment horizontal="center" vertical="top" wrapText="1"/>
    </xf>
    <xf numFmtId="49" fontId="123" fillId="0" borderId="43" xfId="70" applyNumberFormat="1" applyFont="1" applyBorder="1" applyAlignment="1">
      <alignment horizontal="center" vertical="top" wrapText="1"/>
    </xf>
    <xf numFmtId="2" fontId="123" fillId="0" borderId="43" xfId="70" applyNumberFormat="1" applyFont="1" applyBorder="1" applyAlignment="1">
      <alignment horizontal="right" vertical="top" wrapText="1"/>
    </xf>
    <xf numFmtId="49" fontId="123" fillId="0" borderId="43" xfId="70" applyNumberFormat="1" applyFont="1" applyBorder="1" applyAlignment="1">
      <alignment horizontal="justify" vertical="top" wrapText="1"/>
    </xf>
    <xf numFmtId="0" fontId="123" fillId="0" borderId="0" xfId="70" applyFont="1" applyAlignment="1">
      <alignment vertical="top"/>
    </xf>
    <xf numFmtId="0" fontId="123" fillId="0" borderId="4" xfId="69" applyFont="1" applyBorder="1" applyAlignment="1">
      <alignment horizontal="center" vertical="top"/>
    </xf>
    <xf numFmtId="2" fontId="123" fillId="0" borderId="39" xfId="69" applyNumberFormat="1" applyFont="1" applyBorder="1" applyAlignment="1">
      <alignment horizontal="right" vertical="top" wrapText="1"/>
    </xf>
    <xf numFmtId="49" fontId="123" fillId="0" borderId="4" xfId="69" applyNumberFormat="1" applyFont="1" applyBorder="1" applyAlignment="1">
      <alignment horizontal="left" vertical="top" wrapText="1"/>
    </xf>
    <xf numFmtId="2" fontId="123" fillId="0" borderId="40" xfId="69" applyNumberFormat="1" applyFont="1" applyBorder="1" applyAlignment="1">
      <alignment horizontal="center" vertical="top" wrapText="1"/>
    </xf>
    <xf numFmtId="2" fontId="126" fillId="0" borderId="40" xfId="69" applyNumberFormat="1" applyFont="1" applyBorder="1" applyAlignment="1">
      <alignment horizontal="center" vertical="center" wrapText="1"/>
    </xf>
    <xf numFmtId="2" fontId="127" fillId="0" borderId="40" xfId="69" applyNumberFormat="1" applyFont="1" applyBorder="1" applyAlignment="1">
      <alignment horizontal="right" vertical="top" wrapText="1"/>
    </xf>
    <xf numFmtId="49" fontId="128" fillId="0" borderId="39" xfId="69" applyNumberFormat="1" applyFont="1" applyBorder="1" applyAlignment="1">
      <alignment horizontal="center" vertical="top" wrapText="1"/>
    </xf>
    <xf numFmtId="0" fontId="43" fillId="0" borderId="0" xfId="69" applyFont="1" applyAlignment="1">
      <alignment vertical="top"/>
    </xf>
    <xf numFmtId="49" fontId="127" fillId="0" borderId="40" xfId="69" applyNumberFormat="1" applyFont="1" applyBorder="1" applyAlignment="1">
      <alignment horizontal="center" vertical="center" wrapText="1"/>
    </xf>
    <xf numFmtId="0" fontId="123" fillId="0" borderId="41" xfId="69" applyFont="1" applyBorder="1" applyAlignment="1">
      <alignment horizontal="center" vertical="top"/>
    </xf>
    <xf numFmtId="2" fontId="123" fillId="0" borderId="42" xfId="69" applyNumberFormat="1" applyFont="1" applyBorder="1" applyAlignment="1">
      <alignment horizontal="right" vertical="top" wrapText="1"/>
    </xf>
    <xf numFmtId="49" fontId="123" fillId="0" borderId="41" xfId="69" applyNumberFormat="1" applyFont="1" applyBorder="1" applyAlignment="1">
      <alignment horizontal="left" vertical="top" wrapText="1"/>
    </xf>
    <xf numFmtId="2" fontId="123" fillId="0" borderId="43" xfId="69" applyNumberFormat="1" applyFont="1" applyBorder="1" applyAlignment="1">
      <alignment horizontal="center" vertical="top" wrapText="1"/>
    </xf>
    <xf numFmtId="2" fontId="126" fillId="0" borderId="43" xfId="69" applyNumberFormat="1" applyFont="1" applyBorder="1" applyAlignment="1">
      <alignment horizontal="center" vertical="center" wrapText="1"/>
    </xf>
    <xf numFmtId="2" fontId="127" fillId="0" borderId="43" xfId="69" applyNumberFormat="1" applyFont="1" applyBorder="1" applyAlignment="1">
      <alignment horizontal="right" vertical="center" wrapText="1"/>
    </xf>
    <xf numFmtId="49" fontId="123" fillId="0" borderId="0" xfId="139" applyNumberFormat="1" applyFont="1" applyAlignment="1">
      <alignment horizontal="center" wrapText="1"/>
    </xf>
    <xf numFmtId="2" fontId="123" fillId="0" borderId="0" xfId="139" applyNumberFormat="1" applyFont="1" applyAlignment="1">
      <alignment horizontal="right" vertical="center" wrapText="1"/>
    </xf>
    <xf numFmtId="49" fontId="123" fillId="0" borderId="0" xfId="139" applyNumberFormat="1" applyFont="1" applyAlignment="1">
      <alignment horizontal="center" vertical="center" wrapText="1"/>
    </xf>
    <xf numFmtId="2" fontId="74" fillId="0" borderId="0" xfId="139" applyNumberFormat="1" applyFont="1" applyAlignment="1">
      <alignment horizontal="right" vertical="center" wrapText="1"/>
    </xf>
    <xf numFmtId="49" fontId="74" fillId="0" borderId="0" xfId="139" applyNumberFormat="1" applyFont="1" applyAlignment="1">
      <alignment horizontal="center" vertical="center" wrapText="1"/>
    </xf>
    <xf numFmtId="2" fontId="121" fillId="0" borderId="0" xfId="139" applyNumberFormat="1" applyFont="1" applyAlignment="1">
      <alignment horizontal="center" vertical="center" wrapText="1"/>
    </xf>
    <xf numFmtId="0" fontId="130" fillId="0" borderId="0" xfId="29" applyFont="1" applyAlignment="1">
      <alignment horizontal="center"/>
    </xf>
    <xf numFmtId="0" fontId="74" fillId="0" borderId="0" xfId="139" applyFont="1" applyAlignment="1">
      <alignment horizontal="center" vertical="center" wrapText="1"/>
    </xf>
    <xf numFmtId="2" fontId="128" fillId="0" borderId="0" xfId="139" applyNumberFormat="1" applyFont="1" applyAlignment="1">
      <alignment horizontal="right" vertical="center" wrapText="1"/>
    </xf>
    <xf numFmtId="49" fontId="128" fillId="0" borderId="0" xfId="139" applyNumberFormat="1" applyFont="1" applyAlignment="1">
      <alignment horizontal="center" vertical="center" wrapText="1"/>
    </xf>
    <xf numFmtId="2" fontId="128" fillId="0" borderId="0" xfId="139" applyNumberFormat="1" applyFont="1" applyAlignment="1">
      <alignment horizontal="center" vertical="center" wrapText="1"/>
    </xf>
    <xf numFmtId="2" fontId="74" fillId="0" borderId="0" xfId="139" applyNumberFormat="1" applyFont="1" applyAlignment="1">
      <alignment horizontal="center" vertical="center" wrapText="1"/>
    </xf>
    <xf numFmtId="2" fontId="74" fillId="0" borderId="0" xfId="139" applyNumberFormat="1" applyFont="1" applyAlignment="1">
      <alignment horizontal="right"/>
    </xf>
    <xf numFmtId="2" fontId="74" fillId="0" borderId="0" xfId="139" applyNumberFormat="1" applyFont="1"/>
    <xf numFmtId="0" fontId="15" fillId="0" borderId="0" xfId="139" applyFont="1" applyAlignment="1">
      <alignment horizontal="left"/>
    </xf>
    <xf numFmtId="49" fontId="14" fillId="0" borderId="4" xfId="139" applyNumberFormat="1" applyFont="1" applyBorder="1" applyAlignment="1">
      <alignment horizontal="center" vertical="center" wrapText="1"/>
    </xf>
    <xf numFmtId="49" fontId="14" fillId="0" borderId="43"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49" fontId="14" fillId="0" borderId="0" xfId="139" applyNumberFormat="1" applyFont="1" applyAlignment="1">
      <alignment horizontal="center" vertical="center" wrapText="1"/>
    </xf>
    <xf numFmtId="0" fontId="10" fillId="0" borderId="0" xfId="139"/>
    <xf numFmtId="49" fontId="14" fillId="0" borderId="0" xfId="139" applyNumberFormat="1" applyFont="1" applyAlignment="1">
      <alignment horizontal="left" vertical="center" wrapText="1"/>
    </xf>
    <xf numFmtId="49" fontId="14" fillId="0" borderId="40" xfId="139" applyNumberFormat="1" applyFont="1" applyBorder="1" applyAlignment="1">
      <alignment horizontal="center" vertical="center" wrapText="1"/>
    </xf>
    <xf numFmtId="49" fontId="14" fillId="0" borderId="0" xfId="139" applyNumberFormat="1" applyFont="1" applyAlignment="1">
      <alignment vertical="center" wrapText="1"/>
    </xf>
    <xf numFmtId="0" fontId="10" fillId="0" borderId="14" xfId="139" applyBorder="1"/>
    <xf numFmtId="49" fontId="131" fillId="0" borderId="14" xfId="139" applyNumberFormat="1" applyFont="1" applyBorder="1" applyAlignment="1">
      <alignment horizontal="center" vertical="center" wrapText="1"/>
    </xf>
    <xf numFmtId="49" fontId="14" fillId="0" borderId="14" xfId="139" applyNumberFormat="1" applyFont="1" applyBorder="1" applyAlignment="1">
      <alignment vertical="center" wrapText="1"/>
    </xf>
    <xf numFmtId="0" fontId="14" fillId="0" borderId="0" xfId="139" applyFont="1"/>
    <xf numFmtId="0" fontId="10" fillId="0" borderId="0" xfId="139" applyAlignment="1">
      <alignment horizontal="left"/>
    </xf>
    <xf numFmtId="0" fontId="10" fillId="0" borderId="0" xfId="139" applyAlignment="1">
      <alignment horizontal="center"/>
    </xf>
    <xf numFmtId="0" fontId="10" fillId="0" borderId="2" xfId="139" applyBorder="1"/>
    <xf numFmtId="49" fontId="14" fillId="0" borderId="2" xfId="139" applyNumberFormat="1" applyFont="1" applyBorder="1" applyAlignment="1">
      <alignment horizontal="center" vertical="center" wrapText="1"/>
    </xf>
    <xf numFmtId="49" fontId="10" fillId="0" borderId="0" xfId="139" applyNumberFormat="1" applyAlignment="1">
      <alignment horizontal="center" vertical="center" wrapText="1"/>
    </xf>
    <xf numFmtId="0" fontId="132" fillId="0" borderId="38" xfId="29" applyFont="1" applyBorder="1" applyAlignment="1">
      <alignment horizontal="justify" vertical="top" wrapText="1"/>
    </xf>
    <xf numFmtId="0" fontId="132" fillId="0" borderId="40" xfId="29" applyFont="1" applyBorder="1" applyAlignment="1">
      <alignment horizontal="justify" vertical="top" wrapText="1"/>
    </xf>
    <xf numFmtId="49" fontId="122" fillId="0" borderId="37" xfId="139" applyNumberFormat="1" applyFont="1" applyBorder="1" applyAlignment="1">
      <alignment horizontal="center" vertical="center" wrapText="1"/>
    </xf>
    <xf numFmtId="49" fontId="122" fillId="0" borderId="39" xfId="139" applyNumberFormat="1" applyFont="1" applyBorder="1" applyAlignment="1">
      <alignment horizontal="center" vertical="center" wrapText="1"/>
    </xf>
    <xf numFmtId="49" fontId="123" fillId="0" borderId="42" xfId="70" applyNumberFormat="1" applyFont="1" applyBorder="1" applyAlignment="1">
      <alignment horizontal="justify" vertical="top" wrapText="1"/>
    </xf>
    <xf numFmtId="0" fontId="26" fillId="0" borderId="5" xfId="0" applyFont="1" applyBorder="1" applyAlignment="1">
      <alignment horizontal="center" vertical="center" wrapText="1"/>
    </xf>
    <xf numFmtId="0" fontId="0" fillId="0" borderId="0" xfId="0" applyAlignment="1">
      <alignment horizontal="center"/>
    </xf>
    <xf numFmtId="0" fontId="26" fillId="0" borderId="0" xfId="0" applyFont="1" applyAlignment="1">
      <alignment horizontal="center"/>
    </xf>
    <xf numFmtId="2" fontId="52" fillId="0" borderId="5" xfId="0" applyNumberFormat="1" applyFont="1" applyBorder="1" applyAlignment="1">
      <alignment horizontal="center"/>
    </xf>
    <xf numFmtId="2" fontId="52" fillId="0" borderId="0" xfId="0" applyNumberFormat="1" applyFont="1" applyAlignment="1">
      <alignment horizontal="center" vertical="top"/>
    </xf>
    <xf numFmtId="2" fontId="70" fillId="0" borderId="7" xfId="0" applyNumberFormat="1" applyFont="1" applyBorder="1" applyAlignment="1">
      <alignment horizontal="center" vertical="center"/>
    </xf>
    <xf numFmtId="168" fontId="35" fillId="0" borderId="5" xfId="70" applyNumberFormat="1" applyFont="1" applyBorder="1" applyAlignment="1">
      <alignment vertical="top"/>
    </xf>
    <xf numFmtId="168" fontId="72" fillId="0" borderId="0" xfId="70" applyNumberFormat="1" applyFont="1" applyAlignment="1">
      <alignment horizontal="right" vertical="center" wrapText="1"/>
    </xf>
    <xf numFmtId="168" fontId="72" fillId="0" borderId="9" xfId="70" applyNumberFormat="1" applyFont="1" applyBorder="1" applyAlignment="1">
      <alignment horizontal="center" vertical="center" wrapText="1"/>
    </xf>
    <xf numFmtId="168" fontId="35" fillId="0" borderId="5" xfId="70" applyNumberFormat="1" applyFont="1" applyBorder="1" applyAlignment="1">
      <alignment horizontal="center" vertical="center" wrapText="1"/>
    </xf>
    <xf numFmtId="168" fontId="35" fillId="0" borderId="5" xfId="70" applyNumberFormat="1" applyFont="1" applyBorder="1" applyAlignment="1">
      <alignment horizontal="right" vertical="top" wrapText="1"/>
    </xf>
    <xf numFmtId="168" fontId="35" fillId="0" borderId="0" xfId="70" applyNumberFormat="1" applyFont="1" applyAlignment="1">
      <alignment vertical="top"/>
    </xf>
    <xf numFmtId="168" fontId="35" fillId="0" borderId="6" xfId="70" applyNumberFormat="1" applyFont="1" applyBorder="1" applyAlignment="1">
      <alignment vertical="top"/>
    </xf>
    <xf numFmtId="168" fontId="35" fillId="0" borderId="5" xfId="70" applyNumberFormat="1" applyFont="1" applyBorder="1" applyAlignment="1">
      <alignment horizontal="right" vertical="top"/>
    </xf>
    <xf numFmtId="168" fontId="35" fillId="0" borderId="5" xfId="70" applyNumberFormat="1" applyFont="1" applyBorder="1" applyAlignment="1">
      <alignment horizontal="center" vertical="top"/>
    </xf>
    <xf numFmtId="168" fontId="35" fillId="0" borderId="0" xfId="70" applyNumberFormat="1" applyFont="1" applyAlignment="1">
      <alignment horizontal="right" vertical="top"/>
    </xf>
    <xf numFmtId="168" fontId="35" fillId="0" borderId="0" xfId="70" applyNumberFormat="1" applyFont="1" applyAlignment="1">
      <alignment horizontal="center" vertical="top"/>
    </xf>
    <xf numFmtId="168" fontId="51" fillId="0" borderId="0" xfId="0" applyNumberFormat="1" applyFont="1" applyAlignment="1">
      <alignment horizontal="center"/>
    </xf>
    <xf numFmtId="168" fontId="35" fillId="0" borderId="0" xfId="0" applyNumberFormat="1" applyFont="1" applyAlignment="1">
      <alignment horizontal="center" vertical="top"/>
    </xf>
    <xf numFmtId="168" fontId="37" fillId="0" borderId="0" xfId="70" applyNumberFormat="1" applyFont="1" applyAlignment="1">
      <alignment horizontal="right" vertical="top"/>
    </xf>
    <xf numFmtId="168" fontId="37" fillId="0" borderId="0" xfId="70" applyNumberFormat="1" applyFont="1" applyAlignment="1">
      <alignment vertical="top"/>
    </xf>
    <xf numFmtId="0" fontId="134" fillId="0" borderId="0" xfId="29" applyFont="1" applyAlignment="1">
      <alignment horizontal="center" vertical="top" wrapText="1"/>
    </xf>
    <xf numFmtId="0" fontId="51" fillId="0" borderId="0" xfId="29" applyFont="1" applyAlignment="1">
      <alignment horizontal="left" vertical="top"/>
    </xf>
    <xf numFmtId="0" fontId="134" fillId="0" borderId="0" xfId="29" applyFont="1" applyAlignment="1">
      <alignment horizontal="left" vertical="top"/>
    </xf>
    <xf numFmtId="2" fontId="40" fillId="0" borderId="6" xfId="70" applyNumberFormat="1" applyFont="1" applyBorder="1" applyAlignment="1">
      <alignment horizontal="right" vertical="top"/>
    </xf>
    <xf numFmtId="2" fontId="35" fillId="0" borderId="6" xfId="70" applyNumberFormat="1" applyFont="1" applyBorder="1" applyAlignment="1">
      <alignment horizontal="right" vertical="top"/>
    </xf>
    <xf numFmtId="2" fontId="35" fillId="0" borderId="5" xfId="70" applyNumberFormat="1" applyFont="1" applyBorder="1" applyAlignment="1">
      <alignment horizontal="right" vertical="top"/>
    </xf>
    <xf numFmtId="0" fontId="3" fillId="0" borderId="0" xfId="1236" applyAlignment="1">
      <alignment horizontal="center" vertical="top"/>
    </xf>
    <xf numFmtId="0" fontId="3" fillId="0" borderId="0" xfId="1236" applyAlignment="1">
      <alignment vertical="top"/>
    </xf>
    <xf numFmtId="0" fontId="51" fillId="0" borderId="5" xfId="0" applyFont="1" applyBorder="1" applyAlignment="1">
      <alignment horizontal="left" vertical="top" wrapText="1"/>
    </xf>
    <xf numFmtId="0" fontId="51" fillId="0" borderId="5" xfId="0" applyFont="1" applyBorder="1" applyAlignment="1">
      <alignment vertical="top" wrapText="1"/>
    </xf>
    <xf numFmtId="0" fontId="136" fillId="0" borderId="5" xfId="1236" applyFont="1" applyBorder="1" applyAlignment="1">
      <alignment horizontal="center" vertical="top"/>
    </xf>
    <xf numFmtId="0" fontId="136" fillId="0" borderId="5" xfId="1236" applyFont="1" applyBorder="1" applyAlignment="1">
      <alignment horizontal="left" vertical="top" wrapText="1"/>
    </xf>
    <xf numFmtId="2" fontId="136" fillId="0" borderId="5" xfId="1236" applyNumberFormat="1" applyFont="1" applyBorder="1" applyAlignment="1">
      <alignment horizontal="center" vertical="top"/>
    </xf>
    <xf numFmtId="0" fontId="136" fillId="0" borderId="0" xfId="1236" applyFont="1" applyAlignment="1">
      <alignment horizontal="center" vertical="top"/>
    </xf>
    <xf numFmtId="0" fontId="136" fillId="0" borderId="0" xfId="1236" applyFont="1" applyAlignment="1">
      <alignment vertical="top"/>
    </xf>
    <xf numFmtId="0" fontId="135" fillId="0" borderId="0" xfId="1236" applyFont="1" applyAlignment="1">
      <alignment horizontal="center" vertical="top"/>
    </xf>
    <xf numFmtId="0" fontId="133" fillId="0" borderId="5" xfId="1236" applyFont="1" applyBorder="1" applyAlignment="1">
      <alignment horizontal="center" vertical="top" wrapText="1"/>
    </xf>
    <xf numFmtId="0" fontId="3" fillId="0" borderId="5" xfId="1236" applyBorder="1" applyAlignment="1">
      <alignment horizontal="center" vertical="top" wrapText="1"/>
    </xf>
    <xf numFmtId="0" fontId="3" fillId="0" borderId="0" xfId="1236" applyAlignment="1">
      <alignment horizontal="center" vertical="top" wrapText="1"/>
    </xf>
    <xf numFmtId="2" fontId="58" fillId="0" borderId="5" xfId="0" applyNumberFormat="1" applyFont="1" applyBorder="1" applyAlignment="1">
      <alignment horizontal="center" vertical="top"/>
    </xf>
    <xf numFmtId="0" fontId="58" fillId="0" borderId="5" xfId="0" applyFont="1" applyBorder="1" applyAlignment="1">
      <alignment horizontal="center" vertical="top"/>
    </xf>
    <xf numFmtId="2" fontId="58" fillId="0" borderId="0" xfId="0" applyNumberFormat="1" applyFont="1" applyAlignment="1">
      <alignment horizontal="center" vertical="top"/>
    </xf>
    <xf numFmtId="2" fontId="137" fillId="0" borderId="5" xfId="0" applyNumberFormat="1" applyFont="1" applyBorder="1" applyAlignment="1">
      <alignment horizontal="center" vertical="top"/>
    </xf>
    <xf numFmtId="0" fontId="136" fillId="0" borderId="5" xfId="1236" applyFont="1" applyBorder="1" applyAlignment="1">
      <alignment horizontal="center" vertical="top" wrapText="1"/>
    </xf>
    <xf numFmtId="0" fontId="51" fillId="0" borderId="5" xfId="0" applyFont="1" applyBorder="1" applyAlignment="1">
      <alignment horizontal="center" vertical="top" wrapText="1"/>
    </xf>
    <xf numFmtId="2" fontId="35" fillId="0" borderId="0" xfId="0" applyNumberFormat="1" applyFont="1" applyAlignment="1">
      <alignment vertical="top"/>
    </xf>
    <xf numFmtId="0" fontId="51" fillId="0" borderId="5" xfId="0" applyFont="1" applyBorder="1" applyAlignment="1">
      <alignment horizontal="justify" vertical="top" wrapText="1"/>
    </xf>
    <xf numFmtId="0" fontId="62" fillId="0" borderId="5" xfId="0" applyFont="1" applyBorder="1" applyAlignment="1">
      <alignment horizontal="justify" vertical="top" wrapText="1"/>
    </xf>
    <xf numFmtId="0" fontId="58" fillId="0" borderId="5" xfId="0" applyFont="1" applyBorder="1" applyAlignment="1">
      <alignment horizontal="center" vertical="center"/>
    </xf>
    <xf numFmtId="0" fontId="58" fillId="0" borderId="6" xfId="0" applyFont="1" applyBorder="1" applyAlignment="1">
      <alignment horizontal="center" vertical="center"/>
    </xf>
    <xf numFmtId="0" fontId="58" fillId="0" borderId="7" xfId="0" applyFont="1" applyBorder="1" applyAlignment="1">
      <alignment horizontal="center" vertical="center"/>
    </xf>
    <xf numFmtId="2" fontId="51" fillId="0" borderId="6" xfId="0" applyNumberFormat="1" applyFont="1" applyBorder="1" applyAlignment="1">
      <alignment horizontal="left" vertical="top" wrapText="1"/>
    </xf>
    <xf numFmtId="2" fontId="51" fillId="0" borderId="6" xfId="0" applyNumberFormat="1" applyFont="1" applyBorder="1" applyAlignment="1">
      <alignment horizontal="center" vertical="top" wrapText="1"/>
    </xf>
    <xf numFmtId="168" fontId="35" fillId="0" borderId="6" xfId="70" applyNumberFormat="1" applyFont="1" applyBorder="1" applyAlignment="1">
      <alignment horizontal="left" vertical="top"/>
    </xf>
    <xf numFmtId="2" fontId="52" fillId="0" borderId="0" xfId="0" applyNumberFormat="1" applyFont="1" applyAlignment="1">
      <alignment horizontal="left" vertical="center"/>
    </xf>
    <xf numFmtId="0" fontId="51" fillId="0" borderId="6" xfId="0" applyFont="1" applyBorder="1" applyAlignment="1">
      <alignment horizontal="center" vertical="top"/>
    </xf>
    <xf numFmtId="0" fontId="58" fillId="0" borderId="8" xfId="0" applyFont="1" applyBorder="1" applyAlignment="1">
      <alignment horizontal="center" vertical="center"/>
    </xf>
    <xf numFmtId="0" fontId="77" fillId="0" borderId="5" xfId="0" applyFont="1" applyBorder="1" applyAlignment="1">
      <alignment horizontal="center" vertical="top" wrapText="1"/>
    </xf>
    <xf numFmtId="0" fontId="51" fillId="0" borderId="0" xfId="29" applyFont="1" applyAlignment="1">
      <alignment vertical="center"/>
    </xf>
    <xf numFmtId="2" fontId="62" fillId="0" borderId="8" xfId="0" applyNumberFormat="1" applyFont="1" applyBorder="1" applyAlignment="1">
      <alignment horizontal="left" vertical="top" wrapText="1"/>
    </xf>
    <xf numFmtId="2" fontId="62" fillId="0" borderId="6" xfId="0" applyNumberFormat="1" applyFont="1" applyBorder="1" applyAlignment="1">
      <alignment horizontal="center" vertical="top" wrapText="1"/>
    </xf>
    <xf numFmtId="2" fontId="62" fillId="0" borderId="5" xfId="0" applyNumberFormat="1" applyFont="1" applyBorder="1" applyAlignment="1">
      <alignment horizontal="right" vertical="top" wrapText="1"/>
    </xf>
    <xf numFmtId="2" fontId="51" fillId="0" borderId="8" xfId="0" applyNumberFormat="1" applyFont="1" applyBorder="1" applyAlignment="1">
      <alignment horizontal="left" vertical="top"/>
    </xf>
    <xf numFmtId="2" fontId="51" fillId="0" borderId="6" xfId="0" applyNumberFormat="1" applyFont="1" applyBorder="1" applyAlignment="1">
      <alignment horizontal="center" vertical="top"/>
    </xf>
    <xf numFmtId="2" fontId="51" fillId="0" borderId="6" xfId="0" applyNumberFormat="1" applyFont="1" applyBorder="1" applyAlignment="1">
      <alignment horizontal="right" vertical="top" wrapText="1"/>
    </xf>
    <xf numFmtId="2" fontId="51" fillId="0" borderId="8" xfId="0" applyNumberFormat="1" applyFont="1" applyBorder="1" applyAlignment="1">
      <alignment horizontal="left" vertical="top" wrapText="1"/>
    </xf>
    <xf numFmtId="168" fontId="72" fillId="0" borderId="0" xfId="70" applyNumberFormat="1" applyFont="1" applyAlignment="1">
      <alignment horizontal="center" vertical="center" wrapText="1"/>
    </xf>
    <xf numFmtId="0" fontId="51" fillId="0" borderId="0" xfId="1238" applyFont="1" applyAlignment="1">
      <alignment horizontal="center" vertical="top"/>
    </xf>
    <xf numFmtId="0" fontId="51" fillId="0" borderId="0" xfId="1238" applyFont="1"/>
    <xf numFmtId="0" fontId="139" fillId="0" borderId="0" xfId="1238" applyFont="1" applyAlignment="1">
      <alignment horizontal="center" vertical="top"/>
    </xf>
    <xf numFmtId="0" fontId="140" fillId="0" borderId="0" xfId="1238" applyFont="1" applyAlignment="1">
      <alignment horizontal="center" vertical="top"/>
    </xf>
    <xf numFmtId="0" fontId="141" fillId="0" borderId="0" xfId="1238" applyFont="1" applyAlignment="1">
      <alignment horizontal="left" vertical="top"/>
    </xf>
    <xf numFmtId="0" fontId="142" fillId="0" borderId="0" xfId="1238" applyFont="1" applyAlignment="1">
      <alignment horizontal="left" vertical="top"/>
    </xf>
    <xf numFmtId="0" fontId="143" fillId="0" borderId="0" xfId="1238" applyFont="1" applyAlignment="1">
      <alignment horizontal="center" vertical="top"/>
    </xf>
    <xf numFmtId="0" fontId="51" fillId="0" borderId="0" xfId="1238" applyFont="1" applyAlignment="1">
      <alignment vertical="top"/>
    </xf>
    <xf numFmtId="175" fontId="51" fillId="0" borderId="5" xfId="1238" applyNumberFormat="1" applyFont="1" applyBorder="1" applyAlignment="1">
      <alignment horizontal="center" vertical="top"/>
    </xf>
    <xf numFmtId="0" fontId="51" fillId="0" borderId="5" xfId="1238" applyFont="1" applyBorder="1" applyAlignment="1">
      <alignment horizontal="center" vertical="top"/>
    </xf>
    <xf numFmtId="0" fontId="51" fillId="0" borderId="5" xfId="1238" applyFont="1" applyBorder="1" applyAlignment="1">
      <alignment horizontal="center" vertical="top" wrapText="1"/>
    </xf>
    <xf numFmtId="0" fontId="51" fillId="0" borderId="0" xfId="1238" applyFont="1" applyAlignment="1">
      <alignment horizontal="center"/>
    </xf>
    <xf numFmtId="0" fontId="51" fillId="0" borderId="0" xfId="1239" applyFont="1" applyAlignment="1">
      <alignment vertical="top"/>
    </xf>
    <xf numFmtId="0" fontId="51" fillId="0" borderId="0" xfId="1239" applyFont="1"/>
    <xf numFmtId="0" fontId="146" fillId="0" borderId="0" xfId="1239" applyFont="1"/>
    <xf numFmtId="0" fontId="51" fillId="0" borderId="0" xfId="1239" applyFont="1" applyAlignment="1">
      <alignment horizontal="center"/>
    </xf>
    <xf numFmtId="0" fontId="51" fillId="0" borderId="0" xfId="1239" applyFont="1" applyAlignment="1">
      <alignment horizontal="center" vertical="center"/>
    </xf>
    <xf numFmtId="0" fontId="51" fillId="0" borderId="0" xfId="1239" applyFont="1" applyAlignment="1">
      <alignment horizontal="justify" vertical="center"/>
    </xf>
    <xf numFmtId="2" fontId="52" fillId="0" borderId="0" xfId="1239" applyNumberFormat="1" applyFont="1" applyAlignment="1">
      <alignment horizontal="right" vertical="center"/>
    </xf>
    <xf numFmtId="0" fontId="52" fillId="0" borderId="0" xfId="1239" applyFont="1" applyAlignment="1">
      <alignment horizontal="justify" vertical="center"/>
    </xf>
    <xf numFmtId="2" fontId="52" fillId="0" borderId="0" xfId="1239" applyNumberFormat="1" applyFont="1" applyAlignment="1">
      <alignment horizontal="justify" vertical="center"/>
    </xf>
    <xf numFmtId="0" fontId="52" fillId="0" borderId="0" xfId="1239" applyFont="1" applyAlignment="1">
      <alignment horizontal="center" vertical="center"/>
    </xf>
    <xf numFmtId="0" fontId="57" fillId="0" borderId="0" xfId="1239" applyFont="1" applyAlignment="1">
      <alignment vertical="top"/>
    </xf>
    <xf numFmtId="0" fontId="57" fillId="0" borderId="0" xfId="1239" applyFont="1"/>
    <xf numFmtId="2" fontId="149" fillId="0" borderId="3" xfId="1239" applyNumberFormat="1" applyFont="1" applyBorder="1" applyAlignment="1">
      <alignment horizontal="center" vertical="center" wrapText="1"/>
    </xf>
    <xf numFmtId="49" fontId="149" fillId="0" borderId="3" xfId="1239" applyNumberFormat="1" applyFont="1" applyBorder="1" applyAlignment="1">
      <alignment horizontal="center" vertical="center" wrapText="1"/>
    </xf>
    <xf numFmtId="0" fontId="57" fillId="0" borderId="0" xfId="1239" applyFont="1" applyAlignment="1">
      <alignment horizontal="center" vertical="top"/>
    </xf>
    <xf numFmtId="49" fontId="149" fillId="0" borderId="34" xfId="1239" applyNumberFormat="1" applyFont="1" applyBorder="1" applyAlignment="1">
      <alignment horizontal="center" vertical="center" wrapText="1"/>
    </xf>
    <xf numFmtId="49" fontId="149" fillId="0" borderId="3" xfId="1239" applyNumberFormat="1" applyFont="1" applyBorder="1" applyAlignment="1">
      <alignment horizontal="right" vertical="center" wrapText="1"/>
    </xf>
    <xf numFmtId="49" fontId="149" fillId="0" borderId="35" xfId="1239" applyNumberFormat="1" applyFont="1" applyBorder="1" applyAlignment="1">
      <alignment horizontal="center" vertical="center" wrapText="1"/>
    </xf>
    <xf numFmtId="0" fontId="150" fillId="0" borderId="4" xfId="1239" applyFont="1" applyBorder="1" applyAlignment="1">
      <alignment horizontal="center" vertical="top"/>
    </xf>
    <xf numFmtId="2" fontId="150" fillId="0" borderId="39" xfId="1239" applyNumberFormat="1" applyFont="1" applyBorder="1" applyAlignment="1">
      <alignment horizontal="right" vertical="top" wrapText="1"/>
    </xf>
    <xf numFmtId="49" fontId="69" fillId="0" borderId="44" xfId="1240" applyNumberFormat="1" applyFont="1" applyBorder="1" applyAlignment="1">
      <alignment horizontal="center" vertical="center" wrapText="1"/>
    </xf>
    <xf numFmtId="2" fontId="150" fillId="0" borderId="40" xfId="1239" applyNumberFormat="1" applyFont="1" applyBorder="1" applyAlignment="1">
      <alignment horizontal="center" vertical="top" wrapText="1"/>
    </xf>
    <xf numFmtId="0" fontId="57" fillId="0" borderId="40" xfId="1241" applyFont="1" applyBorder="1" applyAlignment="1">
      <alignment horizontal="justify" vertical="top" wrapText="1"/>
    </xf>
    <xf numFmtId="49" fontId="150" fillId="0" borderId="40" xfId="1241" applyNumberFormat="1" applyFont="1" applyBorder="1" applyAlignment="1">
      <alignment horizontal="center" vertical="top" wrapText="1"/>
    </xf>
    <xf numFmtId="2" fontId="150" fillId="0" borderId="40" xfId="1239" applyNumberFormat="1" applyFont="1" applyBorder="1" applyAlignment="1">
      <alignment horizontal="right" vertical="top" wrapText="1"/>
    </xf>
    <xf numFmtId="49" fontId="150" fillId="0" borderId="39" xfId="1241" applyNumberFormat="1" applyFont="1" applyBorder="1" applyAlignment="1">
      <alignment horizontal="justify" vertical="top" wrapText="1"/>
    </xf>
    <xf numFmtId="2" fontId="150" fillId="0" borderId="0" xfId="1241" applyNumberFormat="1" applyFont="1" applyAlignment="1">
      <alignment vertical="top"/>
    </xf>
    <xf numFmtId="0" fontId="150" fillId="0" borderId="0" xfId="1241" applyFont="1" applyAlignment="1">
      <alignment vertical="top"/>
    </xf>
    <xf numFmtId="2" fontId="150" fillId="0" borderId="0" xfId="1239" applyNumberFormat="1" applyFont="1" applyAlignment="1">
      <alignment vertical="top"/>
    </xf>
    <xf numFmtId="49" fontId="51" fillId="0" borderId="44" xfId="1240" applyNumberFormat="1" applyFont="1" applyBorder="1" applyAlignment="1">
      <alignment vertical="top" wrapText="1"/>
    </xf>
    <xf numFmtId="168" fontId="150" fillId="0" borderId="39" xfId="1239" applyNumberFormat="1" applyFont="1" applyBorder="1" applyAlignment="1">
      <alignment horizontal="right" vertical="top" wrapText="1"/>
    </xf>
    <xf numFmtId="2" fontId="151" fillId="0" borderId="40" xfId="1239" applyNumberFormat="1" applyFont="1" applyBorder="1" applyAlignment="1">
      <alignment horizontal="center" vertical="top" wrapText="1"/>
    </xf>
    <xf numFmtId="49" fontId="51" fillId="0" borderId="4" xfId="1240" applyNumberFormat="1" applyFont="1" applyBorder="1" applyAlignment="1">
      <alignment vertical="top" wrapText="1"/>
    </xf>
    <xf numFmtId="2" fontId="150" fillId="0" borderId="40" xfId="1241" applyNumberFormat="1" applyFont="1" applyBorder="1" applyAlignment="1">
      <alignment horizontal="center" vertical="top" wrapText="1"/>
    </xf>
    <xf numFmtId="1" fontId="150" fillId="0" borderId="0" xfId="1241" applyNumberFormat="1" applyFont="1" applyAlignment="1">
      <alignment vertical="top"/>
    </xf>
    <xf numFmtId="0" fontId="57" fillId="0" borderId="41" xfId="1241" applyFont="1" applyBorder="1" applyAlignment="1">
      <alignment horizontal="center" vertical="top"/>
    </xf>
    <xf numFmtId="2" fontId="57" fillId="0" borderId="42" xfId="1241" applyNumberFormat="1" applyFont="1" applyBorder="1" applyAlignment="1">
      <alignment horizontal="right" vertical="top" wrapText="1"/>
    </xf>
    <xf numFmtId="49" fontId="57" fillId="0" borderId="41" xfId="1241" applyNumberFormat="1" applyFont="1" applyBorder="1" applyAlignment="1">
      <alignment horizontal="left" vertical="top" wrapText="1"/>
    </xf>
    <xf numFmtId="2" fontId="57" fillId="0" borderId="43" xfId="1241" applyNumberFormat="1" applyFont="1" applyBorder="1" applyAlignment="1">
      <alignment horizontal="center" vertical="top" wrapText="1"/>
    </xf>
    <xf numFmtId="49" fontId="149" fillId="0" borderId="43" xfId="1241" applyNumberFormat="1" applyFont="1" applyBorder="1" applyAlignment="1">
      <alignment horizontal="right" vertical="top" wrapText="1"/>
    </xf>
    <xf numFmtId="2" fontId="149" fillId="0" borderId="43" xfId="1241" applyNumberFormat="1" applyFont="1" applyBorder="1" applyAlignment="1">
      <alignment horizontal="center" vertical="top" wrapText="1"/>
    </xf>
    <xf numFmtId="49" fontId="57" fillId="0" borderId="43" xfId="1241" applyNumberFormat="1" applyFont="1" applyBorder="1" applyAlignment="1">
      <alignment horizontal="center" vertical="top" wrapText="1"/>
    </xf>
    <xf numFmtId="2" fontId="57" fillId="0" borderId="43" xfId="1241" applyNumberFormat="1" applyFont="1" applyBorder="1" applyAlignment="1">
      <alignment horizontal="right" vertical="top" wrapText="1"/>
    </xf>
    <xf numFmtId="49" fontId="57" fillId="0" borderId="43" xfId="1241" applyNumberFormat="1" applyFont="1" applyBorder="1" applyAlignment="1">
      <alignment horizontal="justify" vertical="top" wrapText="1"/>
    </xf>
    <xf numFmtId="49" fontId="57" fillId="0" borderId="42" xfId="1241" applyNumberFormat="1" applyFont="1" applyBorder="1" applyAlignment="1">
      <alignment horizontal="justify" vertical="top" wrapText="1"/>
    </xf>
    <xf numFmtId="0" fontId="57" fillId="0" borderId="0" xfId="1241" applyFont="1" applyAlignment="1">
      <alignment vertical="top"/>
    </xf>
    <xf numFmtId="0" fontId="57" fillId="0" borderId="4" xfId="1240" applyFont="1" applyBorder="1" applyAlignment="1">
      <alignment horizontal="center" vertical="top"/>
    </xf>
    <xf numFmtId="2" fontId="57" fillId="0" borderId="39" xfId="1240" applyNumberFormat="1" applyFont="1" applyBorder="1" applyAlignment="1">
      <alignment horizontal="right" vertical="top" wrapText="1"/>
    </xf>
    <xf numFmtId="49" fontId="57" fillId="0" borderId="4" xfId="1240" applyNumberFormat="1" applyFont="1" applyBorder="1" applyAlignment="1">
      <alignment horizontal="left" vertical="top" wrapText="1"/>
    </xf>
    <xf numFmtId="2" fontId="57" fillId="0" borderId="40" xfId="1240" applyNumberFormat="1" applyFont="1" applyBorder="1" applyAlignment="1">
      <alignment horizontal="center" vertical="top" wrapText="1"/>
    </xf>
    <xf numFmtId="2" fontId="153" fillId="0" borderId="40" xfId="1240" applyNumberFormat="1" applyFont="1" applyBorder="1" applyAlignment="1">
      <alignment horizontal="center" vertical="center" wrapText="1"/>
    </xf>
    <xf numFmtId="2" fontId="154" fillId="0" borderId="40" xfId="1240" applyNumberFormat="1" applyFont="1" applyBorder="1" applyAlignment="1">
      <alignment horizontal="right" vertical="top" wrapText="1"/>
    </xf>
    <xf numFmtId="49" fontId="70" fillId="0" borderId="39" xfId="1240" applyNumberFormat="1" applyFont="1" applyBorder="1" applyAlignment="1">
      <alignment horizontal="center" vertical="top" wrapText="1"/>
    </xf>
    <xf numFmtId="0" fontId="67" fillId="0" borderId="0" xfId="1240" applyFont="1" applyAlignment="1">
      <alignment vertical="top"/>
    </xf>
    <xf numFmtId="49" fontId="154" fillId="0" borderId="40" xfId="1240" applyNumberFormat="1" applyFont="1" applyBorder="1" applyAlignment="1">
      <alignment horizontal="center" vertical="center" wrapText="1"/>
    </xf>
    <xf numFmtId="0" fontId="57" fillId="0" borderId="41" xfId="1240" applyFont="1" applyBorder="1" applyAlignment="1">
      <alignment horizontal="center" vertical="top"/>
    </xf>
    <xf numFmtId="2" fontId="57" fillId="0" borderId="42" xfId="1240" applyNumberFormat="1" applyFont="1" applyBorder="1" applyAlignment="1">
      <alignment horizontal="right" vertical="top" wrapText="1"/>
    </xf>
    <xf numFmtId="49" fontId="57" fillId="0" borderId="41" xfId="1240" applyNumberFormat="1" applyFont="1" applyBorder="1" applyAlignment="1">
      <alignment horizontal="left" vertical="top" wrapText="1"/>
    </xf>
    <xf numFmtId="2" fontId="57" fillId="0" borderId="43" xfId="1240" applyNumberFormat="1" applyFont="1" applyBorder="1" applyAlignment="1">
      <alignment horizontal="center" vertical="top" wrapText="1"/>
    </xf>
    <xf numFmtId="2" fontId="153" fillId="0" borderId="43" xfId="1240" applyNumberFormat="1" applyFont="1" applyBorder="1" applyAlignment="1">
      <alignment horizontal="center" vertical="center" wrapText="1"/>
    </xf>
    <xf numFmtId="2" fontId="154" fillId="0" borderId="43" xfId="1240" applyNumberFormat="1" applyFont="1" applyBorder="1" applyAlignment="1">
      <alignment horizontal="right" vertical="center" wrapText="1"/>
    </xf>
    <xf numFmtId="49" fontId="57" fillId="0" borderId="0" xfId="1239" applyNumberFormat="1" applyFont="1" applyAlignment="1">
      <alignment horizontal="center" wrapText="1"/>
    </xf>
    <xf numFmtId="2" fontId="57" fillId="0" borderId="0" xfId="1239" applyNumberFormat="1" applyFont="1" applyAlignment="1">
      <alignment horizontal="right" vertical="center" wrapText="1"/>
    </xf>
    <xf numFmtId="49" fontId="57" fillId="0" borderId="0" xfId="1239" applyNumberFormat="1" applyFont="1" applyAlignment="1">
      <alignment horizontal="center" vertical="center" wrapText="1"/>
    </xf>
    <xf numFmtId="2" fontId="51" fillId="0" borderId="0" xfId="1239" applyNumberFormat="1" applyFont="1" applyAlignment="1">
      <alignment horizontal="right" vertical="center" wrapText="1"/>
    </xf>
    <xf numFmtId="49" fontId="51" fillId="0" borderId="0" xfId="1239" applyNumberFormat="1" applyFont="1" applyAlignment="1">
      <alignment horizontal="center" vertical="center" wrapText="1"/>
    </xf>
    <xf numFmtId="2" fontId="52" fillId="0" borderId="0" xfId="1239" applyNumberFormat="1" applyFont="1" applyAlignment="1">
      <alignment horizontal="center" vertical="center" wrapText="1"/>
    </xf>
    <xf numFmtId="0" fontId="51" fillId="0" borderId="0" xfId="1241" applyFont="1" applyAlignment="1">
      <alignment horizontal="center" vertical="top"/>
    </xf>
    <xf numFmtId="0" fontId="51" fillId="0" borderId="0" xfId="1239" applyFont="1" applyAlignment="1">
      <alignment horizontal="center" vertical="center" wrapText="1"/>
    </xf>
    <xf numFmtId="49" fontId="52" fillId="0" borderId="0" xfId="1239" applyNumberFormat="1" applyFont="1" applyAlignment="1">
      <alignment horizontal="center" vertical="center" wrapText="1"/>
    </xf>
    <xf numFmtId="2" fontId="70" fillId="0" borderId="0" xfId="1239" applyNumberFormat="1" applyFont="1" applyAlignment="1">
      <alignment horizontal="right" vertical="center" wrapText="1"/>
    </xf>
    <xf numFmtId="49" fontId="70" fillId="0" borderId="0" xfId="1239" applyNumberFormat="1" applyFont="1" applyAlignment="1">
      <alignment horizontal="center" vertical="center" wrapText="1"/>
    </xf>
    <xf numFmtId="2" fontId="70" fillId="0" borderId="0" xfId="1239" applyNumberFormat="1" applyFont="1" applyAlignment="1">
      <alignment horizontal="center" vertical="center" wrapText="1"/>
    </xf>
    <xf numFmtId="2" fontId="51" fillId="0" borderId="0" xfId="1239" applyNumberFormat="1" applyFont="1" applyAlignment="1">
      <alignment horizontal="center" vertical="center" wrapText="1"/>
    </xf>
    <xf numFmtId="2" fontId="51" fillId="0" borderId="0" xfId="1239" applyNumberFormat="1" applyFont="1" applyAlignment="1">
      <alignment horizontal="right"/>
    </xf>
    <xf numFmtId="2" fontId="51" fillId="0" borderId="0" xfId="1239" applyNumberFormat="1" applyFont="1"/>
    <xf numFmtId="0" fontId="15" fillId="0" borderId="0" xfId="1239" applyFont="1" applyAlignment="1">
      <alignment horizontal="left"/>
    </xf>
    <xf numFmtId="49" fontId="14" fillId="0" borderId="4" xfId="1239" applyNumberFormat="1" applyFont="1" applyBorder="1" applyAlignment="1">
      <alignment horizontal="center" vertical="center" wrapText="1"/>
    </xf>
    <xf numFmtId="49" fontId="14" fillId="0" borderId="43" xfId="1239" applyNumberFormat="1" applyFont="1" applyBorder="1" applyAlignment="1">
      <alignment horizontal="center" vertical="center" wrapText="1"/>
    </xf>
    <xf numFmtId="49" fontId="14" fillId="0" borderId="14" xfId="1239" applyNumberFormat="1" applyFont="1" applyBorder="1" applyAlignment="1">
      <alignment horizontal="center" vertical="center" wrapText="1"/>
    </xf>
    <xf numFmtId="49" fontId="14" fillId="0" borderId="0" xfId="1239" applyNumberFormat="1" applyFont="1" applyAlignment="1">
      <alignment horizontal="center" vertical="center" wrapText="1"/>
    </xf>
    <xf numFmtId="0" fontId="10" fillId="0" borderId="0" xfId="1239"/>
    <xf numFmtId="49" fontId="14" fillId="0" borderId="0" xfId="1239" applyNumberFormat="1" applyFont="1" applyAlignment="1">
      <alignment horizontal="left" vertical="center" wrapText="1"/>
    </xf>
    <xf numFmtId="49" fontId="14" fillId="0" borderId="40" xfId="1239" applyNumberFormat="1" applyFont="1" applyBorder="1" applyAlignment="1">
      <alignment horizontal="center" vertical="center" wrapText="1"/>
    </xf>
    <xf numFmtId="49" fontId="14" fillId="0" borderId="0" xfId="1239" applyNumberFormat="1" applyFont="1" applyAlignment="1">
      <alignment vertical="center" wrapText="1"/>
    </xf>
    <xf numFmtId="0" fontId="10" fillId="0" borderId="14" xfId="1239" applyBorder="1"/>
    <xf numFmtId="49" fontId="131" fillId="0" borderId="14" xfId="1239" applyNumberFormat="1" applyFont="1" applyBorder="1" applyAlignment="1">
      <alignment horizontal="center" vertical="center" wrapText="1"/>
    </xf>
    <xf numFmtId="49" fontId="14" fillId="0" borderId="14" xfId="1239" applyNumberFormat="1" applyFont="1" applyBorder="1" applyAlignment="1">
      <alignment vertical="center" wrapText="1"/>
    </xf>
    <xf numFmtId="0" fontId="14" fillId="0" borderId="0" xfId="1239" applyFont="1"/>
    <xf numFmtId="0" fontId="10" fillId="0" borderId="0" xfId="1239" applyAlignment="1">
      <alignment horizontal="left"/>
    </xf>
    <xf numFmtId="0" fontId="10" fillId="0" borderId="0" xfId="1239" applyAlignment="1">
      <alignment horizontal="center"/>
    </xf>
    <xf numFmtId="0" fontId="10" fillId="0" borderId="2" xfId="1239" applyBorder="1"/>
    <xf numFmtId="49" fontId="14" fillId="0" borderId="2" xfId="1239" applyNumberFormat="1" applyFont="1" applyBorder="1" applyAlignment="1">
      <alignment horizontal="center" vertical="center" wrapText="1"/>
    </xf>
    <xf numFmtId="49" fontId="10" fillId="0" borderId="0" xfId="1239" applyNumberFormat="1" applyAlignment="1">
      <alignment horizontal="center" vertical="center" wrapText="1"/>
    </xf>
    <xf numFmtId="0" fontId="36" fillId="0" borderId="0" xfId="1239" applyFont="1" applyAlignment="1">
      <alignment horizontal="left" vertical="top"/>
    </xf>
    <xf numFmtId="0" fontId="36" fillId="0" borderId="0" xfId="1239" applyFont="1"/>
    <xf numFmtId="2" fontId="36" fillId="0" borderId="0" xfId="1239" applyNumberFormat="1" applyFont="1"/>
    <xf numFmtId="0" fontId="37" fillId="0" borderId="0" xfId="1239" applyFont="1"/>
    <xf numFmtId="0" fontId="156" fillId="0" borderId="0" xfId="1239" applyFont="1" applyAlignment="1">
      <alignment horizontal="center"/>
    </xf>
    <xf numFmtId="0" fontId="36" fillId="0" borderId="0" xfId="1239" applyFont="1" applyAlignment="1">
      <alignment vertical="top"/>
    </xf>
    <xf numFmtId="0" fontId="36" fillId="0" borderId="0" xfId="1239" applyFont="1" applyAlignment="1">
      <alignment horizontal="justify" vertical="top" wrapText="1"/>
    </xf>
    <xf numFmtId="0" fontId="37" fillId="0" borderId="0" xfId="1241" applyFont="1" applyAlignment="1">
      <alignment horizontal="center" vertical="center"/>
    </xf>
    <xf numFmtId="0" fontId="37" fillId="0" borderId="0" xfId="1241" applyFont="1" applyAlignment="1">
      <alignment horizontal="center" vertical="top"/>
    </xf>
    <xf numFmtId="2" fontId="157" fillId="0" borderId="0" xfId="1241" applyNumberFormat="1" applyFont="1" applyAlignment="1">
      <alignment horizontal="center" vertical="top"/>
    </xf>
    <xf numFmtId="0" fontId="37" fillId="0" borderId="0" xfId="1242" applyFont="1"/>
    <xf numFmtId="0" fontId="37" fillId="0" borderId="0" xfId="1242" applyFont="1" applyAlignment="1">
      <alignment vertical="top"/>
    </xf>
    <xf numFmtId="0" fontId="155" fillId="0" borderId="0" xfId="1242" applyFont="1" applyAlignment="1">
      <alignment horizontal="center" vertical="top"/>
    </xf>
    <xf numFmtId="49" fontId="37" fillId="0" borderId="0" xfId="1240" applyNumberFormat="1" applyFont="1" applyAlignment="1">
      <alignment horizontal="center" vertical="center" wrapText="1"/>
    </xf>
    <xf numFmtId="49" fontId="35" fillId="0" borderId="0" xfId="1240" applyNumberFormat="1" applyFont="1" applyAlignment="1">
      <alignment horizontal="center" vertical="center" wrapText="1"/>
    </xf>
    <xf numFmtId="0" fontId="40" fillId="0" borderId="0" xfId="1240" applyFont="1" applyAlignment="1">
      <alignment horizontal="left" vertical="center" wrapText="1"/>
    </xf>
    <xf numFmtId="0" fontId="35" fillId="0" borderId="0" xfId="1240" applyFont="1" applyAlignment="1">
      <alignment horizontal="left"/>
    </xf>
    <xf numFmtId="0" fontId="35" fillId="0" borderId="0" xfId="1240" applyFont="1" applyAlignment="1">
      <alignment horizontal="center"/>
    </xf>
    <xf numFmtId="0" fontId="35" fillId="0" borderId="0" xfId="1240" applyFont="1" applyAlignment="1">
      <alignment horizontal="right"/>
    </xf>
    <xf numFmtId="2" fontId="35" fillId="0" borderId="0" xfId="1240" applyNumberFormat="1" applyFont="1" applyAlignment="1">
      <alignment horizontal="left"/>
    </xf>
    <xf numFmtId="49" fontId="40" fillId="0" borderId="0" xfId="1240" applyNumberFormat="1" applyFont="1" applyAlignment="1">
      <alignment horizontal="left" vertical="center" wrapText="1"/>
    </xf>
    <xf numFmtId="2" fontId="35" fillId="0" borderId="0" xfId="1240" applyNumberFormat="1" applyFont="1" applyAlignment="1">
      <alignment horizontal="right"/>
    </xf>
    <xf numFmtId="0" fontId="40" fillId="0" borderId="0" xfId="1240" applyFont="1" applyAlignment="1">
      <alignment vertical="center" wrapText="1"/>
    </xf>
    <xf numFmtId="2" fontId="35" fillId="0" borderId="0" xfId="1240" applyNumberFormat="1" applyFont="1" applyAlignment="1">
      <alignment vertical="center" wrapText="1"/>
    </xf>
    <xf numFmtId="0" fontId="35" fillId="0" borderId="0" xfId="1240" applyFont="1" applyAlignment="1">
      <alignment vertical="center" wrapText="1"/>
    </xf>
    <xf numFmtId="0" fontId="40" fillId="0" borderId="0" xfId="1240" applyFont="1" applyAlignment="1">
      <alignment horizontal="left" vertical="center"/>
    </xf>
    <xf numFmtId="0" fontId="35" fillId="0" borderId="0" xfId="1240" applyFont="1" applyAlignment="1">
      <alignment horizontal="left" vertical="center" wrapText="1"/>
    </xf>
    <xf numFmtId="0" fontId="35" fillId="0" borderId="0" xfId="1240" applyFont="1" applyAlignment="1">
      <alignment horizontal="left" vertical="center"/>
    </xf>
    <xf numFmtId="49" fontId="40" fillId="0" borderId="5" xfId="1240" applyNumberFormat="1" applyFont="1" applyBorder="1" applyAlignment="1">
      <alignment horizontal="center" vertical="center" wrapText="1"/>
    </xf>
    <xf numFmtId="49" fontId="161" fillId="0" borderId="5" xfId="1240" applyNumberFormat="1" applyFont="1" applyBorder="1" applyAlignment="1">
      <alignment horizontal="center" vertical="top" wrapText="1"/>
    </xf>
    <xf numFmtId="0" fontId="74" fillId="0" borderId="6" xfId="1241" applyFont="1" applyBorder="1" applyAlignment="1">
      <alignment horizontal="center" vertical="top" wrapText="1"/>
    </xf>
    <xf numFmtId="2" fontId="37" fillId="0" borderId="5" xfId="1240" applyNumberFormat="1" applyFont="1" applyBorder="1" applyAlignment="1">
      <alignment vertical="top" wrapText="1"/>
    </xf>
    <xf numFmtId="168" fontId="37" fillId="0" borderId="6" xfId="1240" applyNumberFormat="1" applyFont="1" applyBorder="1" applyAlignment="1">
      <alignment horizontal="right" vertical="top" wrapText="1"/>
    </xf>
    <xf numFmtId="2" fontId="37" fillId="0" borderId="6" xfId="1240" applyNumberFormat="1" applyFont="1" applyBorder="1" applyAlignment="1">
      <alignment horizontal="right" vertical="top" wrapText="1"/>
    </xf>
    <xf numFmtId="2" fontId="37" fillId="0" borderId="8" xfId="1240" applyNumberFormat="1" applyFont="1" applyBorder="1" applyAlignment="1">
      <alignment horizontal="left" vertical="top" wrapText="1"/>
    </xf>
    <xf numFmtId="2" fontId="37" fillId="0" borderId="7" xfId="1240" applyNumberFormat="1" applyFont="1" applyBorder="1" applyAlignment="1">
      <alignment horizontal="left" vertical="top" wrapText="1"/>
    </xf>
    <xf numFmtId="2" fontId="37" fillId="0" borderId="5" xfId="1240" applyNumberFormat="1" applyFont="1" applyBorder="1" applyAlignment="1">
      <alignment horizontal="right" vertical="top" wrapText="1"/>
    </xf>
    <xf numFmtId="2" fontId="37" fillId="0" borderId="0" xfId="1240" applyNumberFormat="1" applyFont="1" applyAlignment="1">
      <alignment horizontal="center" vertical="top" wrapText="1"/>
    </xf>
    <xf numFmtId="49" fontId="37" fillId="0" borderId="0" xfId="1240" applyNumberFormat="1" applyFont="1" applyAlignment="1">
      <alignment horizontal="center" vertical="top" wrapText="1"/>
    </xf>
    <xf numFmtId="0" fontId="128" fillId="0" borderId="5" xfId="1241" applyFont="1" applyBorder="1" applyAlignment="1">
      <alignment horizontal="justify" vertical="top" wrapText="1"/>
    </xf>
    <xf numFmtId="2" fontId="37" fillId="0" borderId="5" xfId="1240" applyNumberFormat="1" applyFont="1" applyBorder="1" applyAlignment="1">
      <alignment horizontal="left" vertical="top" wrapText="1"/>
    </xf>
    <xf numFmtId="2" fontId="37" fillId="0" borderId="8" xfId="1240" applyNumberFormat="1" applyFont="1" applyBorder="1" applyAlignment="1">
      <alignment horizontal="center" vertical="top" wrapText="1"/>
    </xf>
    <xf numFmtId="2" fontId="37" fillId="0" borderId="7" xfId="1240" applyNumberFormat="1" applyFont="1" applyBorder="1" applyAlignment="1">
      <alignment horizontal="center" vertical="top" wrapText="1"/>
    </xf>
    <xf numFmtId="2" fontId="37" fillId="0" borderId="7" xfId="1240" applyNumberFormat="1" applyFont="1" applyBorder="1" applyAlignment="1">
      <alignment horizontal="right" vertical="top" wrapText="1"/>
    </xf>
    <xf numFmtId="2" fontId="162" fillId="0" borderId="5" xfId="1240" applyNumberFormat="1" applyFont="1" applyBorder="1" applyAlignment="1">
      <alignment horizontal="right" vertical="top" wrapText="1"/>
    </xf>
    <xf numFmtId="49" fontId="37" fillId="0" borderId="0" xfId="1240" applyNumberFormat="1" applyFont="1" applyAlignment="1">
      <alignment horizontal="justify" vertical="center" wrapText="1"/>
    </xf>
    <xf numFmtId="2" fontId="37" fillId="0" borderId="0" xfId="1240" applyNumberFormat="1" applyFont="1" applyAlignment="1">
      <alignment horizontal="right" vertical="center" wrapText="1"/>
    </xf>
    <xf numFmtId="49" fontId="37" fillId="0" borderId="0" xfId="1240" applyNumberFormat="1" applyFont="1" applyAlignment="1">
      <alignment horizontal="right" vertical="center" wrapText="1"/>
    </xf>
    <xf numFmtId="2" fontId="37" fillId="0" borderId="0" xfId="1240" applyNumberFormat="1" applyFont="1" applyAlignment="1">
      <alignment horizontal="center" vertical="center" wrapText="1"/>
    </xf>
    <xf numFmtId="0" fontId="37" fillId="0" borderId="0" xfId="1240" applyFont="1" applyAlignment="1">
      <alignment horizontal="right" vertical="center"/>
    </xf>
    <xf numFmtId="0" fontId="37" fillId="0" borderId="0" xfId="1240" applyFont="1" applyAlignment="1">
      <alignment horizontal="center" vertical="center"/>
    </xf>
    <xf numFmtId="49" fontId="162" fillId="0" borderId="0" xfId="1240" applyNumberFormat="1" applyFont="1" applyAlignment="1">
      <alignment horizontal="center" vertical="center" wrapText="1"/>
    </xf>
    <xf numFmtId="0" fontId="2" fillId="0" borderId="0" xfId="1243"/>
    <xf numFmtId="2" fontId="133" fillId="0" borderId="0" xfId="1243" applyNumberFormat="1" applyFont="1" applyAlignment="1">
      <alignment vertical="justify"/>
    </xf>
    <xf numFmtId="0" fontId="2" fillId="0" borderId="0" xfId="1243" applyAlignment="1">
      <alignment vertical="justify"/>
    </xf>
    <xf numFmtId="2" fontId="2" fillId="0" borderId="0" xfId="1243" applyNumberFormat="1"/>
    <xf numFmtId="0" fontId="51" fillId="0" borderId="0" xfId="163" applyFont="1" applyAlignment="1">
      <alignment vertical="top"/>
    </xf>
    <xf numFmtId="0" fontId="2" fillId="0" borderId="0" xfId="1243" applyAlignment="1">
      <alignment wrapText="1"/>
    </xf>
    <xf numFmtId="2" fontId="164" fillId="0" borderId="0" xfId="1243" applyNumberFormat="1" applyFont="1" applyAlignment="1">
      <alignment vertical="justify" wrapText="1"/>
    </xf>
    <xf numFmtId="0" fontId="133" fillId="0" borderId="0" xfId="1243" applyFont="1" applyAlignment="1">
      <alignment vertical="justify" wrapText="1"/>
    </xf>
    <xf numFmtId="0" fontId="2" fillId="0" borderId="0" xfId="1243" applyAlignment="1">
      <alignment vertical="justify" wrapText="1"/>
    </xf>
    <xf numFmtId="0" fontId="2" fillId="0" borderId="0" xfId="1243" applyAlignment="1">
      <alignment horizontal="justify" vertical="top" wrapText="1"/>
    </xf>
    <xf numFmtId="2" fontId="165" fillId="0" borderId="0" xfId="1243" applyNumberFormat="1" applyFont="1" applyAlignment="1">
      <alignment vertical="justify"/>
    </xf>
    <xf numFmtId="0" fontId="144" fillId="0" borderId="0" xfId="29" applyFont="1"/>
    <xf numFmtId="0" fontId="144" fillId="0" borderId="0" xfId="29" applyFont="1" applyAlignment="1">
      <alignment horizontal="center"/>
    </xf>
    <xf numFmtId="0" fontId="51" fillId="0" borderId="45" xfId="29" applyFont="1" applyBorder="1"/>
    <xf numFmtId="0" fontId="51" fillId="0" borderId="46" xfId="29" applyFont="1" applyBorder="1" applyAlignment="1">
      <alignment horizontal="center"/>
    </xf>
    <xf numFmtId="0" fontId="51" fillId="0" borderId="47" xfId="29" applyFont="1" applyBorder="1" applyAlignment="1">
      <alignment horizontal="center"/>
    </xf>
    <xf numFmtId="0" fontId="51" fillId="0" borderId="48" xfId="29" applyFont="1" applyBorder="1"/>
    <xf numFmtId="0" fontId="51" fillId="0" borderId="49" xfId="29" applyFont="1" applyBorder="1" applyAlignment="1">
      <alignment horizontal="center"/>
    </xf>
    <xf numFmtId="0" fontId="171" fillId="0" borderId="0" xfId="29" applyFont="1"/>
    <xf numFmtId="0" fontId="52" fillId="0" borderId="48" xfId="29" applyFont="1" applyBorder="1"/>
    <xf numFmtId="0" fontId="144" fillId="0" borderId="0" xfId="29" applyFont="1" applyAlignment="1">
      <alignment vertical="center"/>
    </xf>
    <xf numFmtId="0" fontId="171" fillId="0" borderId="0" xfId="29" applyFont="1" applyAlignment="1">
      <alignment horizontal="center" vertical="center"/>
    </xf>
    <xf numFmtId="0" fontId="52" fillId="0" borderId="50" xfId="29" applyFont="1" applyBorder="1" applyAlignment="1">
      <alignment horizontal="center" vertical="center"/>
    </xf>
    <xf numFmtId="0" fontId="52" fillId="0" borderId="3" xfId="29" applyFont="1" applyBorder="1" applyAlignment="1">
      <alignment horizontal="center" vertical="center"/>
    </xf>
    <xf numFmtId="0" fontId="52" fillId="0" borderId="51" xfId="29" applyFont="1" applyBorder="1" applyAlignment="1">
      <alignment horizontal="center" vertical="center"/>
    </xf>
    <xf numFmtId="0" fontId="144" fillId="0" borderId="0" xfId="29" applyFont="1" applyAlignment="1">
      <alignment horizontal="center" vertical="center"/>
    </xf>
    <xf numFmtId="2" fontId="51" fillId="0" borderId="3" xfId="29" applyNumberFormat="1" applyFont="1" applyBorder="1" applyAlignment="1">
      <alignment horizontal="center" vertical="center"/>
    </xf>
    <xf numFmtId="2" fontId="51" fillId="0" borderId="51" xfId="29" applyNumberFormat="1" applyFont="1" applyBorder="1" applyAlignment="1">
      <alignment horizontal="right" vertical="center"/>
    </xf>
    <xf numFmtId="2" fontId="51" fillId="0" borderId="51" xfId="29" applyNumberFormat="1" applyFont="1" applyBorder="1" applyAlignment="1">
      <alignment horizontal="center" vertical="center"/>
    </xf>
    <xf numFmtId="0" fontId="172" fillId="0" borderId="0" xfId="29" applyFont="1" applyAlignment="1">
      <alignment horizontal="center" vertical="center" wrapText="1"/>
    </xf>
    <xf numFmtId="2" fontId="144" fillId="0" borderId="0" xfId="29" applyNumberFormat="1" applyFont="1" applyAlignment="1">
      <alignment horizontal="center" vertical="center"/>
    </xf>
    <xf numFmtId="2" fontId="144" fillId="0" borderId="0" xfId="29" applyNumberFormat="1" applyFont="1" applyAlignment="1">
      <alignment horizontal="right" vertical="center"/>
    </xf>
    <xf numFmtId="0" fontId="173" fillId="0" borderId="50" xfId="29" applyFont="1" applyBorder="1" applyAlignment="1">
      <alignment horizontal="center" vertical="center" wrapText="1"/>
    </xf>
    <xf numFmtId="0" fontId="51" fillId="0" borderId="3" xfId="29" applyFont="1" applyBorder="1" applyAlignment="1">
      <alignment horizontal="center" vertical="center"/>
    </xf>
    <xf numFmtId="0" fontId="51" fillId="0" borderId="51" xfId="29" applyFont="1" applyBorder="1" applyAlignment="1">
      <alignment horizontal="center" vertical="center"/>
    </xf>
    <xf numFmtId="2" fontId="171" fillId="0" borderId="0" xfId="29" applyNumberFormat="1" applyFont="1" applyAlignment="1">
      <alignment horizontal="right" vertical="center"/>
    </xf>
    <xf numFmtId="2" fontId="52" fillId="0" borderId="51" xfId="29" applyNumberFormat="1" applyFont="1" applyBorder="1" applyAlignment="1">
      <alignment horizontal="center" vertical="center"/>
    </xf>
    <xf numFmtId="0" fontId="51" fillId="0" borderId="52" xfId="29" applyFont="1" applyBorder="1" applyAlignment="1">
      <alignment horizontal="center"/>
    </xf>
    <xf numFmtId="0" fontId="51" fillId="0" borderId="53" xfId="29" applyFont="1" applyBorder="1" applyAlignment="1">
      <alignment horizontal="center"/>
    </xf>
    <xf numFmtId="0" fontId="51" fillId="0" borderId="54" xfId="29" applyFont="1" applyBorder="1" applyAlignment="1">
      <alignment horizontal="center"/>
    </xf>
    <xf numFmtId="0" fontId="52" fillId="0" borderId="0" xfId="29" applyFont="1"/>
    <xf numFmtId="0" fontId="52" fillId="0" borderId="0" xfId="29" applyFont="1" applyAlignment="1">
      <alignment horizontal="center" vertical="center"/>
    </xf>
    <xf numFmtId="0" fontId="51" fillId="0" borderId="0" xfId="29" applyFont="1" applyAlignment="1">
      <alignment horizontal="center" vertical="center"/>
    </xf>
    <xf numFmtId="0" fontId="173" fillId="0" borderId="0" xfId="29" applyFont="1" applyAlignment="1">
      <alignment horizontal="center" vertical="center" wrapText="1"/>
    </xf>
    <xf numFmtId="49" fontId="51" fillId="0" borderId="0" xfId="69" applyNumberFormat="1" applyFont="1" applyAlignment="1">
      <alignment horizontal="center" vertical="center" wrapText="1"/>
    </xf>
    <xf numFmtId="49" fontId="67" fillId="0" borderId="0" xfId="69" applyNumberFormat="1" applyFont="1" applyAlignment="1">
      <alignment horizontal="center" vertical="center" wrapText="1"/>
    </xf>
    <xf numFmtId="49" fontId="69" fillId="0" borderId="0" xfId="69" applyNumberFormat="1" applyFont="1" applyAlignment="1">
      <alignment horizontal="left" vertical="center" wrapText="1"/>
    </xf>
    <xf numFmtId="0" fontId="67" fillId="0" borderId="0" xfId="69" applyFont="1" applyAlignment="1">
      <alignment horizontal="left"/>
    </xf>
    <xf numFmtId="2" fontId="67" fillId="0" borderId="0" xfId="69" applyNumberFormat="1" applyFont="1" applyAlignment="1">
      <alignment horizontal="right"/>
    </xf>
    <xf numFmtId="0" fontId="67" fillId="0" borderId="0" xfId="69" applyFont="1"/>
    <xf numFmtId="168" fontId="67" fillId="0" borderId="0" xfId="69" applyNumberFormat="1" applyFont="1" applyAlignment="1">
      <alignment horizontal="right"/>
    </xf>
    <xf numFmtId="168" fontId="67" fillId="0" borderId="0" xfId="69" applyNumberFormat="1" applyFont="1" applyAlignment="1">
      <alignment horizontal="left"/>
    </xf>
    <xf numFmtId="49" fontId="69" fillId="0" borderId="5" xfId="69" applyNumberFormat="1" applyFont="1" applyBorder="1" applyAlignment="1">
      <alignment horizontal="center" vertical="center" wrapText="1"/>
    </xf>
    <xf numFmtId="168" fontId="69" fillId="0" borderId="5" xfId="69" applyNumberFormat="1" applyFont="1" applyBorder="1" applyAlignment="1">
      <alignment horizontal="center" vertical="center" wrapText="1"/>
    </xf>
    <xf numFmtId="49" fontId="51" fillId="0" borderId="5" xfId="69" applyNumberFormat="1" applyFont="1" applyBorder="1" applyAlignment="1">
      <alignment horizontal="center" vertical="top" wrapText="1"/>
    </xf>
    <xf numFmtId="0" fontId="57" fillId="0" borderId="5" xfId="70" applyFont="1" applyBorder="1" applyAlignment="1">
      <alignment horizontal="justify" vertical="top" wrapText="1"/>
    </xf>
    <xf numFmtId="168" fontId="51" fillId="0" borderId="6" xfId="69" applyNumberFormat="1" applyFont="1" applyBorder="1" applyAlignment="1">
      <alignment horizontal="right" vertical="top" wrapText="1"/>
    </xf>
    <xf numFmtId="2" fontId="62" fillId="0" borderId="7" xfId="29" applyNumberFormat="1" applyFont="1" applyBorder="1" applyAlignment="1">
      <alignment horizontal="left" vertical="top"/>
    </xf>
    <xf numFmtId="2" fontId="62" fillId="0" borderId="5" xfId="29" applyNumberFormat="1" applyFont="1" applyBorder="1" applyAlignment="1">
      <alignment horizontal="center" vertical="top" wrapText="1"/>
    </xf>
    <xf numFmtId="2" fontId="136" fillId="0" borderId="5" xfId="69" applyNumberFormat="1" applyFont="1" applyBorder="1" applyAlignment="1">
      <alignment horizontal="right" vertical="top" wrapText="1"/>
    </xf>
    <xf numFmtId="2" fontId="51" fillId="0" borderId="5" xfId="69" applyNumberFormat="1" applyFont="1" applyBorder="1" applyAlignment="1">
      <alignment horizontal="center" vertical="top" wrapText="1"/>
    </xf>
    <xf numFmtId="2" fontId="51" fillId="0" borderId="5" xfId="29" applyNumberFormat="1" applyFont="1" applyBorder="1" applyAlignment="1">
      <alignment horizontal="right" vertical="top" wrapText="1"/>
    </xf>
    <xf numFmtId="49" fontId="136" fillId="0" borderId="5" xfId="69" applyNumberFormat="1" applyFont="1" applyBorder="1" applyAlignment="1">
      <alignment horizontal="center" vertical="top" wrapText="1"/>
    </xf>
    <xf numFmtId="49" fontId="51" fillId="0" borderId="0" xfId="69" applyNumberFormat="1" applyFont="1" applyAlignment="1">
      <alignment horizontal="center" vertical="top" wrapText="1"/>
    </xf>
    <xf numFmtId="168" fontId="136" fillId="0" borderId="6" xfId="69" applyNumberFormat="1" applyFont="1" applyBorder="1" applyAlignment="1">
      <alignment horizontal="right" vertical="top" wrapText="1"/>
    </xf>
    <xf numFmtId="2" fontId="136" fillId="0" borderId="7" xfId="69" applyNumberFormat="1" applyFont="1" applyBorder="1" applyAlignment="1">
      <alignment vertical="top" wrapText="1"/>
    </xf>
    <xf numFmtId="2" fontId="136" fillId="0" borderId="5" xfId="69" applyNumberFormat="1" applyFont="1" applyBorder="1" applyAlignment="1">
      <alignment horizontal="center" vertical="top" wrapText="1"/>
    </xf>
    <xf numFmtId="0" fontId="178" fillId="0" borderId="5" xfId="70" applyFont="1" applyBorder="1" applyAlignment="1">
      <alignment horizontal="justify" vertical="top" wrapText="1"/>
    </xf>
    <xf numFmtId="2" fontId="51" fillId="0" borderId="7" xfId="29" applyNumberFormat="1" applyFont="1" applyBorder="1" applyAlignment="1">
      <alignment horizontal="center" vertical="top" wrapText="1"/>
    </xf>
    <xf numFmtId="2" fontId="51" fillId="0" borderId="7" xfId="69" applyNumberFormat="1" applyFont="1" applyBorder="1" applyAlignment="1">
      <alignment vertical="top" wrapText="1"/>
    </xf>
    <xf numFmtId="2" fontId="51" fillId="0" borderId="6" xfId="29" applyNumberFormat="1" applyFont="1" applyBorder="1" applyAlignment="1">
      <alignment horizontal="right" vertical="top" wrapText="1"/>
    </xf>
    <xf numFmtId="2" fontId="51" fillId="0" borderId="7" xfId="29" applyNumberFormat="1" applyFont="1" applyBorder="1" applyAlignment="1">
      <alignment horizontal="left" vertical="top" wrapText="1"/>
    </xf>
    <xf numFmtId="2" fontId="51" fillId="0" borderId="6" xfId="69" applyNumberFormat="1" applyFont="1" applyBorder="1" applyAlignment="1">
      <alignment horizontal="right" vertical="top" wrapText="1"/>
    </xf>
    <xf numFmtId="168" fontId="136" fillId="0" borderId="5" xfId="69" applyNumberFormat="1" applyFont="1" applyBorder="1" applyAlignment="1">
      <alignment horizontal="right" vertical="top" wrapText="1"/>
    </xf>
    <xf numFmtId="49" fontId="51" fillId="0" borderId="5" xfId="69" applyNumberFormat="1" applyFont="1" applyBorder="1" applyAlignment="1">
      <alignment horizontal="justify" vertical="top" wrapText="1"/>
    </xf>
    <xf numFmtId="2" fontId="52" fillId="0" borderId="5" xfId="69" applyNumberFormat="1" applyFont="1" applyBorder="1" applyAlignment="1">
      <alignment horizontal="right" vertical="top" wrapText="1"/>
    </xf>
    <xf numFmtId="49" fontId="136" fillId="0" borderId="7" xfId="69" applyNumberFormat="1" applyFont="1" applyBorder="1" applyAlignment="1">
      <alignment vertical="top" wrapText="1"/>
    </xf>
    <xf numFmtId="49" fontId="51" fillId="0" borderId="5" xfId="69" applyNumberFormat="1" applyFont="1" applyBorder="1" applyAlignment="1">
      <alignment horizontal="justify" vertical="center" wrapText="1"/>
    </xf>
    <xf numFmtId="2" fontId="52" fillId="0" borderId="5" xfId="69" applyNumberFormat="1" applyFont="1" applyBorder="1" applyAlignment="1">
      <alignment horizontal="right" vertical="center" wrapText="1"/>
    </xf>
    <xf numFmtId="168" fontId="136" fillId="0" borderId="6" xfId="69" applyNumberFormat="1" applyFont="1" applyBorder="1" applyAlignment="1">
      <alignment horizontal="right" vertical="center" wrapText="1"/>
    </xf>
    <xf numFmtId="49" fontId="136" fillId="0" borderId="7" xfId="69" applyNumberFormat="1" applyFont="1" applyBorder="1" applyAlignment="1">
      <alignment vertical="center" wrapText="1"/>
    </xf>
    <xf numFmtId="49" fontId="136" fillId="0" borderId="5" xfId="69" applyNumberFormat="1" applyFont="1" applyBorder="1" applyAlignment="1">
      <alignment horizontal="center" vertical="center" wrapText="1"/>
    </xf>
    <xf numFmtId="168" fontId="136" fillId="0" borderId="5" xfId="69" applyNumberFormat="1" applyFont="1" applyBorder="1" applyAlignment="1">
      <alignment horizontal="right" vertical="center" wrapText="1"/>
    </xf>
    <xf numFmtId="2" fontId="146" fillId="0" borderId="5" xfId="69" applyNumberFormat="1" applyFont="1" applyBorder="1" applyAlignment="1">
      <alignment horizontal="right" vertical="center" wrapText="1"/>
    </xf>
    <xf numFmtId="2" fontId="136" fillId="0" borderId="5" xfId="69" applyNumberFormat="1" applyFont="1" applyBorder="1" applyAlignment="1">
      <alignment horizontal="right" vertical="center" wrapText="1"/>
    </xf>
    <xf numFmtId="49" fontId="52" fillId="0" borderId="5" xfId="69" applyNumberFormat="1" applyFont="1" applyBorder="1" applyAlignment="1">
      <alignment horizontal="center" vertical="center" wrapText="1"/>
    </xf>
    <xf numFmtId="168" fontId="51" fillId="0" borderId="6" xfId="69" applyNumberFormat="1" applyFont="1" applyBorder="1" applyAlignment="1">
      <alignment horizontal="right" vertical="center" wrapText="1"/>
    </xf>
    <xf numFmtId="2" fontId="51" fillId="0" borderId="7" xfId="69" applyNumberFormat="1" applyFont="1" applyBorder="1" applyAlignment="1">
      <alignment vertical="center" wrapText="1"/>
    </xf>
    <xf numFmtId="2" fontId="51" fillId="0" borderId="5" xfId="69" applyNumberFormat="1" applyFont="1" applyBorder="1" applyAlignment="1">
      <alignment horizontal="center" vertical="center" wrapText="1"/>
    </xf>
    <xf numFmtId="168" fontId="52" fillId="0" borderId="5" xfId="69" applyNumberFormat="1" applyFont="1" applyBorder="1" applyAlignment="1">
      <alignment horizontal="right" vertical="center" wrapText="1"/>
    </xf>
    <xf numFmtId="168" fontId="146" fillId="0" borderId="5" xfId="69" applyNumberFormat="1" applyFont="1" applyBorder="1" applyAlignment="1">
      <alignment horizontal="right" vertical="center" wrapText="1"/>
    </xf>
    <xf numFmtId="2" fontId="136" fillId="0" borderId="5" xfId="69" applyNumberFormat="1" applyFont="1" applyBorder="1" applyAlignment="1">
      <alignment horizontal="center" vertical="center" wrapText="1"/>
    </xf>
    <xf numFmtId="49" fontId="51" fillId="0" borderId="0" xfId="69" applyNumberFormat="1" applyFont="1" applyAlignment="1">
      <alignment horizontal="justify" vertical="center" wrapText="1"/>
    </xf>
    <xf numFmtId="2" fontId="51" fillId="0" borderId="0" xfId="69" applyNumberFormat="1" applyFont="1" applyAlignment="1">
      <alignment horizontal="right" vertical="center" wrapText="1"/>
    </xf>
    <xf numFmtId="49" fontId="51" fillId="0" borderId="0" xfId="69" applyNumberFormat="1" applyFont="1" applyAlignment="1">
      <alignment vertical="center" wrapText="1"/>
    </xf>
    <xf numFmtId="168" fontId="51" fillId="0" borderId="0" xfId="69" applyNumberFormat="1" applyFont="1" applyAlignment="1">
      <alignment horizontal="right" vertical="center" wrapText="1"/>
    </xf>
    <xf numFmtId="168" fontId="51" fillId="0" borderId="0" xfId="69" applyNumberFormat="1" applyFont="1" applyAlignment="1">
      <alignment horizontal="center" vertical="center" wrapText="1"/>
    </xf>
    <xf numFmtId="0" fontId="51" fillId="0" borderId="0" xfId="69" applyFont="1" applyAlignment="1">
      <alignment horizontal="center" vertical="center"/>
    </xf>
    <xf numFmtId="168" fontId="51" fillId="0" borderId="0" xfId="69" applyNumberFormat="1" applyFont="1" applyAlignment="1">
      <alignment horizontal="center" vertical="center"/>
    </xf>
    <xf numFmtId="168" fontId="52" fillId="0" borderId="0" xfId="69" applyNumberFormat="1" applyFont="1" applyAlignment="1">
      <alignment horizontal="center" vertical="center" wrapText="1"/>
    </xf>
    <xf numFmtId="0" fontId="67" fillId="0" borderId="0" xfId="69" applyFont="1" applyAlignment="1">
      <alignment horizontal="center"/>
    </xf>
    <xf numFmtId="0" fontId="51" fillId="0" borderId="5" xfId="70" applyFont="1" applyBorder="1" applyAlignment="1">
      <alignment horizontal="justify" vertical="top" wrapText="1"/>
    </xf>
    <xf numFmtId="2" fontId="51" fillId="0" borderId="7" xfId="70" applyNumberFormat="1" applyFont="1" applyBorder="1" applyAlignment="1">
      <alignment horizontal="left" vertical="top"/>
    </xf>
    <xf numFmtId="2" fontId="51" fillId="0" borderId="6" xfId="69" applyNumberFormat="1" applyFont="1" applyBorder="1" applyAlignment="1">
      <alignment horizontal="center" vertical="top" wrapText="1"/>
    </xf>
    <xf numFmtId="2" fontId="51" fillId="0" borderId="5" xfId="70" applyNumberFormat="1" applyFont="1" applyBorder="1" applyAlignment="1">
      <alignment vertical="top"/>
    </xf>
    <xf numFmtId="2" fontId="51" fillId="0" borderId="5" xfId="70" applyNumberFormat="1" applyFont="1" applyBorder="1" applyAlignment="1">
      <alignment horizontal="right" vertical="top" wrapText="1"/>
    </xf>
    <xf numFmtId="2" fontId="51" fillId="0" borderId="5" xfId="69" applyNumberFormat="1" applyFont="1" applyBorder="1" applyAlignment="1">
      <alignment horizontal="right" vertical="top" wrapText="1"/>
    </xf>
    <xf numFmtId="49" fontId="51" fillId="0" borderId="7" xfId="69" applyNumberFormat="1" applyFont="1" applyBorder="1" applyAlignment="1">
      <alignment vertical="top" wrapText="1"/>
    </xf>
    <xf numFmtId="2" fontId="51" fillId="0" borderId="0" xfId="69" applyNumberFormat="1" applyFont="1" applyAlignment="1">
      <alignment horizontal="center" vertical="center" wrapText="1"/>
    </xf>
    <xf numFmtId="49" fontId="51" fillId="0" borderId="0" xfId="69" applyNumberFormat="1" applyFont="1" applyAlignment="1">
      <alignment horizontal="right"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51" fillId="0" borderId="5" xfId="0" applyFont="1" applyBorder="1" applyAlignment="1">
      <alignment horizontal="center" vertical="center"/>
    </xf>
    <xf numFmtId="0" fontId="51" fillId="0" borderId="0" xfId="0" applyFont="1" applyAlignment="1">
      <alignment vertical="center"/>
    </xf>
    <xf numFmtId="0" fontId="51" fillId="0" borderId="5" xfId="0" applyFont="1" applyBorder="1" applyAlignment="1">
      <alignment vertical="center"/>
    </xf>
    <xf numFmtId="2" fontId="51" fillId="0" borderId="6" xfId="0" applyNumberFormat="1" applyFont="1" applyBorder="1" applyAlignment="1">
      <alignment vertical="center"/>
    </xf>
    <xf numFmtId="2" fontId="51" fillId="0" borderId="7" xfId="0" applyNumberFormat="1" applyFont="1" applyBorder="1" applyAlignment="1">
      <alignment vertical="center"/>
    </xf>
    <xf numFmtId="1" fontId="51" fillId="0" borderId="5" xfId="0" applyNumberFormat="1" applyFont="1" applyBorder="1" applyAlignment="1">
      <alignment vertical="center"/>
    </xf>
    <xf numFmtId="0" fontId="51" fillId="0" borderId="5" xfId="0" applyFont="1" applyBorder="1" applyAlignment="1">
      <alignment horizontal="right" vertical="center"/>
    </xf>
    <xf numFmtId="1" fontId="51" fillId="0" borderId="5" xfId="0" applyNumberFormat="1" applyFont="1" applyBorder="1" applyAlignment="1">
      <alignment horizontal="center" vertical="center"/>
    </xf>
    <xf numFmtId="2" fontId="51" fillId="0" borderId="5" xfId="0" applyNumberFormat="1" applyFont="1" applyBorder="1" applyAlignment="1">
      <alignment vertical="center"/>
    </xf>
    <xf numFmtId="168" fontId="37" fillId="0" borderId="5" xfId="70" applyNumberFormat="1" applyFont="1" applyBorder="1" applyAlignment="1">
      <alignment horizontal="center" vertical="center" wrapText="1"/>
    </xf>
    <xf numFmtId="2" fontId="37" fillId="0" borderId="5" xfId="70" applyNumberFormat="1" applyFont="1" applyBorder="1" applyAlignment="1">
      <alignment horizontal="center" vertical="center"/>
    </xf>
    <xf numFmtId="0" fontId="51" fillId="0" borderId="5" xfId="0" applyFont="1" applyBorder="1" applyAlignment="1">
      <alignment vertical="center" wrapText="1"/>
    </xf>
    <xf numFmtId="0" fontId="51" fillId="0" borderId="5" xfId="0" applyFont="1" applyBorder="1"/>
    <xf numFmtId="0" fontId="51" fillId="0" borderId="6" xfId="0" applyFont="1" applyBorder="1" applyAlignment="1">
      <alignment horizontal="center" wrapText="1"/>
    </xf>
    <xf numFmtId="0" fontId="51" fillId="0" borderId="7" xfId="0" applyFont="1" applyBorder="1"/>
    <xf numFmtId="1" fontId="52" fillId="0" borderId="5" xfId="0" applyNumberFormat="1" applyFont="1" applyBorder="1" applyAlignment="1">
      <alignment horizontal="center" wrapText="1"/>
    </xf>
    <xf numFmtId="2" fontId="52" fillId="0" borderId="5" xfId="0" applyNumberFormat="1" applyFont="1" applyBorder="1" applyAlignment="1">
      <alignment horizontal="center" wrapText="1"/>
    </xf>
    <xf numFmtId="168" fontId="52" fillId="0" borderId="5" xfId="0" applyNumberFormat="1" applyFont="1" applyBorder="1" applyAlignment="1">
      <alignment horizontal="center" wrapText="1"/>
    </xf>
    <xf numFmtId="0" fontId="51" fillId="0" borderId="6" xfId="0" applyFont="1" applyBorder="1"/>
    <xf numFmtId="0" fontId="51" fillId="0" borderId="5" xfId="0" applyFont="1" applyBorder="1" applyAlignment="1">
      <alignment horizontal="center"/>
    </xf>
    <xf numFmtId="0" fontId="51" fillId="0" borderId="0" xfId="0" applyFont="1" applyAlignment="1">
      <alignment horizontal="center" wrapText="1"/>
    </xf>
    <xf numFmtId="1" fontId="52" fillId="0" borderId="0" xfId="0" applyNumberFormat="1" applyFont="1" applyAlignment="1">
      <alignment horizontal="center" wrapText="1"/>
    </xf>
    <xf numFmtId="2" fontId="52" fillId="0" borderId="0" xfId="0" applyNumberFormat="1" applyFont="1" applyAlignment="1">
      <alignment horizontal="center" wrapText="1"/>
    </xf>
    <xf numFmtId="2" fontId="51" fillId="0" borderId="0" xfId="0" applyNumberFormat="1" applyFont="1" applyAlignment="1">
      <alignment vertical="center"/>
    </xf>
    <xf numFmtId="2" fontId="144" fillId="0" borderId="5" xfId="0" applyNumberFormat="1" applyFont="1" applyBorder="1" applyAlignment="1">
      <alignment horizontal="right" vertical="top" wrapText="1"/>
    </xf>
    <xf numFmtId="167" fontId="35" fillId="0" borderId="5" xfId="70" applyNumberFormat="1" applyFont="1" applyBorder="1" applyAlignment="1">
      <alignment vertical="top"/>
    </xf>
    <xf numFmtId="175" fontId="85" fillId="0" borderId="0" xfId="163" applyNumberFormat="1" applyFont="1" applyAlignment="1">
      <alignment horizontal="right" vertical="top" wrapText="1"/>
    </xf>
    <xf numFmtId="0" fontId="75" fillId="0" borderId="0" xfId="163" applyFont="1"/>
    <xf numFmtId="0" fontId="51" fillId="45" borderId="5" xfId="0" applyFont="1" applyFill="1" applyBorder="1" applyAlignment="1">
      <alignment horizontal="center" vertical="top"/>
    </xf>
    <xf numFmtId="2" fontId="51" fillId="45" borderId="5" xfId="0" applyNumberFormat="1" applyFont="1" applyFill="1" applyBorder="1" applyAlignment="1">
      <alignment horizontal="center" vertical="top" wrapText="1"/>
    </xf>
    <xf numFmtId="2" fontId="51" fillId="45" borderId="5" xfId="0" applyNumberFormat="1" applyFont="1" applyFill="1" applyBorder="1" applyAlignment="1">
      <alignment horizontal="center" vertical="top"/>
    </xf>
    <xf numFmtId="2" fontId="51" fillId="45" borderId="5" xfId="0" applyNumberFormat="1" applyFont="1" applyFill="1" applyBorder="1" applyAlignment="1">
      <alignment horizontal="center" vertical="center"/>
    </xf>
    <xf numFmtId="2" fontId="51" fillId="45" borderId="5" xfId="0" applyNumberFormat="1" applyFont="1" applyFill="1" applyBorder="1" applyAlignment="1">
      <alignment horizontal="right" vertical="top"/>
    </xf>
    <xf numFmtId="179" fontId="58" fillId="0" borderId="0" xfId="0" applyNumberFormat="1" applyFont="1" applyAlignment="1">
      <alignment vertical="top" wrapText="1"/>
    </xf>
    <xf numFmtId="0" fontId="70" fillId="0" borderId="0" xfId="0" applyFont="1" applyAlignment="1">
      <alignment horizontal="center" vertical="top" wrapText="1"/>
    </xf>
    <xf numFmtId="2" fontId="51" fillId="45" borderId="6" xfId="0" applyNumberFormat="1" applyFont="1" applyFill="1" applyBorder="1" applyAlignment="1">
      <alignment horizontal="right" vertical="top"/>
    </xf>
    <xf numFmtId="0" fontId="51" fillId="45" borderId="0" xfId="0" applyFont="1" applyFill="1"/>
    <xf numFmtId="0" fontId="58" fillId="0" borderId="5" xfId="0" applyFont="1" applyBorder="1" applyAlignment="1">
      <alignment horizontal="center" vertical="center" wrapText="1"/>
    </xf>
    <xf numFmtId="0" fontId="52" fillId="0" borderId="7" xfId="0" applyFont="1" applyBorder="1" applyAlignment="1">
      <alignment horizontal="left" vertical="center"/>
    </xf>
    <xf numFmtId="0" fontId="52" fillId="0" borderId="7" xfId="0" applyFont="1" applyBorder="1" applyAlignment="1">
      <alignment horizontal="left"/>
    </xf>
    <xf numFmtId="0" fontId="51" fillId="45" borderId="5" xfId="0" applyFont="1" applyFill="1" applyBorder="1" applyAlignment="1">
      <alignment vertical="top"/>
    </xf>
    <xf numFmtId="0" fontId="51" fillId="45" borderId="7" xfId="0" applyFont="1" applyFill="1" applyBorder="1" applyAlignment="1">
      <alignment horizontal="left" vertical="top"/>
    </xf>
    <xf numFmtId="2" fontId="52" fillId="45" borderId="5" xfId="0" applyNumberFormat="1" applyFont="1" applyFill="1" applyBorder="1" applyAlignment="1">
      <alignment horizontal="center" vertical="top" wrapText="1"/>
    </xf>
    <xf numFmtId="0" fontId="52" fillId="45" borderId="0" xfId="0" applyFont="1" applyFill="1" applyAlignment="1">
      <alignment vertical="top" wrapText="1"/>
    </xf>
    <xf numFmtId="2" fontId="52" fillId="45" borderId="7" xfId="0" applyNumberFormat="1" applyFont="1" applyFill="1" applyBorder="1" applyAlignment="1">
      <alignment horizontal="left" vertical="center"/>
    </xf>
    <xf numFmtId="0" fontId="51" fillId="45" borderId="0" xfId="0" applyFont="1" applyFill="1" applyAlignment="1">
      <alignment vertical="top"/>
    </xf>
    <xf numFmtId="2" fontId="51" fillId="0" borderId="5" xfId="0" applyNumberFormat="1" applyFont="1" applyBorder="1" applyAlignment="1">
      <alignment horizontal="center"/>
    </xf>
    <xf numFmtId="2" fontId="51" fillId="0" borderId="5" xfId="0" applyNumberFormat="1" applyFont="1" applyBorder="1" applyAlignment="1">
      <alignment horizontal="right" vertical="top" wrapText="1"/>
    </xf>
    <xf numFmtId="0" fontId="52" fillId="0" borderId="0" xfId="0" applyFont="1" applyAlignment="1">
      <alignment horizontal="center" vertical="top" wrapText="1"/>
    </xf>
    <xf numFmtId="0" fontId="51" fillId="0" borderId="7" xfId="0" applyFont="1" applyBorder="1" applyAlignment="1">
      <alignment horizontal="left" vertical="top" wrapText="1"/>
    </xf>
    <xf numFmtId="0" fontId="52" fillId="0" borderId="0" xfId="0" applyFont="1" applyAlignment="1">
      <alignment horizontal="center" vertical="top"/>
    </xf>
    <xf numFmtId="0" fontId="52" fillId="0" borderId="0" xfId="0" applyFont="1" applyAlignment="1">
      <alignment vertical="top"/>
    </xf>
    <xf numFmtId="2" fontId="51" fillId="0" borderId="5" xfId="0" applyNumberFormat="1" applyFont="1" applyBorder="1" applyAlignment="1">
      <alignment horizontal="justify" vertical="top" wrapText="1"/>
    </xf>
    <xf numFmtId="2" fontId="51" fillId="0" borderId="33" xfId="0" applyNumberFormat="1" applyFont="1" applyBorder="1" applyAlignment="1">
      <alignment horizontal="right" vertical="center"/>
    </xf>
    <xf numFmtId="0" fontId="62" fillId="45" borderId="5" xfId="0" applyFont="1" applyFill="1" applyBorder="1" applyAlignment="1">
      <alignment horizontal="center" vertical="top" wrapText="1"/>
    </xf>
    <xf numFmtId="0" fontId="62" fillId="45" borderId="6" xfId="0" applyFont="1" applyFill="1" applyBorder="1" applyAlignment="1">
      <alignment horizontal="right" vertical="top" wrapText="1"/>
    </xf>
    <xf numFmtId="0" fontId="62" fillId="45" borderId="7" xfId="0" applyFont="1" applyFill="1" applyBorder="1" applyAlignment="1">
      <alignment horizontal="right" vertical="top" wrapText="1"/>
    </xf>
    <xf numFmtId="0" fontId="62" fillId="45" borderId="5" xfId="0" applyFont="1" applyFill="1" applyBorder="1" applyAlignment="1">
      <alignment vertical="top" wrapText="1"/>
    </xf>
    <xf numFmtId="2" fontId="62" fillId="45" borderId="0" xfId="0" applyNumberFormat="1" applyFont="1" applyFill="1" applyAlignment="1">
      <alignment vertical="top" wrapText="1"/>
    </xf>
    <xf numFmtId="0" fontId="62" fillId="45" borderId="0" xfId="0" applyFont="1" applyFill="1" applyAlignment="1">
      <alignment vertical="top" wrapText="1"/>
    </xf>
    <xf numFmtId="0" fontId="62" fillId="45" borderId="5" xfId="0" applyFont="1" applyFill="1" applyBorder="1" applyAlignment="1">
      <alignment horizontal="center" vertical="top"/>
    </xf>
    <xf numFmtId="0" fontId="51" fillId="45" borderId="5" xfId="161" applyFont="1" applyFill="1" applyBorder="1" applyAlignment="1">
      <alignment horizontal="justify" vertical="top" wrapText="1"/>
    </xf>
    <xf numFmtId="0" fontId="62" fillId="45" borderId="6" xfId="0" applyFont="1" applyFill="1" applyBorder="1" applyAlignment="1">
      <alignment horizontal="right" vertical="top"/>
    </xf>
    <xf numFmtId="0" fontId="62" fillId="45" borderId="8" xfId="0" applyFont="1" applyFill="1" applyBorder="1" applyAlignment="1">
      <alignment horizontal="center" vertical="top"/>
    </xf>
    <xf numFmtId="0" fontId="62" fillId="45" borderId="7" xfId="0" applyFont="1" applyFill="1" applyBorder="1" applyAlignment="1">
      <alignment horizontal="left" vertical="top"/>
    </xf>
    <xf numFmtId="2" fontId="62" fillId="45" borderId="5" xfId="0" applyNumberFormat="1" applyFont="1" applyFill="1" applyBorder="1" applyAlignment="1">
      <alignment horizontal="center" vertical="top" wrapText="1"/>
    </xf>
    <xf numFmtId="168" fontId="62" fillId="45" borderId="5" xfId="0" applyNumberFormat="1" applyFont="1" applyFill="1" applyBorder="1" applyAlignment="1">
      <alignment horizontal="center" vertical="top" wrapText="1"/>
    </xf>
    <xf numFmtId="2" fontId="62" fillId="45" borderId="6" xfId="0" applyNumberFormat="1" applyFont="1" applyFill="1" applyBorder="1" applyAlignment="1">
      <alignment horizontal="right" vertical="top"/>
    </xf>
    <xf numFmtId="2" fontId="62" fillId="45" borderId="7" xfId="0" applyNumberFormat="1" applyFont="1" applyFill="1" applyBorder="1" applyAlignment="1">
      <alignment horizontal="left" vertical="top"/>
    </xf>
    <xf numFmtId="2" fontId="62" fillId="45" borderId="5" xfId="0" applyNumberFormat="1" applyFont="1" applyFill="1" applyBorder="1" applyAlignment="1">
      <alignment horizontal="center" vertical="top"/>
    </xf>
    <xf numFmtId="0" fontId="62" fillId="45" borderId="5" xfId="0" applyFont="1" applyFill="1" applyBorder="1" applyAlignment="1">
      <alignment horizontal="right" vertical="top"/>
    </xf>
    <xf numFmtId="2" fontId="62" fillId="45" borderId="0" xfId="0" applyNumberFormat="1" applyFont="1" applyFill="1" applyAlignment="1">
      <alignment vertical="top"/>
    </xf>
    <xf numFmtId="0" fontId="62" fillId="45" borderId="0" xfId="0" applyFont="1" applyFill="1" applyAlignment="1">
      <alignment vertical="top"/>
    </xf>
    <xf numFmtId="0" fontId="62" fillId="45" borderId="5" xfId="0" applyFont="1" applyFill="1" applyBorder="1" applyAlignment="1">
      <alignment horizontal="center"/>
    </xf>
    <xf numFmtId="0" fontId="62" fillId="45" borderId="6" xfId="0" applyFont="1" applyFill="1" applyBorder="1" applyAlignment="1">
      <alignment horizontal="right"/>
    </xf>
    <xf numFmtId="0" fontId="62" fillId="45" borderId="8" xfId="0" applyFont="1" applyFill="1" applyBorder="1" applyAlignment="1">
      <alignment horizontal="center"/>
    </xf>
    <xf numFmtId="0" fontId="62" fillId="45" borderId="7" xfId="0" applyFont="1" applyFill="1" applyBorder="1" applyAlignment="1">
      <alignment horizontal="left"/>
    </xf>
    <xf numFmtId="2" fontId="77" fillId="45" borderId="6" xfId="0" applyNumberFormat="1" applyFont="1" applyFill="1" applyBorder="1" applyAlignment="1">
      <alignment horizontal="right" vertical="top" wrapText="1"/>
    </xf>
    <xf numFmtId="2" fontId="77" fillId="45" borderId="7" xfId="0" applyNumberFormat="1" applyFont="1" applyFill="1" applyBorder="1" applyAlignment="1">
      <alignment horizontal="left" vertical="top"/>
    </xf>
    <xf numFmtId="2" fontId="77" fillId="45" borderId="5" xfId="0" applyNumberFormat="1" applyFont="1" applyFill="1" applyBorder="1" applyAlignment="1">
      <alignment horizontal="center" vertical="top" wrapText="1"/>
    </xf>
    <xf numFmtId="2" fontId="77" fillId="45" borderId="5" xfId="0" applyNumberFormat="1" applyFont="1" applyFill="1" applyBorder="1" applyAlignment="1">
      <alignment horizontal="right" vertical="top" wrapText="1"/>
    </xf>
    <xf numFmtId="0" fontId="62" fillId="45" borderId="0" xfId="0" applyFont="1" applyFill="1"/>
    <xf numFmtId="168" fontId="62" fillId="45" borderId="7" xfId="0" applyNumberFormat="1" applyFont="1" applyFill="1" applyBorder="1" applyAlignment="1">
      <alignment horizontal="left" vertical="top"/>
    </xf>
    <xf numFmtId="0" fontId="37" fillId="0" borderId="6" xfId="70" applyFont="1" applyBorder="1" applyAlignment="1">
      <alignment vertical="top" wrapText="1"/>
    </xf>
    <xf numFmtId="0" fontId="37" fillId="0" borderId="7" xfId="70" applyFont="1" applyBorder="1" applyAlignment="1">
      <alignment vertical="top" wrapText="1"/>
    </xf>
    <xf numFmtId="1" fontId="37" fillId="0" borderId="5" xfId="70" applyNumberFormat="1" applyFont="1" applyBorder="1" applyAlignment="1">
      <alignment horizontal="center" vertical="top"/>
    </xf>
    <xf numFmtId="0" fontId="37" fillId="0" borderId="5" xfId="70" applyFont="1" applyBorder="1" applyAlignment="1">
      <alignment vertical="top"/>
    </xf>
    <xf numFmtId="2" fontId="37" fillId="0" borderId="5" xfId="70" applyNumberFormat="1" applyFont="1" applyBorder="1" applyAlignment="1">
      <alignment horizontal="right" vertical="top"/>
    </xf>
    <xf numFmtId="2" fontId="162" fillId="0" borderId="0" xfId="70" applyNumberFormat="1" applyFont="1" applyAlignment="1">
      <alignment vertical="top" wrapText="1"/>
    </xf>
    <xf numFmtId="0" fontId="162" fillId="0" borderId="0" xfId="70" applyFont="1" applyAlignment="1">
      <alignment vertical="top" wrapText="1"/>
    </xf>
    <xf numFmtId="2" fontId="37" fillId="0" borderId="0" xfId="70" applyNumberFormat="1" applyFont="1" applyAlignment="1">
      <alignment horizontal="right" vertical="top"/>
    </xf>
    <xf numFmtId="2" fontId="162" fillId="0" borderId="5" xfId="70" applyNumberFormat="1" applyFont="1" applyBorder="1" applyAlignment="1">
      <alignment horizontal="right" vertical="top"/>
    </xf>
    <xf numFmtId="2" fontId="37" fillId="0" borderId="0" xfId="70" applyNumberFormat="1" applyFont="1" applyAlignment="1">
      <alignment vertical="top"/>
    </xf>
    <xf numFmtId="0" fontId="51" fillId="45" borderId="6" xfId="0" applyFont="1" applyFill="1" applyBorder="1" applyAlignment="1">
      <alignment horizontal="right" vertical="top"/>
    </xf>
    <xf numFmtId="0" fontId="51" fillId="45" borderId="5" xfId="0" applyFont="1" applyFill="1" applyBorder="1" applyAlignment="1">
      <alignment horizontal="right" vertical="top"/>
    </xf>
    <xf numFmtId="0" fontId="37" fillId="45" borderId="5" xfId="1237" applyFont="1" applyFill="1" applyBorder="1" applyAlignment="1">
      <alignment vertical="top" wrapText="1"/>
    </xf>
    <xf numFmtId="0" fontId="37" fillId="45" borderId="6" xfId="0" applyFont="1" applyFill="1" applyBorder="1" applyAlignment="1">
      <alignment vertical="top"/>
    </xf>
    <xf numFmtId="0" fontId="37" fillId="45" borderId="8" xfId="0" applyFont="1" applyFill="1" applyBorder="1" applyAlignment="1">
      <alignment vertical="top"/>
    </xf>
    <xf numFmtId="0" fontId="37" fillId="45" borderId="7" xfId="0" applyFont="1" applyFill="1" applyBorder="1" applyAlignment="1">
      <alignment horizontal="left" vertical="top"/>
    </xf>
    <xf numFmtId="2" fontId="37" fillId="45" borderId="5" xfId="0" applyNumberFormat="1" applyFont="1" applyFill="1" applyBorder="1" applyAlignment="1">
      <alignment horizontal="center" vertical="top"/>
    </xf>
    <xf numFmtId="2" fontId="37" fillId="45" borderId="5" xfId="1237" applyNumberFormat="1" applyFont="1" applyFill="1" applyBorder="1" applyAlignment="1">
      <alignment horizontal="center" vertical="top" wrapText="1"/>
    </xf>
    <xf numFmtId="2" fontId="37" fillId="45" borderId="6" xfId="1237" applyNumberFormat="1" applyFont="1" applyFill="1" applyBorder="1" applyAlignment="1">
      <alignment horizontal="center" vertical="top" wrapText="1"/>
    </xf>
    <xf numFmtId="2" fontId="37" fillId="45" borderId="7" xfId="1237" applyNumberFormat="1" applyFont="1" applyFill="1" applyBorder="1" applyAlignment="1">
      <alignment vertical="top" wrapText="1"/>
    </xf>
    <xf numFmtId="2" fontId="51" fillId="45" borderId="0" xfId="0" applyNumberFormat="1" applyFont="1" applyFill="1" applyAlignment="1">
      <alignment vertical="top"/>
    </xf>
    <xf numFmtId="49" fontId="51" fillId="45" borderId="7" xfId="0" applyNumberFormat="1" applyFont="1" applyFill="1" applyBorder="1" applyAlignment="1">
      <alignment horizontal="justify" vertical="top" wrapText="1"/>
    </xf>
    <xf numFmtId="0" fontId="51" fillId="45" borderId="6" xfId="0" applyFont="1" applyFill="1" applyBorder="1" applyAlignment="1">
      <alignment vertical="top"/>
    </xf>
    <xf numFmtId="0" fontId="51" fillId="45" borderId="8" xfId="0" applyFont="1" applyFill="1" applyBorder="1" applyAlignment="1">
      <alignment vertical="top"/>
    </xf>
    <xf numFmtId="2" fontId="51" fillId="45" borderId="7" xfId="0" applyNumberFormat="1" applyFont="1" applyFill="1" applyBorder="1" applyAlignment="1">
      <alignment horizontal="left" vertical="top"/>
    </xf>
    <xf numFmtId="0" fontId="51" fillId="45" borderId="7" xfId="0" applyFont="1" applyFill="1" applyBorder="1" applyAlignment="1">
      <alignment vertical="top"/>
    </xf>
    <xf numFmtId="0" fontId="51" fillId="45" borderId="6" xfId="0" applyFont="1" applyFill="1" applyBorder="1" applyAlignment="1">
      <alignment horizontal="right" vertical="center"/>
    </xf>
    <xf numFmtId="0" fontId="51" fillId="45" borderId="7" xfId="0" applyFont="1" applyFill="1" applyBorder="1" applyAlignment="1">
      <alignment horizontal="right" vertical="center"/>
    </xf>
    <xf numFmtId="0" fontId="51" fillId="45" borderId="7" xfId="0" applyFont="1" applyFill="1" applyBorder="1" applyAlignment="1">
      <alignment vertical="center"/>
    </xf>
    <xf numFmtId="0" fontId="51" fillId="45" borderId="5" xfId="0" applyFont="1" applyFill="1" applyBorder="1" applyAlignment="1">
      <alignment horizontal="right" vertical="center"/>
    </xf>
    <xf numFmtId="2" fontId="62" fillId="45" borderId="7" xfId="0" applyNumberFormat="1" applyFont="1" applyFill="1" applyBorder="1" applyAlignment="1">
      <alignment horizontal="center" vertical="top"/>
    </xf>
    <xf numFmtId="0" fontId="51" fillId="45" borderId="5" xfId="0" applyFont="1" applyFill="1" applyBorder="1" applyAlignment="1">
      <alignment horizontal="justify" vertical="center" wrapText="1"/>
    </xf>
    <xf numFmtId="0" fontId="51" fillId="45" borderId="8" xfId="0" applyFont="1" applyFill="1" applyBorder="1" applyAlignment="1">
      <alignment horizontal="justify" vertical="center"/>
    </xf>
    <xf numFmtId="0" fontId="51" fillId="45" borderId="7" xfId="0" applyFont="1" applyFill="1" applyBorder="1" applyAlignment="1">
      <alignment horizontal="left" vertical="center"/>
    </xf>
    <xf numFmtId="0" fontId="51" fillId="45" borderId="5" xfId="0" applyFont="1" applyFill="1" applyBorder="1" applyAlignment="1">
      <alignment horizontal="justify" vertical="center"/>
    </xf>
    <xf numFmtId="2" fontId="52" fillId="45" borderId="6" xfId="0" applyNumberFormat="1" applyFont="1" applyFill="1" applyBorder="1" applyAlignment="1">
      <alignment horizontal="right" vertical="center"/>
    </xf>
    <xf numFmtId="2" fontId="52" fillId="45" borderId="7" xfId="0" applyNumberFormat="1" applyFont="1" applyFill="1" applyBorder="1" applyAlignment="1">
      <alignment horizontal="center" vertical="center"/>
    </xf>
    <xf numFmtId="168" fontId="37" fillId="45" borderId="7" xfId="0" applyNumberFormat="1" applyFont="1" applyFill="1" applyBorder="1" applyAlignment="1">
      <alignment horizontal="left" vertical="top"/>
    </xf>
    <xf numFmtId="2" fontId="37" fillId="45" borderId="6" xfId="0" applyNumberFormat="1" applyFont="1" applyFill="1" applyBorder="1" applyAlignment="1">
      <alignment horizontal="right" vertical="top"/>
    </xf>
    <xf numFmtId="0" fontId="37" fillId="45" borderId="7" xfId="1237" applyFont="1" applyFill="1" applyBorder="1" applyAlignment="1">
      <alignment vertical="top" wrapText="1"/>
    </xf>
    <xf numFmtId="0" fontId="37" fillId="45" borderId="6" xfId="1237" applyFont="1" applyFill="1" applyBorder="1" applyAlignment="1">
      <alignment vertical="top"/>
    </xf>
    <xf numFmtId="0" fontId="37" fillId="45" borderId="8" xfId="1237" applyFont="1" applyFill="1" applyBorder="1" applyAlignment="1">
      <alignment vertical="top"/>
    </xf>
    <xf numFmtId="0" fontId="37" fillId="45" borderId="7" xfId="1237" applyFont="1" applyFill="1" applyBorder="1" applyAlignment="1">
      <alignment horizontal="left" vertical="top"/>
    </xf>
    <xf numFmtId="2" fontId="37" fillId="45" borderId="5" xfId="1237" applyNumberFormat="1" applyFont="1" applyFill="1" applyBorder="1" applyAlignment="1">
      <alignment horizontal="center" vertical="top"/>
    </xf>
    <xf numFmtId="2" fontId="37" fillId="45" borderId="6" xfId="1237" applyNumberFormat="1" applyFont="1" applyFill="1" applyBorder="1" applyAlignment="1">
      <alignment horizontal="right" vertical="top"/>
    </xf>
    <xf numFmtId="0" fontId="37" fillId="45" borderId="0" xfId="1237" applyFont="1" applyFill="1" applyAlignment="1">
      <alignment vertical="top"/>
    </xf>
    <xf numFmtId="2" fontId="37" fillId="45" borderId="6" xfId="0" applyNumberFormat="1" applyFont="1" applyFill="1" applyBorder="1" applyAlignment="1">
      <alignment horizontal="center" vertical="top"/>
    </xf>
    <xf numFmtId="168" fontId="51" fillId="0" borderId="6" xfId="0" applyNumberFormat="1" applyFont="1" applyBorder="1" applyAlignment="1">
      <alignment horizontal="right" vertical="top" wrapText="1"/>
    </xf>
    <xf numFmtId="2" fontId="35" fillId="0" borderId="5" xfId="70" applyNumberFormat="1" applyFont="1" applyBorder="1" applyAlignment="1">
      <alignment horizontal="right" vertical="top" wrapText="1"/>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5" xfId="70" applyFont="1" applyBorder="1" applyAlignment="1">
      <alignment horizontal="center" vertical="top"/>
    </xf>
    <xf numFmtId="0" fontId="162" fillId="0" borderId="5" xfId="70" applyFont="1" applyBorder="1" applyAlignment="1">
      <alignment horizontal="center" vertical="top"/>
    </xf>
    <xf numFmtId="2" fontId="62" fillId="0" borderId="5" xfId="0" applyNumberFormat="1" applyFont="1" applyBorder="1" applyAlignment="1">
      <alignment vertical="top" wrapText="1"/>
    </xf>
    <xf numFmtId="0" fontId="186" fillId="0" borderId="5" xfId="0" applyFont="1" applyBorder="1" applyAlignment="1">
      <alignment horizontal="justify" vertical="top" wrapText="1"/>
    </xf>
    <xf numFmtId="2" fontId="51" fillId="0" borderId="6" xfId="982" applyNumberFormat="1" applyFont="1" applyBorder="1" applyAlignment="1">
      <alignment horizontal="right" vertical="top"/>
    </xf>
    <xf numFmtId="2" fontId="51" fillId="0" borderId="8" xfId="982" applyNumberFormat="1" applyFont="1" applyBorder="1" applyAlignment="1">
      <alignment horizontal="left" vertical="top"/>
    </xf>
    <xf numFmtId="2" fontId="51" fillId="0" borderId="6" xfId="982" applyNumberFormat="1" applyFont="1" applyBorder="1" applyAlignment="1">
      <alignment horizontal="center" vertical="top"/>
    </xf>
    <xf numFmtId="2" fontId="62" fillId="0" borderId="5" xfId="982" applyNumberFormat="1" applyFont="1" applyBorder="1" applyAlignment="1">
      <alignment horizontal="right" vertical="top" wrapText="1"/>
    </xf>
    <xf numFmtId="0" fontId="51" fillId="0" borderId="0" xfId="982" applyFont="1"/>
    <xf numFmtId="0" fontId="40" fillId="0" borderId="5" xfId="30" applyFont="1" applyBorder="1" applyAlignment="1">
      <alignment horizontal="center" vertical="center" wrapText="1"/>
    </xf>
    <xf numFmtId="168" fontId="187" fillId="45" borderId="7" xfId="0" applyNumberFormat="1" applyFont="1" applyFill="1" applyBorder="1" applyAlignment="1">
      <alignment horizontal="left" vertical="top"/>
    </xf>
    <xf numFmtId="2" fontId="35" fillId="0" borderId="5" xfId="0" applyNumberFormat="1" applyFont="1" applyBorder="1" applyAlignment="1">
      <alignment horizontal="right" vertical="top"/>
    </xf>
    <xf numFmtId="2" fontId="136" fillId="0" borderId="6" xfId="69" applyNumberFormat="1" applyFont="1" applyBorder="1" applyAlignment="1">
      <alignment horizontal="right" vertical="top" wrapText="1"/>
    </xf>
    <xf numFmtId="0" fontId="116" fillId="45" borderId="5" xfId="29" applyFont="1" applyFill="1" applyBorder="1" applyAlignment="1">
      <alignment horizontal="center" vertical="center" wrapText="1"/>
    </xf>
    <xf numFmtId="0" fontId="57" fillId="45" borderId="40" xfId="1241" applyFont="1" applyFill="1" applyBorder="1" applyAlignment="1">
      <alignment horizontal="justify" vertical="top" wrapText="1"/>
    </xf>
    <xf numFmtId="0" fontId="55" fillId="0" borderId="0" xfId="0" applyFont="1" applyAlignment="1">
      <alignment horizontal="center" vertical="top" wrapText="1"/>
    </xf>
    <xf numFmtId="0" fontId="55" fillId="0" borderId="0" xfId="0" applyFont="1" applyAlignment="1">
      <alignment horizontal="left" vertical="top" wrapText="1"/>
    </xf>
    <xf numFmtId="0" fontId="52" fillId="0" borderId="6" xfId="0"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0" fontId="51" fillId="0" borderId="7" xfId="0" applyFont="1" applyBorder="1" applyAlignment="1">
      <alignment horizontal="center" vertical="top" wrapText="1"/>
    </xf>
    <xf numFmtId="2" fontId="51" fillId="0" borderId="0" xfId="29" applyNumberFormat="1" applyFont="1"/>
    <xf numFmtId="0" fontId="52" fillId="0" borderId="0" xfId="29" applyFont="1" applyAlignment="1">
      <alignment horizontal="left"/>
    </xf>
    <xf numFmtId="0" fontId="55" fillId="0" borderId="0" xfId="29" applyFont="1" applyAlignment="1">
      <alignment horizontal="right"/>
    </xf>
    <xf numFmtId="2" fontId="55" fillId="0" borderId="0" xfId="29" applyNumberFormat="1" applyFont="1" applyAlignment="1">
      <alignment horizontal="left"/>
    </xf>
    <xf numFmtId="2" fontId="51" fillId="0" borderId="0" xfId="29" applyNumberFormat="1" applyFont="1" applyAlignment="1">
      <alignment horizontal="center"/>
    </xf>
    <xf numFmtId="0" fontId="51" fillId="0" borderId="5" xfId="29" applyFont="1" applyBorder="1" applyAlignment="1">
      <alignment horizontal="center" vertical="center" wrapText="1"/>
    </xf>
    <xf numFmtId="2" fontId="51" fillId="0" borderId="5" xfId="29" applyNumberFormat="1" applyFont="1" applyBorder="1" applyAlignment="1">
      <alignment horizontal="center" vertical="center" wrapText="1"/>
    </xf>
    <xf numFmtId="2" fontId="51" fillId="0" borderId="0" xfId="29" applyNumberFormat="1" applyFont="1" applyAlignment="1">
      <alignment vertical="center"/>
    </xf>
    <xf numFmtId="0" fontId="116" fillId="0" borderId="5" xfId="29" applyFont="1" applyBorder="1" applyAlignment="1">
      <alignment vertical="top" wrapText="1"/>
    </xf>
    <xf numFmtId="0" fontId="116" fillId="0" borderId="5" xfId="29" applyFont="1" applyBorder="1" applyAlignment="1">
      <alignment horizontal="left" vertical="center" wrapText="1"/>
    </xf>
    <xf numFmtId="0" fontId="67" fillId="0" borderId="5" xfId="29" applyFont="1" applyBorder="1" applyAlignment="1">
      <alignment horizontal="right" vertical="center" wrapText="1"/>
    </xf>
    <xf numFmtId="0" fontId="116" fillId="0" borderId="5" xfId="29" applyFont="1" applyBorder="1" applyAlignment="1">
      <alignment horizontal="center" wrapText="1"/>
    </xf>
    <xf numFmtId="0" fontId="116" fillId="0" borderId="5" xfId="29" applyFont="1" applyBorder="1" applyAlignment="1">
      <alignment wrapText="1"/>
    </xf>
    <xf numFmtId="0" fontId="67" fillId="0" borderId="5" xfId="29" applyFont="1" applyBorder="1" applyAlignment="1">
      <alignment wrapText="1"/>
    </xf>
    <xf numFmtId="0" fontId="67" fillId="0" borderId="5" xfId="29" applyFont="1" applyBorder="1" applyAlignment="1">
      <alignment horizontal="center" wrapText="1"/>
    </xf>
    <xf numFmtId="2" fontId="67" fillId="0" borderId="5" xfId="29" applyNumberFormat="1" applyFont="1" applyBorder="1" applyAlignment="1">
      <alignment horizontal="right" wrapText="1"/>
    </xf>
    <xf numFmtId="1" fontId="52" fillId="0" borderId="0" xfId="29" applyNumberFormat="1" applyFont="1"/>
    <xf numFmtId="0" fontId="116" fillId="0" borderId="5" xfId="29" applyFont="1" applyBorder="1" applyAlignment="1">
      <alignment horizontal="center" vertical="top" wrapText="1"/>
    </xf>
    <xf numFmtId="0" fontId="67" fillId="0" borderId="5" xfId="29" applyFont="1" applyBorder="1" applyAlignment="1">
      <alignment horizontal="center" vertical="top" wrapText="1"/>
    </xf>
    <xf numFmtId="2" fontId="69" fillId="0" borderId="29" xfId="29" applyNumberFormat="1" applyFont="1" applyBorder="1" applyAlignment="1">
      <alignment horizontal="right" wrapText="1"/>
    </xf>
    <xf numFmtId="0" fontId="51" fillId="0" borderId="0" xfId="29" applyFont="1" applyAlignment="1">
      <alignment horizontal="right"/>
    </xf>
    <xf numFmtId="2" fontId="70" fillId="0" borderId="0" xfId="29" applyNumberFormat="1" applyFont="1"/>
    <xf numFmtId="2" fontId="70" fillId="0" borderId="0" xfId="29" applyNumberFormat="1" applyFont="1" applyAlignment="1">
      <alignment horizontal="center"/>
    </xf>
    <xf numFmtId="168" fontId="187" fillId="0" borderId="7" xfId="0" applyNumberFormat="1" applyFont="1" applyBorder="1" applyAlignment="1">
      <alignment horizontal="left" vertical="top"/>
    </xf>
    <xf numFmtId="0" fontId="37" fillId="0" borderId="6" xfId="0" applyFont="1" applyBorder="1" applyAlignment="1">
      <alignment vertical="top"/>
    </xf>
    <xf numFmtId="0" fontId="37" fillId="0" borderId="8" xfId="0" applyFont="1" applyBorder="1" applyAlignment="1">
      <alignment vertical="top"/>
    </xf>
    <xf numFmtId="2" fontId="37" fillId="0" borderId="5" xfId="0" applyNumberFormat="1" applyFont="1" applyBorder="1" applyAlignment="1">
      <alignment horizontal="center" vertical="top"/>
    </xf>
    <xf numFmtId="2" fontId="37" fillId="0" borderId="5" xfId="1237" applyNumberFormat="1" applyFont="1" applyBorder="1" applyAlignment="1">
      <alignment horizontal="center" vertical="top" wrapText="1"/>
    </xf>
    <xf numFmtId="2" fontId="37" fillId="0" borderId="6" xfId="1237" applyNumberFormat="1" applyFont="1" applyBorder="1" applyAlignment="1">
      <alignment horizontal="center" vertical="top" wrapText="1"/>
    </xf>
    <xf numFmtId="2" fontId="37" fillId="0" borderId="6" xfId="0" applyNumberFormat="1" applyFont="1" applyBorder="1" applyAlignment="1">
      <alignment horizontal="right" vertical="top"/>
    </xf>
    <xf numFmtId="2" fontId="37" fillId="0" borderId="7" xfId="1237" applyNumberFormat="1" applyFont="1" applyBorder="1" applyAlignment="1">
      <alignment vertical="top" wrapText="1"/>
    </xf>
    <xf numFmtId="0" fontId="51" fillId="0" borderId="6" xfId="0" applyFont="1" applyBorder="1" applyAlignment="1">
      <alignment horizontal="right" vertical="top"/>
    </xf>
    <xf numFmtId="0" fontId="51" fillId="0" borderId="7" xfId="0" applyFont="1" applyBorder="1" applyAlignment="1">
      <alignment horizontal="left" vertical="top"/>
    </xf>
    <xf numFmtId="0" fontId="51" fillId="0" borderId="5" xfId="0" applyFont="1" applyBorder="1" applyAlignment="1">
      <alignment vertical="top"/>
    </xf>
    <xf numFmtId="0" fontId="51" fillId="0" borderId="5" xfId="0" applyFont="1" applyBorder="1" applyAlignment="1">
      <alignment horizontal="right" vertical="top"/>
    </xf>
    <xf numFmtId="0" fontId="52" fillId="0" borderId="0" xfId="0" applyFont="1" applyAlignment="1">
      <alignment vertical="top" wrapText="1"/>
    </xf>
    <xf numFmtId="0" fontId="37" fillId="0" borderId="7" xfId="1237" applyFont="1" applyBorder="1" applyAlignment="1">
      <alignment vertical="top" wrapText="1"/>
    </xf>
    <xf numFmtId="0" fontId="37" fillId="0" borderId="6" xfId="1237" applyFont="1" applyBorder="1" applyAlignment="1">
      <alignment vertical="top"/>
    </xf>
    <xf numFmtId="0" fontId="37" fillId="0" borderId="8" xfId="1237" applyFont="1" applyBorder="1" applyAlignment="1">
      <alignment vertical="top"/>
    </xf>
    <xf numFmtId="0" fontId="37" fillId="0" borderId="7" xfId="1237" applyFont="1" applyBorder="1" applyAlignment="1">
      <alignment horizontal="left" vertical="top"/>
    </xf>
    <xf numFmtId="2" fontId="37" fillId="0" borderId="5" xfId="1237" applyNumberFormat="1" applyFont="1" applyBorder="1" applyAlignment="1">
      <alignment horizontal="center" vertical="top"/>
    </xf>
    <xf numFmtId="2" fontId="37" fillId="0" borderId="6" xfId="1237" applyNumberFormat="1" applyFont="1" applyBorder="1" applyAlignment="1">
      <alignment horizontal="right" vertical="top"/>
    </xf>
    <xf numFmtId="2" fontId="51" fillId="0" borderId="0" xfId="0" applyNumberFormat="1" applyFont="1" applyAlignment="1">
      <alignment vertical="top"/>
    </xf>
    <xf numFmtId="0" fontId="37" fillId="0" borderId="0" xfId="1237" applyFont="1" applyAlignment="1">
      <alignment vertical="top"/>
    </xf>
    <xf numFmtId="168" fontId="37" fillId="0" borderId="7" xfId="0" applyNumberFormat="1" applyFont="1" applyBorder="1" applyAlignment="1">
      <alignment horizontal="left" vertical="top"/>
    </xf>
    <xf numFmtId="2" fontId="37" fillId="0" borderId="6" xfId="0" applyNumberFormat="1" applyFont="1" applyBorder="1" applyAlignment="1">
      <alignment horizontal="center" vertical="top"/>
    </xf>
    <xf numFmtId="0" fontId="51" fillId="0" borderId="7" xfId="0" applyFont="1" applyBorder="1" applyAlignment="1">
      <alignment vertical="top"/>
    </xf>
    <xf numFmtId="0" fontId="51" fillId="0" borderId="6" xfId="0" applyFont="1" applyBorder="1" applyAlignment="1">
      <alignment vertical="top"/>
    </xf>
    <xf numFmtId="0" fontId="51" fillId="0" borderId="8" xfId="0" applyFont="1" applyBorder="1" applyAlignment="1">
      <alignment vertical="top"/>
    </xf>
    <xf numFmtId="0" fontId="37" fillId="0" borderId="5" xfId="1237" applyFont="1" applyBorder="1" applyAlignment="1">
      <alignment vertical="top" wrapText="1"/>
    </xf>
    <xf numFmtId="0" fontId="37" fillId="0" borderId="7" xfId="0" applyFont="1" applyBorder="1" applyAlignment="1">
      <alignment horizontal="left" vertical="top"/>
    </xf>
    <xf numFmtId="49" fontId="51" fillId="0" borderId="7" xfId="0" applyNumberFormat="1" applyFont="1" applyBorder="1" applyAlignment="1">
      <alignment horizontal="justify" vertical="top" wrapText="1"/>
    </xf>
    <xf numFmtId="0" fontId="51" fillId="0" borderId="6" xfId="0" applyFont="1" applyBorder="1" applyAlignment="1">
      <alignment horizontal="right" vertical="center"/>
    </xf>
    <xf numFmtId="0" fontId="51" fillId="0" borderId="7" xfId="0" applyFont="1" applyBorder="1" applyAlignment="1">
      <alignment horizontal="right" vertical="center"/>
    </xf>
    <xf numFmtId="0" fontId="51" fillId="0" borderId="7" xfId="0" applyFont="1" applyBorder="1" applyAlignment="1">
      <alignment vertical="center"/>
    </xf>
    <xf numFmtId="2" fontId="62" fillId="0" borderId="7" xfId="0" applyNumberFormat="1" applyFont="1" applyBorder="1" applyAlignment="1">
      <alignment horizontal="center" vertical="top"/>
    </xf>
    <xf numFmtId="0" fontId="51" fillId="0" borderId="5" xfId="0" applyFont="1" applyBorder="1" applyAlignment="1">
      <alignment horizontal="justify" vertical="center" wrapText="1"/>
    </xf>
    <xf numFmtId="0" fontId="51" fillId="0" borderId="8" xfId="0" applyFont="1" applyBorder="1" applyAlignment="1">
      <alignment horizontal="justify" vertical="center"/>
    </xf>
    <xf numFmtId="0" fontId="51" fillId="0" borderId="7" xfId="0" applyFont="1" applyBorder="1" applyAlignment="1">
      <alignment horizontal="left" vertical="center"/>
    </xf>
    <xf numFmtId="0" fontId="51" fillId="0" borderId="5" xfId="0" applyFont="1" applyBorder="1" applyAlignment="1">
      <alignment horizontal="justify" vertical="center"/>
    </xf>
    <xf numFmtId="176" fontId="51" fillId="0" borderId="5" xfId="0" applyNumberFormat="1" applyFont="1" applyBorder="1" applyAlignment="1">
      <alignment horizontal="justify" vertical="top" wrapText="1"/>
    </xf>
    <xf numFmtId="176" fontId="51" fillId="0" borderId="5" xfId="0" applyNumberFormat="1" applyFont="1" applyBorder="1" applyAlignment="1">
      <alignment horizontal="center" vertical="top" wrapText="1"/>
    </xf>
    <xf numFmtId="2" fontId="51" fillId="0" borderId="5" xfId="0" applyNumberFormat="1" applyFont="1" applyBorder="1" applyAlignment="1">
      <alignment vertical="top"/>
    </xf>
    <xf numFmtId="0" fontId="67" fillId="0" borderId="0" xfId="0" applyFont="1" applyAlignment="1">
      <alignment vertical="top"/>
    </xf>
    <xf numFmtId="0" fontId="51" fillId="0" borderId="6" xfId="0" applyFont="1" applyBorder="1" applyAlignment="1">
      <alignment horizontal="justify" vertical="top" wrapText="1"/>
    </xf>
    <xf numFmtId="0" fontId="51" fillId="0" borderId="8" xfId="0" applyFont="1" applyBorder="1" applyAlignment="1">
      <alignment horizontal="left" vertical="top" wrapText="1"/>
    </xf>
    <xf numFmtId="176" fontId="51" fillId="0" borderId="5" xfId="0" applyNumberFormat="1" applyFont="1" applyBorder="1" applyAlignment="1">
      <alignment horizontal="center" vertical="top"/>
    </xf>
    <xf numFmtId="0" fontId="52" fillId="0" borderId="5" xfId="0" applyFont="1" applyBorder="1" applyAlignment="1">
      <alignment horizontal="justify" vertical="top" wrapText="1"/>
    </xf>
    <xf numFmtId="176" fontId="52" fillId="0" borderId="5" xfId="0" applyNumberFormat="1" applyFont="1" applyBorder="1" applyAlignment="1">
      <alignment horizontal="center" vertical="top"/>
    </xf>
    <xf numFmtId="176" fontId="52" fillId="0" borderId="5" xfId="0" applyNumberFormat="1" applyFont="1" applyBorder="1" applyAlignment="1">
      <alignment horizontal="justify" vertical="top" wrapText="1"/>
    </xf>
    <xf numFmtId="2" fontId="174" fillId="0" borderId="5" xfId="0" applyNumberFormat="1" applyFont="1" applyBorder="1" applyAlignment="1">
      <alignment horizontal="center" vertical="top" wrapText="1"/>
    </xf>
    <xf numFmtId="2" fontId="52" fillId="0" borderId="5" xfId="0" applyNumberFormat="1" applyFont="1" applyBorder="1" applyAlignment="1">
      <alignment vertical="top"/>
    </xf>
    <xf numFmtId="2" fontId="51" fillId="0" borderId="6" xfId="0" applyNumberFormat="1" applyFont="1" applyBorder="1" applyAlignment="1">
      <alignment horizontal="right"/>
    </xf>
    <xf numFmtId="2" fontId="52" fillId="0" borderId="30" xfId="0" applyNumberFormat="1" applyFont="1" applyBorder="1" applyAlignment="1">
      <alignment horizontal="right" vertical="top"/>
    </xf>
    <xf numFmtId="176" fontId="174" fillId="0" borderId="5" xfId="0" applyNumberFormat="1" applyFont="1" applyBorder="1" applyAlignment="1">
      <alignment horizontal="center" vertical="top"/>
    </xf>
    <xf numFmtId="2" fontId="52" fillId="0" borderId="32" xfId="0" applyNumberFormat="1" applyFont="1" applyBorder="1" applyAlignment="1">
      <alignment horizontal="right" vertical="top"/>
    </xf>
    <xf numFmtId="2" fontId="52" fillId="0" borderId="33" xfId="0" applyNumberFormat="1" applyFont="1" applyBorder="1" applyAlignment="1">
      <alignment horizontal="right" vertical="center"/>
    </xf>
    <xf numFmtId="2" fontId="51" fillId="0" borderId="30" xfId="0" applyNumberFormat="1" applyFont="1" applyBorder="1" applyAlignment="1">
      <alignment horizontal="right" vertical="top"/>
    </xf>
    <xf numFmtId="176" fontId="174" fillId="0" borderId="5" xfId="0" applyNumberFormat="1" applyFont="1" applyBorder="1" applyAlignment="1">
      <alignment horizontal="justify" vertical="top" wrapText="1"/>
    </xf>
    <xf numFmtId="176" fontId="175" fillId="0" borderId="5" xfId="0" applyNumberFormat="1" applyFont="1" applyBorder="1" applyAlignment="1">
      <alignment horizontal="justify" vertical="top" wrapText="1"/>
    </xf>
    <xf numFmtId="2" fontId="51" fillId="0" borderId="31" xfId="0" applyNumberFormat="1" applyFont="1" applyBorder="1" applyAlignment="1">
      <alignment horizontal="right" vertical="center"/>
    </xf>
    <xf numFmtId="2" fontId="114" fillId="0" borderId="6" xfId="0" applyNumberFormat="1" applyFont="1" applyBorder="1" applyAlignment="1">
      <alignment horizontal="right" vertical="center"/>
    </xf>
    <xf numFmtId="0" fontId="114" fillId="0" borderId="7" xfId="0" applyFont="1" applyBorder="1" applyAlignment="1">
      <alignment horizontal="left" vertical="center" wrapText="1"/>
    </xf>
    <xf numFmtId="0" fontId="115" fillId="0" borderId="5" xfId="0" applyFont="1" applyBorder="1" applyAlignment="1">
      <alignment vertical="center" wrapText="1"/>
    </xf>
    <xf numFmtId="0" fontId="115" fillId="0" borderId="5" xfId="0" applyFont="1" applyBorder="1" applyAlignment="1">
      <alignment horizontal="center" vertical="center" wrapText="1"/>
    </xf>
    <xf numFmtId="2" fontId="114" fillId="0" borderId="5" xfId="55" applyNumberFormat="1" applyFont="1" applyBorder="1" applyAlignment="1">
      <alignment horizontal="center" vertical="center"/>
    </xf>
    <xf numFmtId="0" fontId="114" fillId="0" borderId="5" xfId="0" applyFont="1" applyBorder="1" applyAlignment="1">
      <alignment vertical="center" wrapText="1"/>
    </xf>
    <xf numFmtId="2" fontId="114" fillId="0" borderId="5" xfId="1232" applyNumberFormat="1" applyFont="1" applyBorder="1" applyAlignment="1">
      <alignment horizontal="center" vertical="center"/>
    </xf>
    <xf numFmtId="0" fontId="114" fillId="0" borderId="5" xfId="0" applyFont="1" applyBorder="1" applyAlignment="1">
      <alignment horizontal="center" vertical="center" wrapText="1"/>
    </xf>
    <xf numFmtId="2" fontId="51" fillId="0" borderId="5" xfId="1233" applyNumberFormat="1" applyFont="1" applyBorder="1" applyAlignment="1">
      <alignment horizontal="center" vertical="center" wrapText="1"/>
    </xf>
    <xf numFmtId="0" fontId="114" fillId="0" borderId="5" xfId="0" applyFont="1" applyBorder="1" applyAlignment="1">
      <alignment vertical="center"/>
    </xf>
    <xf numFmtId="0" fontId="114" fillId="0" borderId="5" xfId="0" applyFont="1" applyBorder="1" applyAlignment="1">
      <alignment horizontal="center" vertical="center"/>
    </xf>
    <xf numFmtId="2" fontId="51" fillId="0" borderId="5" xfId="0" applyNumberFormat="1" applyFont="1" applyBorder="1" applyAlignment="1">
      <alignment horizontal="center" vertical="center" wrapText="1"/>
    </xf>
    <xf numFmtId="4" fontId="114" fillId="0" borderId="5" xfId="55" applyNumberFormat="1" applyFont="1" applyBorder="1" applyAlignment="1">
      <alignment horizontal="center" vertical="center"/>
    </xf>
    <xf numFmtId="0" fontId="51" fillId="0" borderId="7" xfId="0" applyFont="1" applyBorder="1" applyAlignment="1">
      <alignment horizontal="left" vertical="center" wrapText="1"/>
    </xf>
    <xf numFmtId="0" fontId="52" fillId="0" borderId="5" xfId="0" applyFont="1" applyBorder="1" applyAlignment="1">
      <alignment vertical="top" wrapText="1"/>
    </xf>
    <xf numFmtId="172" fontId="52" fillId="0" borderId="5" xfId="0" applyNumberFormat="1" applyFont="1" applyBorder="1" applyAlignment="1">
      <alignment horizontal="center" vertical="top" wrapText="1"/>
    </xf>
    <xf numFmtId="0" fontId="52" fillId="0" borderId="7" xfId="0" applyFont="1" applyBorder="1" applyAlignment="1">
      <alignment horizontal="left" vertical="top" wrapText="1"/>
    </xf>
    <xf numFmtId="0" fontId="52" fillId="0" borderId="5" xfId="0" applyFont="1" applyBorder="1" applyAlignment="1">
      <alignment vertical="top"/>
    </xf>
    <xf numFmtId="176" fontId="51" fillId="0" borderId="5" xfId="0" applyNumberFormat="1" applyFont="1" applyBorder="1" applyAlignment="1">
      <alignment horizontal="right" vertical="top" wrapText="1"/>
    </xf>
    <xf numFmtId="0" fontId="51" fillId="0" borderId="0" xfId="0" applyFont="1" applyAlignment="1">
      <alignment vertical="top" wrapText="1"/>
    </xf>
    <xf numFmtId="4" fontId="51" fillId="0" borderId="6" xfId="0" applyNumberFormat="1" applyFont="1" applyBorder="1" applyAlignment="1">
      <alignment horizontal="right" vertical="top" wrapText="1"/>
    </xf>
    <xf numFmtId="0" fontId="57" fillId="0" borderId="55" xfId="0" applyFont="1" applyBorder="1" applyAlignment="1">
      <alignment horizontal="center" vertical="top" wrapText="1"/>
    </xf>
    <xf numFmtId="2" fontId="52" fillId="0" borderId="6" xfId="0" applyNumberFormat="1" applyFont="1" applyBorder="1" applyAlignment="1">
      <alignment horizontal="center" vertical="top" wrapText="1"/>
    </xf>
    <xf numFmtId="2" fontId="52" fillId="0" borderId="7" xfId="0" applyNumberFormat="1" applyFont="1" applyBorder="1" applyAlignment="1">
      <alignment horizontal="left" vertical="top" wrapText="1"/>
    </xf>
    <xf numFmtId="0" fontId="52" fillId="0" borderId="5" xfId="0" applyFont="1" applyBorder="1" applyAlignment="1">
      <alignment horizontal="left" vertical="top" wrapText="1"/>
    </xf>
    <xf numFmtId="2" fontId="52" fillId="0" borderId="5" xfId="0" applyNumberFormat="1" applyFont="1" applyBorder="1" applyAlignment="1">
      <alignment horizontal="right" vertical="top" wrapText="1"/>
    </xf>
    <xf numFmtId="176" fontId="52" fillId="0" borderId="5" xfId="0" applyNumberFormat="1" applyFont="1" applyBorder="1" applyAlignment="1">
      <alignment horizontal="right" vertical="top" wrapText="1"/>
    </xf>
    <xf numFmtId="0" fontId="51" fillId="0" borderId="27" xfId="0" applyFont="1" applyBorder="1"/>
    <xf numFmtId="177" fontId="51" fillId="0" borderId="5" xfId="0" applyNumberFormat="1" applyFont="1" applyBorder="1" applyAlignment="1">
      <alignment horizontal="center" vertical="top" wrapText="1"/>
    </xf>
    <xf numFmtId="178" fontId="51" fillId="0" borderId="5" xfId="0" applyNumberFormat="1" applyFont="1" applyBorder="1" applyAlignment="1">
      <alignment horizontal="center" vertical="top" wrapText="1"/>
    </xf>
    <xf numFmtId="176" fontId="51" fillId="0" borderId="6" xfId="0" applyNumberFormat="1" applyFont="1" applyBorder="1" applyAlignment="1">
      <alignment horizontal="right" vertical="top" wrapText="1"/>
    </xf>
    <xf numFmtId="178" fontId="51" fillId="0" borderId="7" xfId="0" applyNumberFormat="1" applyFont="1" applyBorder="1" applyAlignment="1">
      <alignment horizontal="left" vertical="top" wrapText="1"/>
    </xf>
    <xf numFmtId="0" fontId="51" fillId="0" borderId="5" xfId="0" applyFont="1" applyBorder="1" applyAlignment="1">
      <alignment horizontal="justify" vertical="top" wrapText="1" shrinkToFit="1"/>
    </xf>
    <xf numFmtId="176" fontId="174" fillId="0" borderId="5" xfId="0" applyNumberFormat="1" applyFont="1" applyBorder="1" applyAlignment="1">
      <alignment horizontal="center" vertical="top" wrapText="1"/>
    </xf>
    <xf numFmtId="0" fontId="174" fillId="0" borderId="5" xfId="0" applyFont="1" applyBorder="1" applyAlignment="1">
      <alignment horizontal="center" vertical="top"/>
    </xf>
    <xf numFmtId="0" fontId="175" fillId="0" borderId="6" xfId="0" applyFont="1" applyBorder="1" applyAlignment="1">
      <alignment horizontal="center" vertical="top" wrapText="1"/>
    </xf>
    <xf numFmtId="0" fontId="175" fillId="0" borderId="7" xfId="0" applyFont="1" applyBorder="1" applyAlignment="1">
      <alignment horizontal="left" vertical="top" wrapText="1"/>
    </xf>
    <xf numFmtId="0" fontId="174" fillId="0" borderId="5" xfId="0" applyFont="1" applyBorder="1" applyAlignment="1">
      <alignment horizontal="justify" vertical="top" wrapText="1"/>
    </xf>
    <xf numFmtId="178" fontId="174" fillId="0" borderId="5" xfId="0" applyNumberFormat="1" applyFont="1" applyBorder="1" applyAlignment="1">
      <alignment horizontal="center" vertical="top" wrapText="1"/>
    </xf>
    <xf numFmtId="177" fontId="174" fillId="0" borderId="5" xfId="0" applyNumberFormat="1" applyFont="1" applyBorder="1" applyAlignment="1">
      <alignment horizontal="center" vertical="top" wrapText="1"/>
    </xf>
    <xf numFmtId="176" fontId="175" fillId="0" borderId="5" xfId="0" applyNumberFormat="1" applyFont="1" applyBorder="1" applyAlignment="1">
      <alignment horizontal="right" vertical="top" wrapText="1"/>
    </xf>
    <xf numFmtId="0" fontId="181" fillId="0" borderId="55" xfId="0" applyFont="1" applyBorder="1" applyAlignment="1">
      <alignment horizontal="center" vertical="top" wrapText="1"/>
    </xf>
    <xf numFmtId="0" fontId="174" fillId="0" borderId="27" xfId="0" applyFont="1" applyBorder="1"/>
    <xf numFmtId="0" fontId="175" fillId="0" borderId="5" xfId="0" applyFont="1" applyBorder="1" applyAlignment="1">
      <alignment horizontal="justify" vertical="top" wrapText="1"/>
    </xf>
    <xf numFmtId="0" fontId="52" fillId="0" borderId="6" xfId="1232" applyFont="1" applyBorder="1" applyAlignment="1">
      <alignment horizontal="center" vertical="top" wrapText="1"/>
    </xf>
    <xf numFmtId="0" fontId="52" fillId="0" borderId="7" xfId="1232" applyFont="1" applyBorder="1" applyAlignment="1">
      <alignment horizontal="left" vertical="top" wrapText="1"/>
    </xf>
    <xf numFmtId="2" fontId="51" fillId="0" borderId="5" xfId="1233" applyNumberFormat="1" applyFont="1" applyBorder="1" applyAlignment="1">
      <alignment horizontal="center" vertical="top" wrapText="1"/>
    </xf>
    <xf numFmtId="2" fontId="52" fillId="0" borderId="5" xfId="1233" applyNumberFormat="1" applyFont="1" applyBorder="1" applyAlignment="1">
      <alignment horizontal="right" vertical="top" wrapText="1"/>
    </xf>
    <xf numFmtId="0" fontId="52" fillId="0" borderId="6" xfId="1233" applyFont="1" applyBorder="1" applyAlignment="1">
      <alignment horizontal="center" vertical="top" wrapText="1"/>
    </xf>
    <xf numFmtId="0" fontId="52" fillId="0" borderId="7" xfId="1233" applyFont="1" applyBorder="1" applyAlignment="1">
      <alignment horizontal="left" vertical="top" wrapText="1"/>
    </xf>
    <xf numFmtId="177" fontId="51" fillId="0" borderId="6" xfId="0" applyNumberFormat="1" applyFont="1" applyBorder="1" applyAlignment="1">
      <alignment horizontal="right" vertical="top" wrapText="1"/>
    </xf>
    <xf numFmtId="178" fontId="51" fillId="0" borderId="7" xfId="0" applyNumberFormat="1" applyFont="1" applyBorder="1" applyAlignment="1">
      <alignment horizontal="center" vertical="top" wrapText="1"/>
    </xf>
    <xf numFmtId="0" fontId="174" fillId="0" borderId="5" xfId="0" applyFont="1" applyBorder="1" applyAlignment="1">
      <alignment horizontal="center" vertical="top" wrapText="1"/>
    </xf>
    <xf numFmtId="2" fontId="51" fillId="0" borderId="7" xfId="0" applyNumberFormat="1" applyFont="1" applyBorder="1" applyAlignment="1">
      <alignment horizontal="left" vertical="top" wrapText="1"/>
    </xf>
    <xf numFmtId="0" fontId="51" fillId="0" borderId="8" xfId="0" applyFont="1" applyBorder="1" applyAlignment="1">
      <alignment horizontal="justify" vertical="top" wrapText="1"/>
    </xf>
    <xf numFmtId="0" fontId="51" fillId="0" borderId="6" xfId="0" applyFont="1" applyBorder="1" applyAlignment="1">
      <alignment vertical="top" wrapText="1"/>
    </xf>
    <xf numFmtId="0" fontId="51" fillId="0" borderId="8" xfId="0" applyFont="1" applyBorder="1" applyAlignment="1">
      <alignment vertical="top" wrapText="1"/>
    </xf>
    <xf numFmtId="168" fontId="37" fillId="0" borderId="6" xfId="0" applyNumberFormat="1" applyFont="1" applyBorder="1" applyAlignment="1">
      <alignment horizontal="right" vertical="top" wrapText="1"/>
    </xf>
    <xf numFmtId="0" fontId="37" fillId="0" borderId="5" xfId="0" applyFont="1" applyBorder="1" applyAlignment="1">
      <alignment horizontal="justify" vertical="top" wrapText="1"/>
    </xf>
    <xf numFmtId="0" fontId="51" fillId="0" borderId="7" xfId="0" applyFont="1" applyBorder="1" applyAlignment="1">
      <alignment horizontal="left"/>
    </xf>
    <xf numFmtId="168" fontId="51" fillId="0" borderId="6" xfId="0" applyNumberFormat="1" applyFont="1" applyBorder="1" applyAlignment="1">
      <alignment horizontal="right"/>
    </xf>
    <xf numFmtId="0" fontId="52" fillId="0" borderId="5" xfId="1232" applyFont="1" applyBorder="1" applyAlignment="1">
      <alignment horizontal="center" vertical="top" wrapText="1"/>
    </xf>
    <xf numFmtId="0" fontId="51" fillId="0" borderId="5" xfId="1232" applyFont="1" applyBorder="1" applyAlignment="1">
      <alignment horizontal="center" vertical="top" wrapText="1"/>
    </xf>
    <xf numFmtId="0" fontId="51" fillId="0" borderId="5" xfId="1232" applyFont="1" applyBorder="1" applyAlignment="1">
      <alignment vertical="top" wrapText="1"/>
    </xf>
    <xf numFmtId="0" fontId="51" fillId="0" borderId="0" xfId="1232" applyFont="1" applyAlignment="1">
      <alignment vertical="top" wrapText="1"/>
    </xf>
    <xf numFmtId="0" fontId="52" fillId="0" borderId="6" xfId="1232" applyFont="1" applyBorder="1" applyAlignment="1">
      <alignment vertical="top" wrapText="1"/>
    </xf>
    <xf numFmtId="0" fontId="52" fillId="0" borderId="7" xfId="1232" applyFont="1" applyBorder="1" applyAlignment="1">
      <alignment vertical="top" wrapText="1"/>
    </xf>
    <xf numFmtId="4" fontId="51" fillId="0" borderId="5" xfId="0" applyNumberFormat="1" applyFont="1" applyBorder="1" applyAlignment="1">
      <alignment horizontal="center" vertical="top" wrapText="1"/>
    </xf>
    <xf numFmtId="0" fontId="70" fillId="0" borderId="5" xfId="0" applyFont="1" applyBorder="1" applyAlignment="1">
      <alignment horizontal="justify" vertical="top" wrapText="1"/>
    </xf>
    <xf numFmtId="0" fontId="70" fillId="0" borderId="5" xfId="0" applyFont="1" applyBorder="1" applyAlignment="1">
      <alignment horizontal="center" vertical="top" wrapText="1"/>
    </xf>
    <xf numFmtId="2" fontId="51" fillId="0" borderId="31" xfId="0" applyNumberFormat="1" applyFont="1" applyBorder="1" applyAlignment="1">
      <alignment horizontal="right" vertical="top" wrapText="1"/>
    </xf>
    <xf numFmtId="2" fontId="52" fillId="0" borderId="5" xfId="0" applyNumberFormat="1" applyFont="1" applyBorder="1" applyAlignment="1">
      <alignment horizontal="justify" vertical="top" wrapText="1"/>
    </xf>
    <xf numFmtId="2" fontId="37" fillId="0" borderId="5" xfId="0" applyNumberFormat="1" applyFont="1" applyBorder="1" applyAlignment="1">
      <alignment horizontal="center" vertical="center"/>
    </xf>
    <xf numFmtId="2" fontId="51" fillId="0" borderId="30" xfId="0" applyNumberFormat="1" applyFont="1" applyBorder="1" applyAlignment="1">
      <alignment horizontal="right" vertical="center"/>
    </xf>
    <xf numFmtId="9" fontId="52" fillId="0" borderId="5" xfId="1125" applyFont="1" applyFill="1" applyBorder="1" applyAlignment="1">
      <alignment vertical="top"/>
    </xf>
    <xf numFmtId="9" fontId="52" fillId="0" borderId="5" xfId="1125" applyFont="1" applyFill="1" applyBorder="1" applyAlignment="1">
      <alignment horizontal="right" vertical="top" wrapText="1"/>
    </xf>
    <xf numFmtId="2" fontId="52" fillId="0" borderId="5" xfId="0" applyNumberFormat="1" applyFont="1" applyBorder="1" applyAlignment="1">
      <alignment horizontal="right" vertical="top"/>
    </xf>
    <xf numFmtId="176" fontId="51" fillId="0" borderId="6" xfId="0" applyNumberFormat="1" applyFont="1" applyBorder="1" applyAlignment="1">
      <alignment horizontal="left" vertical="top" wrapText="1" indent="2"/>
    </xf>
    <xf numFmtId="181" fontId="51" fillId="0" borderId="6" xfId="0" applyNumberFormat="1" applyFont="1" applyBorder="1" applyAlignment="1">
      <alignment horizontal="left" vertical="top" wrapText="1" indent="2"/>
    </xf>
    <xf numFmtId="0" fontId="62" fillId="46" borderId="5" xfId="0" applyFont="1" applyFill="1" applyBorder="1" applyAlignment="1">
      <alignment horizontal="center" vertical="top" wrapText="1"/>
    </xf>
    <xf numFmtId="0" fontId="62" fillId="46" borderId="6" xfId="0" applyFont="1" applyFill="1" applyBorder="1" applyAlignment="1">
      <alignment horizontal="right" vertical="top" wrapText="1"/>
    </xf>
    <xf numFmtId="0" fontId="62" fillId="46" borderId="7" xfId="0" applyFont="1" applyFill="1" applyBorder="1" applyAlignment="1">
      <alignment horizontal="right" vertical="top" wrapText="1"/>
    </xf>
    <xf numFmtId="0" fontId="62" fillId="46" borderId="5" xfId="0" applyFont="1" applyFill="1" applyBorder="1" applyAlignment="1">
      <alignment vertical="top" wrapText="1"/>
    </xf>
    <xf numFmtId="0" fontId="62" fillId="46" borderId="0" xfId="0" applyFont="1" applyFill="1" applyAlignment="1">
      <alignment vertical="top" wrapText="1"/>
    </xf>
    <xf numFmtId="0" fontId="62" fillId="46" borderId="5" xfId="0" applyFont="1" applyFill="1" applyBorder="1" applyAlignment="1">
      <alignment horizontal="center" vertical="top"/>
    </xf>
    <xf numFmtId="0" fontId="51" fillId="46" borderId="5" xfId="161" applyFont="1" applyFill="1" applyBorder="1" applyAlignment="1">
      <alignment horizontal="justify" vertical="top" wrapText="1"/>
    </xf>
    <xf numFmtId="0" fontId="62" fillId="46" borderId="6" xfId="0" applyFont="1" applyFill="1" applyBorder="1" applyAlignment="1">
      <alignment horizontal="right" vertical="top"/>
    </xf>
    <xf numFmtId="0" fontId="62" fillId="46" borderId="8" xfId="0" applyFont="1" applyFill="1" applyBorder="1" applyAlignment="1">
      <alignment horizontal="center" vertical="top"/>
    </xf>
    <xf numFmtId="0" fontId="62" fillId="46" borderId="7" xfId="0" applyFont="1" applyFill="1" applyBorder="1" applyAlignment="1">
      <alignment horizontal="left" vertical="top"/>
    </xf>
    <xf numFmtId="2" fontId="62" fillId="46" borderId="5" xfId="0" applyNumberFormat="1" applyFont="1" applyFill="1" applyBorder="1" applyAlignment="1">
      <alignment horizontal="center" vertical="top" wrapText="1"/>
    </xf>
    <xf numFmtId="168" fontId="62" fillId="46" borderId="5" xfId="0" applyNumberFormat="1" applyFont="1" applyFill="1" applyBorder="1" applyAlignment="1">
      <alignment horizontal="center" vertical="top" wrapText="1"/>
    </xf>
    <xf numFmtId="2" fontId="62" fillId="46" borderId="6" xfId="0" applyNumberFormat="1" applyFont="1" applyFill="1" applyBorder="1" applyAlignment="1">
      <alignment horizontal="right" vertical="top"/>
    </xf>
    <xf numFmtId="2" fontId="62" fillId="46" borderId="7" xfId="0" applyNumberFormat="1" applyFont="1" applyFill="1" applyBorder="1" applyAlignment="1">
      <alignment horizontal="left" vertical="top"/>
    </xf>
    <xf numFmtId="2" fontId="62" fillId="46" borderId="5" xfId="0" applyNumberFormat="1" applyFont="1" applyFill="1" applyBorder="1" applyAlignment="1">
      <alignment horizontal="center" vertical="top"/>
    </xf>
    <xf numFmtId="0" fontId="62" fillId="46" borderId="5" xfId="0" applyFont="1" applyFill="1" applyBorder="1" applyAlignment="1">
      <alignment horizontal="right" vertical="top"/>
    </xf>
    <xf numFmtId="2" fontId="62" fillId="46" borderId="0" xfId="0" applyNumberFormat="1" applyFont="1" applyFill="1" applyAlignment="1">
      <alignment vertical="top"/>
    </xf>
    <xf numFmtId="0" fontId="62" fillId="46" borderId="0" xfId="0" applyFont="1" applyFill="1" applyAlignment="1">
      <alignment vertical="top"/>
    </xf>
    <xf numFmtId="0" fontId="62" fillId="46" borderId="5" xfId="0" applyFont="1" applyFill="1" applyBorder="1" applyAlignment="1">
      <alignment horizontal="center"/>
    </xf>
    <xf numFmtId="0" fontId="62" fillId="46" borderId="6" xfId="0" applyFont="1" applyFill="1" applyBorder="1" applyAlignment="1">
      <alignment horizontal="right"/>
    </xf>
    <xf numFmtId="0" fontId="62" fillId="46" borderId="8" xfId="0" applyFont="1" applyFill="1" applyBorder="1" applyAlignment="1">
      <alignment horizontal="center"/>
    </xf>
    <xf numFmtId="0" fontId="62" fillId="46" borderId="7" xfId="0" applyFont="1" applyFill="1" applyBorder="1" applyAlignment="1">
      <alignment horizontal="left"/>
    </xf>
    <xf numFmtId="2" fontId="77" fillId="46" borderId="6" xfId="0" applyNumberFormat="1" applyFont="1" applyFill="1" applyBorder="1" applyAlignment="1">
      <alignment horizontal="right" vertical="top" wrapText="1"/>
    </xf>
    <xf numFmtId="2" fontId="77" fillId="46" borderId="5" xfId="0" applyNumberFormat="1" applyFont="1" applyFill="1" applyBorder="1" applyAlignment="1">
      <alignment horizontal="center" vertical="top" wrapText="1"/>
    </xf>
    <xf numFmtId="2" fontId="77" fillId="46" borderId="5" xfId="0" applyNumberFormat="1" applyFont="1" applyFill="1" applyBorder="1" applyAlignment="1">
      <alignment horizontal="right" vertical="top" wrapText="1"/>
    </xf>
    <xf numFmtId="0" fontId="62" fillId="46" borderId="0" xfId="0" applyFont="1" applyFill="1"/>
    <xf numFmtId="2" fontId="77" fillId="46" borderId="7" xfId="0" applyNumberFormat="1" applyFont="1" applyFill="1" applyBorder="1" applyAlignment="1">
      <alignment horizontal="left" vertical="top"/>
    </xf>
    <xf numFmtId="2" fontId="62" fillId="46" borderId="0" xfId="0" applyNumberFormat="1" applyFont="1" applyFill="1" applyAlignment="1">
      <alignment vertical="top" wrapText="1"/>
    </xf>
    <xf numFmtId="2" fontId="51" fillId="46" borderId="5" xfId="0" applyNumberFormat="1" applyFont="1" applyFill="1" applyBorder="1" applyAlignment="1">
      <alignment horizontal="center" vertical="top"/>
    </xf>
    <xf numFmtId="168" fontId="187" fillId="46" borderId="7" xfId="0" applyNumberFormat="1" applyFont="1" applyFill="1" applyBorder="1" applyAlignment="1">
      <alignment horizontal="left" vertical="top"/>
    </xf>
    <xf numFmtId="0" fontId="37" fillId="0" borderId="6" xfId="70" applyFont="1" applyBorder="1" applyAlignment="1">
      <alignment vertical="top"/>
    </xf>
    <xf numFmtId="2" fontId="37" fillId="0" borderId="5" xfId="70" applyNumberFormat="1" applyFont="1" applyBorder="1" applyAlignment="1">
      <alignment vertical="top"/>
    </xf>
    <xf numFmtId="2" fontId="37" fillId="0" borderId="5" xfId="70" applyNumberFormat="1" applyFont="1" applyBorder="1" applyAlignment="1">
      <alignment horizontal="center" vertical="top"/>
    </xf>
    <xf numFmtId="2" fontId="37" fillId="0" borderId="6" xfId="70" applyNumberFormat="1" applyFont="1" applyBorder="1" applyAlignment="1">
      <alignment horizontal="left" vertical="top"/>
    </xf>
    <xf numFmtId="2" fontId="37" fillId="0" borderId="6" xfId="70" applyNumberFormat="1" applyFont="1" applyBorder="1" applyAlignment="1">
      <alignment horizontal="center" vertical="top"/>
    </xf>
    <xf numFmtId="2" fontId="162" fillId="0" borderId="6" xfId="70" applyNumberFormat="1" applyFont="1" applyBorder="1" applyAlignment="1">
      <alignment horizontal="right" vertical="top"/>
    </xf>
    <xf numFmtId="2" fontId="37" fillId="0" borderId="6" xfId="70" applyNumberFormat="1" applyFont="1" applyBorder="1" applyAlignment="1">
      <alignment horizontal="right" vertical="top"/>
    </xf>
    <xf numFmtId="0" fontId="37" fillId="0" borderId="5" xfId="70" applyFont="1" applyBorder="1" applyAlignment="1">
      <alignment vertical="top" wrapText="1"/>
    </xf>
    <xf numFmtId="2" fontId="37" fillId="0" borderId="5" xfId="70" applyNumberFormat="1" applyFont="1" applyBorder="1" applyAlignment="1">
      <alignment horizontal="left" vertical="top"/>
    </xf>
    <xf numFmtId="168" fontId="37" fillId="0" borderId="5" xfId="70" applyNumberFormat="1" applyFont="1" applyBorder="1" applyAlignment="1">
      <alignment horizontal="center" vertical="top"/>
    </xf>
    <xf numFmtId="167" fontId="37" fillId="0" borderId="5" xfId="70" applyNumberFormat="1" applyFont="1" applyBorder="1" applyAlignment="1">
      <alignment vertical="top"/>
    </xf>
    <xf numFmtId="168" fontId="37" fillId="0" borderId="5" xfId="70" applyNumberFormat="1" applyFont="1" applyBorder="1" applyAlignment="1">
      <alignment vertical="top"/>
    </xf>
    <xf numFmtId="168" fontId="37" fillId="0" borderId="5" xfId="70" applyNumberFormat="1" applyFont="1" applyBorder="1" applyAlignment="1">
      <alignment horizontal="right" vertical="top"/>
    </xf>
    <xf numFmtId="2" fontId="37" fillId="0" borderId="8" xfId="70" applyNumberFormat="1" applyFont="1" applyBorder="1" applyAlignment="1">
      <alignment horizontal="center" vertical="top"/>
    </xf>
    <xf numFmtId="2" fontId="37" fillId="0" borderId="8" xfId="70" applyNumberFormat="1" applyFont="1" applyBorder="1" applyAlignment="1">
      <alignment horizontal="right" vertical="top"/>
    </xf>
    <xf numFmtId="0" fontId="58" fillId="0" borderId="8" xfId="0" applyFont="1" applyBorder="1" applyAlignment="1">
      <alignment horizontal="left" vertical="center"/>
    </xf>
    <xf numFmtId="0" fontId="51" fillId="0" borderId="0" xfId="33" applyFont="1" applyAlignment="1">
      <alignment vertical="top"/>
    </xf>
    <xf numFmtId="0" fontId="52" fillId="0" borderId="5" xfId="1416" applyFont="1" applyBorder="1" applyAlignment="1">
      <alignment horizontal="center" vertical="top" wrapText="1"/>
    </xf>
    <xf numFmtId="0" fontId="52" fillId="0" borderId="5" xfId="1416" applyFont="1" applyBorder="1" applyAlignment="1">
      <alignment horizontal="center" vertical="top"/>
    </xf>
    <xf numFmtId="0" fontId="51" fillId="0" borderId="5" xfId="1416" applyFont="1" applyBorder="1" applyAlignment="1">
      <alignment horizontal="center" vertical="top"/>
    </xf>
    <xf numFmtId="0" fontId="52" fillId="0" borderId="5" xfId="1416" applyFont="1" applyBorder="1" applyAlignment="1">
      <alignment horizontal="center" vertical="top" textRotation="90" wrapText="1"/>
    </xf>
    <xf numFmtId="0" fontId="51" fillId="0" borderId="5" xfId="1416" applyFont="1" applyBorder="1" applyAlignment="1">
      <alignment horizontal="justify" vertical="top" wrapText="1"/>
    </xf>
    <xf numFmtId="0" fontId="51" fillId="0" borderId="5" xfId="1416" applyFont="1" applyBorder="1" applyAlignment="1">
      <alignment vertical="top"/>
    </xf>
    <xf numFmtId="0" fontId="52" fillId="0" borderId="5" xfId="1416" applyFont="1" applyBorder="1" applyAlignment="1">
      <alignment horizontal="left" vertical="top"/>
    </xf>
    <xf numFmtId="0" fontId="52" fillId="0" borderId="5" xfId="1416" applyFont="1" applyBorder="1" applyAlignment="1">
      <alignment vertical="top"/>
    </xf>
    <xf numFmtId="2" fontId="51" fillId="0" borderId="5" xfId="1416" applyNumberFormat="1" applyFont="1" applyBorder="1" applyAlignment="1">
      <alignment horizontal="right" vertical="top"/>
    </xf>
    <xf numFmtId="2" fontId="51" fillId="0" borderId="5" xfId="1416" applyNumberFormat="1" applyFont="1" applyBorder="1" applyAlignment="1">
      <alignment vertical="top"/>
    </xf>
    <xf numFmtId="2" fontId="52" fillId="0" borderId="5" xfId="1416" applyNumberFormat="1" applyFont="1" applyBorder="1" applyAlignment="1">
      <alignment vertical="top"/>
    </xf>
    <xf numFmtId="0" fontId="51" fillId="0" borderId="0" xfId="1416" applyFont="1" applyAlignment="1">
      <alignment vertical="top"/>
    </xf>
    <xf numFmtId="0" fontId="51" fillId="0" borderId="5" xfId="1416" applyFont="1" applyBorder="1" applyAlignment="1">
      <alignment horizontal="center" vertical="top" wrapText="1"/>
    </xf>
    <xf numFmtId="0" fontId="51" fillId="0" borderId="5" xfId="1416" applyFont="1" applyBorder="1" applyAlignment="1">
      <alignment horizontal="right" vertical="top" wrapText="1"/>
    </xf>
    <xf numFmtId="0" fontId="52" fillId="0" borderId="5" xfId="1416" applyFont="1" applyBorder="1" applyAlignment="1">
      <alignment horizontal="justify" vertical="top" wrapText="1"/>
    </xf>
    <xf numFmtId="2" fontId="51" fillId="0" borderId="5" xfId="1416" applyNumberFormat="1" applyFont="1" applyBorder="1" applyAlignment="1">
      <alignment horizontal="right" vertical="top" wrapText="1"/>
    </xf>
    <xf numFmtId="2" fontId="51" fillId="0" borderId="0" xfId="1416" applyNumberFormat="1" applyFont="1" applyAlignment="1">
      <alignment horizontal="center" vertical="top" wrapText="1"/>
    </xf>
    <xf numFmtId="2" fontId="51" fillId="0" borderId="0" xfId="1416" applyNumberFormat="1" applyFont="1" applyAlignment="1">
      <alignment horizontal="right" vertical="top" wrapText="1"/>
    </xf>
    <xf numFmtId="0" fontId="51" fillId="0" borderId="0" xfId="1416" applyFont="1" applyAlignment="1">
      <alignment horizontal="center" vertical="top"/>
    </xf>
    <xf numFmtId="176" fontId="52" fillId="0" borderId="5" xfId="1416" applyNumberFormat="1" applyFont="1" applyBorder="1" applyAlignment="1">
      <alignment horizontal="right" vertical="top" wrapText="1"/>
    </xf>
    <xf numFmtId="2" fontId="51" fillId="0" borderId="5" xfId="1416" applyNumberFormat="1" applyFont="1" applyBorder="1" applyAlignment="1">
      <alignment horizontal="center" vertical="top" wrapText="1"/>
    </xf>
    <xf numFmtId="176" fontId="51" fillId="0" borderId="5" xfId="1416" applyNumberFormat="1" applyFont="1" applyBorder="1" applyAlignment="1">
      <alignment horizontal="right" vertical="top" wrapText="1"/>
    </xf>
    <xf numFmtId="176" fontId="52" fillId="0" borderId="5" xfId="1416" applyNumberFormat="1" applyFont="1" applyBorder="1" applyAlignment="1">
      <alignment vertical="top"/>
    </xf>
    <xf numFmtId="10" fontId="52" fillId="0" borderId="5" xfId="1416" applyNumberFormat="1" applyFont="1" applyBorder="1" applyAlignment="1">
      <alignment horizontal="center" vertical="top" wrapText="1"/>
    </xf>
    <xf numFmtId="9" fontId="52" fillId="0" borderId="5" xfId="1416" applyNumberFormat="1" applyFont="1" applyBorder="1" applyAlignment="1">
      <alignment horizontal="right" vertical="top" wrapText="1"/>
    </xf>
    <xf numFmtId="0" fontId="52" fillId="0" borderId="0" xfId="1416" applyFont="1" applyAlignment="1">
      <alignment vertical="top"/>
    </xf>
    <xf numFmtId="2" fontId="52" fillId="0" borderId="0" xfId="1416" applyNumberFormat="1" applyFont="1" applyAlignment="1">
      <alignment vertical="top"/>
    </xf>
    <xf numFmtId="0" fontId="52" fillId="0" borderId="5" xfId="1416" applyFont="1" applyBorder="1" applyAlignment="1">
      <alignment horizontal="center" vertical="top" textRotation="90"/>
    </xf>
    <xf numFmtId="177" fontId="51" fillId="0" borderId="5" xfId="1416" applyNumberFormat="1" applyFont="1" applyBorder="1" applyAlignment="1">
      <alignment horizontal="center" vertical="top" wrapText="1"/>
    </xf>
    <xf numFmtId="0" fontId="51" fillId="0" borderId="5" xfId="1416" applyFont="1" applyBorder="1" applyAlignment="1">
      <alignment horizontal="right" vertical="top"/>
    </xf>
    <xf numFmtId="176" fontId="51" fillId="0" borderId="5" xfId="1416" applyNumberFormat="1" applyFont="1" applyBorder="1" applyAlignment="1">
      <alignment horizontal="center" vertical="top" wrapText="1"/>
    </xf>
    <xf numFmtId="179" fontId="52" fillId="0" borderId="5" xfId="1416" applyNumberFormat="1" applyFont="1" applyBorder="1" applyAlignment="1">
      <alignment horizontal="right" vertical="top" wrapText="1"/>
    </xf>
    <xf numFmtId="2" fontId="52" fillId="0" borderId="59" xfId="1416" applyNumberFormat="1" applyFont="1" applyBorder="1" applyAlignment="1">
      <alignment vertical="top"/>
    </xf>
    <xf numFmtId="0" fontId="52" fillId="0" borderId="57" xfId="1416" applyFont="1" applyBorder="1" applyAlignment="1">
      <alignment horizontal="center" vertical="top"/>
    </xf>
    <xf numFmtId="2" fontId="52" fillId="0" borderId="58" xfId="1416" applyNumberFormat="1" applyFont="1" applyBorder="1" applyAlignment="1">
      <alignment vertical="top"/>
    </xf>
    <xf numFmtId="0" fontId="51" fillId="0" borderId="57" xfId="1416" applyFont="1" applyBorder="1" applyAlignment="1">
      <alignment horizontal="center" vertical="top"/>
    </xf>
    <xf numFmtId="2" fontId="51" fillId="0" borderId="58" xfId="1416" applyNumberFormat="1" applyFont="1" applyBorder="1" applyAlignment="1">
      <alignment vertical="top"/>
    </xf>
    <xf numFmtId="0" fontId="51" fillId="0" borderId="5" xfId="1416" applyFont="1" applyBorder="1" applyAlignment="1">
      <alignment horizontal="left" vertical="top" wrapText="1"/>
    </xf>
    <xf numFmtId="2" fontId="51" fillId="0" borderId="58" xfId="1416" applyNumberFormat="1" applyFont="1" applyBorder="1" applyAlignment="1">
      <alignment horizontal="right" vertical="top"/>
    </xf>
    <xf numFmtId="176" fontId="52" fillId="0" borderId="58" xfId="1416" applyNumberFormat="1" applyFont="1" applyBorder="1" applyAlignment="1">
      <alignment horizontal="right" vertical="top" wrapText="1"/>
    </xf>
    <xf numFmtId="2" fontId="52" fillId="0" borderId="58" xfId="1416" applyNumberFormat="1" applyFont="1" applyBorder="1" applyAlignment="1">
      <alignment horizontal="right" vertical="top"/>
    </xf>
    <xf numFmtId="0" fontId="51" fillId="0" borderId="5" xfId="1416" applyFont="1" applyBorder="1" applyAlignment="1">
      <alignment vertical="top" wrapText="1"/>
    </xf>
    <xf numFmtId="2" fontId="52" fillId="0" borderId="5" xfId="1416" applyNumberFormat="1" applyFont="1" applyBorder="1" applyAlignment="1">
      <alignment horizontal="right" vertical="top"/>
    </xf>
    <xf numFmtId="0" fontId="51" fillId="0" borderId="5" xfId="1417" applyFont="1" applyBorder="1" applyAlignment="1">
      <alignment horizontal="center" vertical="top" wrapText="1"/>
    </xf>
    <xf numFmtId="0" fontId="52" fillId="0" borderId="5" xfId="1416" applyFont="1" applyBorder="1" applyAlignment="1">
      <alignment vertical="top" wrapText="1"/>
    </xf>
    <xf numFmtId="0" fontId="51" fillId="0" borderId="5" xfId="1417" applyFont="1" applyBorder="1" applyAlignment="1">
      <alignment horizontal="right" vertical="top" wrapText="1"/>
    </xf>
    <xf numFmtId="0" fontId="51" fillId="0" borderId="5" xfId="1417" applyFont="1" applyBorder="1" applyAlignment="1">
      <alignment vertical="top" wrapText="1"/>
    </xf>
    <xf numFmtId="2" fontId="51" fillId="0" borderId="5" xfId="1417" applyNumberFormat="1" applyFont="1" applyBorder="1" applyAlignment="1">
      <alignment horizontal="right" vertical="top" wrapText="1"/>
    </xf>
    <xf numFmtId="4" fontId="51" fillId="0" borderId="5" xfId="1417" applyNumberFormat="1" applyFont="1" applyBorder="1" applyAlignment="1">
      <alignment horizontal="right" vertical="top" wrapText="1"/>
    </xf>
    <xf numFmtId="176" fontId="52" fillId="0" borderId="5" xfId="1417" applyNumberFormat="1" applyFont="1" applyBorder="1" applyAlignment="1">
      <alignment vertical="top" wrapText="1"/>
    </xf>
    <xf numFmtId="0" fontId="52" fillId="0" borderId="5" xfId="1417" applyFont="1" applyBorder="1" applyAlignment="1">
      <alignment horizontal="center" vertical="top" wrapText="1"/>
    </xf>
    <xf numFmtId="0" fontId="51" fillId="0" borderId="5" xfId="1232" applyFont="1" applyBorder="1" applyAlignment="1">
      <alignment horizontal="right" vertical="top" wrapText="1"/>
    </xf>
    <xf numFmtId="2" fontId="51" fillId="0" borderId="5" xfId="1232" applyNumberFormat="1" applyFont="1" applyBorder="1" applyAlignment="1">
      <alignment horizontal="center" vertical="top" wrapText="1"/>
    </xf>
    <xf numFmtId="0" fontId="52" fillId="0" borderId="5" xfId="1232" applyFont="1" applyBorder="1" applyAlignment="1">
      <alignment vertical="top" wrapText="1"/>
    </xf>
    <xf numFmtId="2" fontId="51" fillId="0" borderId="5" xfId="1232" applyNumberFormat="1" applyFont="1" applyBorder="1" applyAlignment="1">
      <alignment horizontal="right" vertical="top" wrapText="1"/>
    </xf>
    <xf numFmtId="2" fontId="51" fillId="0" borderId="5" xfId="1418" applyNumberFormat="1" applyFont="1" applyBorder="1" applyAlignment="1">
      <alignment vertical="top" wrapText="1"/>
    </xf>
    <xf numFmtId="0" fontId="51" fillId="0" borderId="5" xfId="1232" applyFont="1" applyBorder="1" applyAlignment="1">
      <alignment horizontal="justify" vertical="top" wrapText="1"/>
    </xf>
    <xf numFmtId="2" fontId="52" fillId="0" borderId="5" xfId="1418" applyNumberFormat="1" applyFont="1" applyBorder="1" applyAlignment="1">
      <alignment vertical="top" wrapText="1"/>
    </xf>
    <xf numFmtId="0" fontId="134" fillId="0" borderId="5" xfId="1232" applyFont="1" applyBorder="1" applyAlignment="1">
      <alignment vertical="top" wrapText="1"/>
    </xf>
    <xf numFmtId="0" fontId="51" fillId="0" borderId="0" xfId="1417" applyFont="1" applyAlignment="1">
      <alignment vertical="top" wrapText="1"/>
    </xf>
    <xf numFmtId="2" fontId="52" fillId="0" borderId="5" xfId="1232" applyNumberFormat="1" applyFont="1" applyBorder="1" applyAlignment="1">
      <alignment horizontal="right" vertical="top" wrapText="1"/>
    </xf>
    <xf numFmtId="0" fontId="51" fillId="0" borderId="0" xfId="1416" applyFont="1" applyAlignment="1">
      <alignment vertical="top" wrapText="1"/>
    </xf>
    <xf numFmtId="0" fontId="52" fillId="0" borderId="5" xfId="1416" applyFont="1" applyBorder="1" applyAlignment="1">
      <alignment vertical="top" textRotation="90" wrapText="1"/>
    </xf>
    <xf numFmtId="0" fontId="52" fillId="0" borderId="5" xfId="1418" applyFont="1" applyBorder="1" applyAlignment="1">
      <alignment horizontal="center" vertical="top" wrapText="1"/>
    </xf>
    <xf numFmtId="2" fontId="52" fillId="0" borderId="0" xfId="1418" applyNumberFormat="1" applyFont="1" applyAlignment="1">
      <alignment vertical="top" wrapText="1"/>
    </xf>
    <xf numFmtId="0" fontId="51" fillId="0" borderId="0" xfId="33" applyFont="1" applyAlignment="1">
      <alignment horizontal="center" vertical="top"/>
    </xf>
    <xf numFmtId="0" fontId="37" fillId="47" borderId="5" xfId="0" applyFont="1" applyFill="1" applyBorder="1" applyAlignment="1">
      <alignment horizontal="center" vertical="top"/>
    </xf>
    <xf numFmtId="168" fontId="37" fillId="47" borderId="6" xfId="0" applyNumberFormat="1" applyFont="1" applyFill="1" applyBorder="1" applyAlignment="1">
      <alignment vertical="top" wrapText="1"/>
    </xf>
    <xf numFmtId="0" fontId="37" fillId="47" borderId="7" xfId="0" applyFont="1" applyFill="1" applyBorder="1" applyAlignment="1">
      <alignment vertical="top" wrapText="1"/>
    </xf>
    <xf numFmtId="0" fontId="162" fillId="47" borderId="5" xfId="0" applyFont="1" applyFill="1" applyBorder="1" applyAlignment="1">
      <alignment horizontal="justify" vertical="top" wrapText="1"/>
    </xf>
    <xf numFmtId="2" fontId="37" fillId="47" borderId="5" xfId="0" applyNumberFormat="1" applyFont="1" applyFill="1" applyBorder="1" applyAlignment="1">
      <alignment horizontal="justify" vertical="top" wrapText="1"/>
    </xf>
    <xf numFmtId="2" fontId="37" fillId="47" borderId="5" xfId="0" applyNumberFormat="1" applyFont="1" applyFill="1" applyBorder="1" applyAlignment="1">
      <alignment horizontal="center" vertical="top"/>
    </xf>
    <xf numFmtId="2" fontId="37" fillId="47" borderId="5" xfId="0" applyNumberFormat="1" applyFont="1" applyFill="1" applyBorder="1" applyAlignment="1">
      <alignment horizontal="center" vertical="center"/>
    </xf>
    <xf numFmtId="2" fontId="37" fillId="47" borderId="5" xfId="0" applyNumberFormat="1" applyFont="1" applyFill="1" applyBorder="1" applyAlignment="1">
      <alignment horizontal="right" vertical="top"/>
    </xf>
    <xf numFmtId="0" fontId="37" fillId="47" borderId="34" xfId="0" applyFont="1" applyFill="1" applyBorder="1" applyAlignment="1">
      <alignment horizontal="center" vertical="top" wrapText="1"/>
    </xf>
    <xf numFmtId="0" fontId="37" fillId="47" borderId="0" xfId="0" applyFont="1" applyFill="1" applyAlignment="1">
      <alignment horizontal="center"/>
    </xf>
    <xf numFmtId="0" fontId="37" fillId="47" borderId="0" xfId="0" applyFont="1" applyFill="1"/>
    <xf numFmtId="2" fontId="37" fillId="47" borderId="6" xfId="0" applyNumberFormat="1" applyFont="1" applyFill="1" applyBorder="1" applyAlignment="1">
      <alignment vertical="top" wrapText="1"/>
    </xf>
    <xf numFmtId="0" fontId="37" fillId="47" borderId="5" xfId="0" applyFont="1" applyFill="1" applyBorder="1" applyAlignment="1">
      <alignment horizontal="justify" vertical="top" wrapText="1"/>
    </xf>
    <xf numFmtId="0" fontId="37" fillId="47" borderId="5" xfId="0" applyFont="1" applyFill="1" applyBorder="1" applyAlignment="1">
      <alignment horizontal="center" vertical="top" wrapText="1"/>
    </xf>
    <xf numFmtId="0" fontId="51" fillId="0" borderId="8" xfId="0" applyFont="1" applyBorder="1" applyAlignment="1">
      <alignment horizontal="center" vertical="top" wrapText="1"/>
    </xf>
    <xf numFmtId="0" fontId="37" fillId="0" borderId="5" xfId="0" applyFont="1" applyBorder="1" applyAlignment="1">
      <alignment horizontal="center" vertical="top"/>
    </xf>
    <xf numFmtId="168" fontId="37" fillId="0" borderId="6" xfId="0" applyNumberFormat="1" applyFont="1" applyBorder="1" applyAlignment="1">
      <alignment vertical="top" wrapText="1"/>
    </xf>
    <xf numFmtId="0" fontId="37" fillId="0" borderId="7" xfId="0" applyFont="1" applyBorder="1" applyAlignment="1">
      <alignment vertical="top" wrapText="1"/>
    </xf>
    <xf numFmtId="0" fontId="162" fillId="0" borderId="5" xfId="0" applyFont="1" applyBorder="1" applyAlignment="1">
      <alignment horizontal="justify" vertical="top" wrapText="1"/>
    </xf>
    <xf numFmtId="2" fontId="37" fillId="0" borderId="5" xfId="0" applyNumberFormat="1" applyFont="1" applyBorder="1" applyAlignment="1">
      <alignment horizontal="justify" vertical="top" wrapText="1"/>
    </xf>
    <xf numFmtId="2" fontId="37" fillId="0" borderId="5" xfId="0" applyNumberFormat="1" applyFont="1" applyBorder="1" applyAlignment="1">
      <alignment horizontal="right" vertical="top"/>
    </xf>
    <xf numFmtId="0" fontId="37" fillId="0" borderId="34" xfId="0" applyFont="1" applyBorder="1" applyAlignment="1">
      <alignment horizontal="center" vertical="top" wrapText="1"/>
    </xf>
    <xf numFmtId="0" fontId="37" fillId="0" borderId="0" xfId="0" applyFont="1"/>
    <xf numFmtId="2" fontId="37" fillId="0" borderId="6" xfId="0" applyNumberFormat="1" applyFont="1" applyBorder="1" applyAlignment="1">
      <alignment vertical="top" wrapText="1"/>
    </xf>
    <xf numFmtId="0" fontId="37" fillId="0" borderId="5" xfId="0" applyFont="1" applyBorder="1" applyAlignment="1">
      <alignment horizontal="center" vertical="top" wrapText="1"/>
    </xf>
    <xf numFmtId="0" fontId="62" fillId="0" borderId="6" xfId="0" applyFont="1" applyBorder="1" applyAlignment="1">
      <alignment horizontal="center"/>
    </xf>
    <xf numFmtId="0" fontId="62" fillId="0" borderId="8" xfId="0" applyFont="1" applyBorder="1" applyAlignment="1">
      <alignment horizontal="right"/>
    </xf>
    <xf numFmtId="0" fontId="62" fillId="0" borderId="8" xfId="0" applyFont="1" applyBorder="1" applyAlignment="1">
      <alignment horizontal="left"/>
    </xf>
    <xf numFmtId="0" fontId="62" fillId="0" borderId="7" xfId="0" applyFont="1" applyBorder="1" applyAlignment="1">
      <alignment horizontal="center"/>
    </xf>
    <xf numFmtId="2" fontId="77" fillId="0" borderId="7" xfId="0" applyNumberFormat="1" applyFont="1" applyBorder="1" applyAlignment="1">
      <alignment horizontal="center" vertical="top" wrapText="1"/>
    </xf>
    <xf numFmtId="0" fontId="10" fillId="0" borderId="0" xfId="0" applyFont="1"/>
    <xf numFmtId="2" fontId="0" fillId="0" borderId="0" xfId="0" applyNumberFormat="1"/>
    <xf numFmtId="0" fontId="22" fillId="0" borderId="0" xfId="0" applyFont="1"/>
    <xf numFmtId="168" fontId="0" fillId="0" borderId="0" xfId="0" applyNumberFormat="1"/>
    <xf numFmtId="0" fontId="0" fillId="0" borderId="0" xfId="0" applyAlignment="1">
      <alignment vertical="center"/>
    </xf>
    <xf numFmtId="0" fontId="10" fillId="0" borderId="0" xfId="0" applyFont="1" applyAlignment="1">
      <alignment vertical="center"/>
    </xf>
    <xf numFmtId="0" fontId="10" fillId="0" borderId="0" xfId="0" applyFont="1" applyAlignment="1">
      <alignment horizontal="center" vertical="center" wrapText="1"/>
    </xf>
    <xf numFmtId="0" fontId="10" fillId="0" borderId="0" xfId="0" applyFont="1" applyAlignment="1">
      <alignment vertical="center" wrapText="1"/>
    </xf>
    <xf numFmtId="2" fontId="0" fillId="0" borderId="0" xfId="0" applyNumberFormat="1" applyAlignment="1">
      <alignment horizontal="center"/>
    </xf>
    <xf numFmtId="2" fontId="10" fillId="0" borderId="0" xfId="0" applyNumberFormat="1" applyFont="1" applyAlignment="1">
      <alignment horizontal="center"/>
    </xf>
    <xf numFmtId="0" fontId="138" fillId="0" borderId="0" xfId="0" applyFont="1" applyAlignment="1">
      <alignment horizontal="center"/>
    </xf>
    <xf numFmtId="0" fontId="53" fillId="0" borderId="0" xfId="0" applyFont="1" applyAlignment="1">
      <alignment horizontal="right" vertical="center"/>
    </xf>
    <xf numFmtId="0" fontId="53" fillId="0" borderId="0" xfId="0" applyFont="1" applyAlignment="1">
      <alignment horizontal="center" vertical="center"/>
    </xf>
    <xf numFmtId="0" fontId="41" fillId="0" borderId="0" xfId="0" applyFont="1" applyAlignment="1">
      <alignment horizontal="center" textRotation="90"/>
    </xf>
    <xf numFmtId="0" fontId="41" fillId="0" borderId="0" xfId="0" applyFont="1" applyAlignment="1">
      <alignment horizontal="center" vertical="justify"/>
    </xf>
    <xf numFmtId="0" fontId="55" fillId="0" borderId="0" xfId="65" applyFont="1" applyBorder="1" applyAlignment="1">
      <alignment horizontal="justify" vertical="top" wrapText="1"/>
    </xf>
    <xf numFmtId="0" fontId="55" fillId="0" borderId="0" xfId="0" applyFont="1" applyAlignment="1">
      <alignment horizontal="left" vertical="center"/>
    </xf>
    <xf numFmtId="0" fontId="55" fillId="0" borderId="0" xfId="0" applyFont="1" applyAlignment="1">
      <alignment horizontal="left" vertical="center" wrapText="1"/>
    </xf>
    <xf numFmtId="2" fontId="55" fillId="0" borderId="0" xfId="0" applyNumberFormat="1" applyFont="1" applyAlignment="1">
      <alignment horizontal="left" vertical="center" wrapText="1"/>
    </xf>
    <xf numFmtId="0" fontId="41" fillId="0" borderId="0" xfId="0" applyFont="1" applyAlignment="1">
      <alignment horizontal="center" vertical="center" textRotation="90"/>
    </xf>
    <xf numFmtId="0" fontId="63" fillId="0" borderId="0" xfId="0" applyFont="1" applyAlignment="1">
      <alignment horizontal="center" vertical="center"/>
    </xf>
    <xf numFmtId="0" fontId="56" fillId="0" borderId="0" xfId="0" applyFont="1" applyAlignment="1">
      <alignment horizontal="center"/>
    </xf>
    <xf numFmtId="0" fontId="55" fillId="0" borderId="0" xfId="0" applyFont="1" applyAlignment="1">
      <alignment horizontal="left" vertical="top"/>
    </xf>
    <xf numFmtId="0" fontId="64" fillId="0" borderId="0" xfId="31" applyFont="1" applyAlignment="1">
      <alignment horizontal="center"/>
    </xf>
    <xf numFmtId="0" fontId="48" fillId="0" borderId="0" xfId="31" applyFont="1" applyAlignment="1">
      <alignment horizontal="justify" vertical="top" wrapText="1"/>
    </xf>
    <xf numFmtId="0" fontId="49" fillId="0" borderId="0" xfId="31" applyFont="1" applyAlignment="1">
      <alignment horizontal="right"/>
    </xf>
    <xf numFmtId="0" fontId="85" fillId="0" borderId="0" xfId="137" applyFont="1" applyAlignment="1">
      <alignment horizontal="justify" vertical="top" wrapText="1"/>
    </xf>
    <xf numFmtId="0" fontId="85" fillId="0" borderId="0" xfId="163" applyFont="1" applyAlignment="1">
      <alignment horizontal="justify" vertical="top" wrapText="1"/>
    </xf>
    <xf numFmtId="0" fontId="58" fillId="0" borderId="6" xfId="0" applyFont="1" applyBorder="1" applyAlignment="1">
      <alignment horizontal="center" vertical="center"/>
    </xf>
    <xf numFmtId="0" fontId="58" fillId="0" borderId="7" xfId="0" applyFont="1" applyBorder="1" applyAlignment="1">
      <alignment horizontal="left" vertical="center"/>
    </xf>
    <xf numFmtId="0" fontId="65" fillId="0" borderId="0" xfId="0" applyFont="1" applyAlignment="1">
      <alignment horizontal="center" vertical="center"/>
    </xf>
    <xf numFmtId="0" fontId="65" fillId="0" borderId="0" xfId="0" applyFont="1" applyAlignment="1">
      <alignment horizontal="left" vertical="center"/>
    </xf>
    <xf numFmtId="0" fontId="55" fillId="0" borderId="9" xfId="0" applyFont="1" applyBorder="1" applyAlignment="1">
      <alignment horizontal="center" vertical="center" wrapText="1"/>
    </xf>
    <xf numFmtId="0" fontId="58" fillId="0" borderId="5" xfId="0" applyFont="1" applyBorder="1" applyAlignment="1">
      <alignment horizontal="center" vertical="center" wrapText="1"/>
    </xf>
    <xf numFmtId="0" fontId="58" fillId="0" borderId="10" xfId="0" applyFont="1" applyBorder="1" applyAlignment="1">
      <alignment horizontal="center" vertical="center" wrapText="1"/>
    </xf>
    <xf numFmtId="0" fontId="58" fillId="0" borderId="11" xfId="0" applyFont="1" applyBorder="1" applyAlignment="1">
      <alignment horizontal="left" vertical="center" wrapText="1"/>
    </xf>
    <xf numFmtId="0" fontId="58" fillId="0" borderId="12" xfId="0" applyFont="1" applyBorder="1" applyAlignment="1">
      <alignment horizontal="center" vertical="center" wrapText="1"/>
    </xf>
    <xf numFmtId="0" fontId="58" fillId="0" borderId="13" xfId="0" applyFont="1" applyBorder="1" applyAlignment="1">
      <alignment horizontal="left" vertical="center" wrapText="1"/>
    </xf>
    <xf numFmtId="0" fontId="58" fillId="0" borderId="30" xfId="0" applyFont="1" applyBorder="1" applyAlignment="1">
      <alignment horizontal="center" vertical="center" wrapText="1"/>
    </xf>
    <xf numFmtId="0" fontId="58" fillId="0" borderId="31" xfId="0" applyFont="1" applyBorder="1" applyAlignment="1">
      <alignment horizontal="center" vertical="center" wrapText="1"/>
    </xf>
    <xf numFmtId="0" fontId="55" fillId="0" borderId="0" xfId="0" applyFont="1" applyAlignment="1">
      <alignment horizontal="center" vertical="top" wrapText="1"/>
    </xf>
    <xf numFmtId="0" fontId="55" fillId="0" borderId="0" xfId="0" applyFont="1" applyAlignment="1">
      <alignment horizontal="left" vertical="top" wrapText="1"/>
    </xf>
    <xf numFmtId="0" fontId="54" fillId="0" borderId="0" xfId="29" applyFont="1" applyAlignment="1">
      <alignment horizontal="center"/>
    </xf>
    <xf numFmtId="0" fontId="55" fillId="0" borderId="0" xfId="29" applyFont="1" applyAlignment="1">
      <alignment horizontal="center" vertical="justify" wrapText="1"/>
    </xf>
    <xf numFmtId="0" fontId="69" fillId="0" borderId="5" xfId="29" applyFont="1" applyBorder="1" applyAlignment="1">
      <alignment horizontal="center" wrapText="1"/>
    </xf>
    <xf numFmtId="0" fontId="58" fillId="0" borderId="7" xfId="0" applyFont="1" applyBorder="1" applyAlignment="1">
      <alignment horizontal="center" vertical="center"/>
    </xf>
    <xf numFmtId="0" fontId="62" fillId="0" borderId="5" xfId="0" applyFont="1" applyBorder="1" applyAlignment="1">
      <alignment horizontal="justify" vertical="top" wrapText="1"/>
    </xf>
    <xf numFmtId="0" fontId="58" fillId="0" borderId="11" xfId="0" applyFont="1" applyBorder="1" applyAlignment="1">
      <alignment horizontal="center" vertical="center" wrapText="1"/>
    </xf>
    <xf numFmtId="0" fontId="58" fillId="0" borderId="13" xfId="0" applyFont="1" applyBorder="1" applyAlignment="1">
      <alignment horizontal="center" vertical="center" wrapText="1"/>
    </xf>
    <xf numFmtId="0" fontId="58" fillId="0" borderId="56" xfId="0" applyFont="1" applyBorder="1" applyAlignment="1">
      <alignment horizontal="center" vertical="center" wrapText="1"/>
    </xf>
    <xf numFmtId="0" fontId="58" fillId="0" borderId="9" xfId="0" applyFont="1" applyBorder="1" applyAlignment="1">
      <alignment horizontal="center" vertical="center" wrapText="1"/>
    </xf>
    <xf numFmtId="0" fontId="58" fillId="0" borderId="8" xfId="0" applyFont="1" applyBorder="1" applyAlignment="1">
      <alignment horizontal="center" vertical="center"/>
    </xf>
    <xf numFmtId="0" fontId="37" fillId="0" borderId="6" xfId="70" applyFont="1" applyBorder="1" applyAlignment="1">
      <alignment horizontal="justify" vertical="top" wrapText="1"/>
    </xf>
    <xf numFmtId="0" fontId="37" fillId="0" borderId="8" xfId="70" applyFont="1" applyBorder="1" applyAlignment="1">
      <alignment horizontal="justify" vertical="top" wrapText="1"/>
    </xf>
    <xf numFmtId="0" fontId="37" fillId="0" borderId="5" xfId="70" applyFont="1" applyBorder="1" applyAlignment="1">
      <alignment horizontal="center" vertical="top"/>
    </xf>
    <xf numFmtId="0" fontId="162" fillId="0" borderId="5" xfId="70" applyFont="1" applyBorder="1" applyAlignment="1">
      <alignment horizontal="center" vertical="top"/>
    </xf>
    <xf numFmtId="0" fontId="52" fillId="0" borderId="6" xfId="0" applyFont="1" applyBorder="1" applyAlignment="1">
      <alignment horizontal="center" vertical="top" wrapText="1"/>
    </xf>
    <xf numFmtId="0" fontId="52" fillId="0" borderId="8" xfId="0" applyFont="1" applyBorder="1" applyAlignment="1">
      <alignment horizontal="center" vertical="top" wrapText="1"/>
    </xf>
    <xf numFmtId="0" fontId="52" fillId="0" borderId="7" xfId="0" applyFont="1" applyBorder="1" applyAlignment="1">
      <alignment horizontal="center" vertical="top" wrapText="1"/>
    </xf>
    <xf numFmtId="0" fontId="58" fillId="0" borderId="5" xfId="0" applyFont="1" applyBorder="1" applyAlignment="1">
      <alignment horizontal="center" vertical="center"/>
    </xf>
    <xf numFmtId="0" fontId="51" fillId="0" borderId="5" xfId="0" applyFont="1" applyBorder="1" applyAlignment="1">
      <alignment horizontal="justify" vertical="top" wrapText="1"/>
    </xf>
    <xf numFmtId="0" fontId="62" fillId="46" borderId="5" xfId="0" applyFont="1" applyFill="1" applyBorder="1" applyAlignment="1">
      <alignment horizontal="justify" vertical="top" wrapText="1"/>
    </xf>
    <xf numFmtId="0" fontId="62" fillId="45" borderId="5" xfId="0" applyFont="1" applyFill="1" applyBorder="1" applyAlignment="1">
      <alignment horizontal="justify" vertical="top" wrapText="1"/>
    </xf>
    <xf numFmtId="0" fontId="51" fillId="45" borderId="5" xfId="0" applyFont="1" applyFill="1" applyBorder="1" applyAlignment="1">
      <alignment horizontal="justify" vertical="top" wrapText="1"/>
    </xf>
    <xf numFmtId="2" fontId="37" fillId="0" borderId="6" xfId="70" applyNumberFormat="1" applyFont="1" applyBorder="1" applyAlignment="1">
      <alignment horizontal="center" vertical="top"/>
    </xf>
    <xf numFmtId="2" fontId="37" fillId="0" borderId="8" xfId="70" applyNumberFormat="1" applyFont="1" applyBorder="1" applyAlignment="1">
      <alignment horizontal="center" vertical="top"/>
    </xf>
    <xf numFmtId="2" fontId="37" fillId="0" borderId="7" xfId="70" applyNumberFormat="1" applyFont="1" applyBorder="1" applyAlignment="1">
      <alignment horizontal="center" vertical="top"/>
    </xf>
    <xf numFmtId="0" fontId="71" fillId="0" borderId="0" xfId="70" applyFont="1" applyAlignment="1">
      <alignment horizontal="center" vertical="center" wrapText="1"/>
    </xf>
    <xf numFmtId="0" fontId="71" fillId="0" borderId="0" xfId="70" applyFont="1" applyAlignment="1">
      <alignment horizontal="center" vertical="center"/>
    </xf>
    <xf numFmtId="0" fontId="35" fillId="0" borderId="0" xfId="70" applyFont="1" applyAlignment="1">
      <alignment horizontal="center" vertical="center" wrapText="1"/>
    </xf>
    <xf numFmtId="0" fontId="35" fillId="0" borderId="6" xfId="70" applyFont="1" applyBorder="1" applyAlignment="1">
      <alignment horizontal="center" vertical="center"/>
    </xf>
    <xf numFmtId="0" fontId="35" fillId="0" borderId="8" xfId="70" applyFont="1" applyBorder="1" applyAlignment="1">
      <alignment horizontal="center" vertical="center"/>
    </xf>
    <xf numFmtId="0" fontId="35" fillId="0" borderId="7" xfId="70" applyFont="1" applyBorder="1" applyAlignment="1">
      <alignment horizontal="center" vertical="center"/>
    </xf>
    <xf numFmtId="168" fontId="35" fillId="0" borderId="9" xfId="70" applyNumberFormat="1" applyFont="1" applyBorder="1" applyAlignment="1">
      <alignment horizontal="center" vertical="center" wrapText="1"/>
    </xf>
    <xf numFmtId="0" fontId="40" fillId="0" borderId="5" xfId="0" applyFont="1" applyBorder="1" applyAlignment="1">
      <alignment horizontal="center" vertical="center" wrapText="1"/>
    </xf>
    <xf numFmtId="0" fontId="39" fillId="0" borderId="0" xfId="0" applyFont="1" applyAlignment="1">
      <alignment horizontal="center" vertical="top"/>
    </xf>
    <xf numFmtId="0" fontId="36" fillId="0" borderId="0" xfId="0" applyFont="1" applyAlignment="1">
      <alignment horizontal="center" vertical="top"/>
    </xf>
    <xf numFmtId="0" fontId="40" fillId="0" borderId="5" xfId="30" applyFont="1" applyBorder="1" applyAlignment="1">
      <alignment horizontal="center" vertical="center" wrapText="1"/>
    </xf>
    <xf numFmtId="0" fontId="36" fillId="0" borderId="0" xfId="0" applyFont="1" applyAlignment="1">
      <alignment horizontal="left" vertical="top" wrapText="1"/>
    </xf>
    <xf numFmtId="0" fontId="53" fillId="0" borderId="0" xfId="0" applyFont="1" applyAlignment="1">
      <alignment horizontal="center"/>
    </xf>
    <xf numFmtId="2" fontId="51" fillId="0" borderId="6" xfId="0" applyNumberFormat="1" applyFont="1" applyBorder="1" applyAlignment="1">
      <alignment horizontal="center" vertical="top" wrapText="1"/>
    </xf>
    <xf numFmtId="2" fontId="51" fillId="0" borderId="7" xfId="0" applyNumberFormat="1" applyFont="1" applyBorder="1" applyAlignment="1">
      <alignment horizontal="center" vertical="top" wrapText="1"/>
    </xf>
    <xf numFmtId="0" fontId="51" fillId="0" borderId="6" xfId="0" applyFont="1" applyBorder="1" applyAlignment="1">
      <alignment horizontal="center" vertical="top" wrapText="1"/>
    </xf>
    <xf numFmtId="0" fontId="51" fillId="0" borderId="7" xfId="0" applyFont="1" applyBorder="1" applyAlignment="1">
      <alignment horizontal="center" vertical="top" wrapText="1"/>
    </xf>
    <xf numFmtId="0" fontId="55" fillId="0" borderId="0" xfId="65" applyFont="1" applyBorder="1" applyAlignment="1">
      <alignment horizontal="center" vertical="top" wrapText="1" shrinkToFit="1"/>
    </xf>
    <xf numFmtId="0" fontId="55" fillId="0" borderId="0" xfId="65" applyFont="1" applyBorder="1" applyAlignment="1">
      <alignment horizontal="justify" vertical="top" wrapText="1" shrinkToFit="1"/>
    </xf>
    <xf numFmtId="2" fontId="58" fillId="0" borderId="9" xfId="0" applyNumberFormat="1" applyFont="1" applyBorder="1" applyAlignment="1">
      <alignment horizontal="center" vertical="top" wrapText="1"/>
    </xf>
    <xf numFmtId="0" fontId="52" fillId="0" borderId="6" xfId="1232" applyFont="1" applyBorder="1" applyAlignment="1">
      <alignment horizontal="center" vertical="top" wrapText="1"/>
    </xf>
    <xf numFmtId="0" fontId="52" fillId="0" borderId="7" xfId="1232" applyFont="1" applyBorder="1" applyAlignment="1">
      <alignment horizontal="center" vertical="top" wrapText="1"/>
    </xf>
    <xf numFmtId="2" fontId="55" fillId="0" borderId="0" xfId="1416" applyNumberFormat="1" applyFont="1" applyAlignment="1">
      <alignment horizontal="center" vertical="top" wrapText="1"/>
    </xf>
    <xf numFmtId="2" fontId="55" fillId="0" borderId="0" xfId="1416" applyNumberFormat="1" applyFont="1" applyAlignment="1">
      <alignment horizontal="left" vertical="top" wrapText="1"/>
    </xf>
    <xf numFmtId="0" fontId="54" fillId="0" borderId="0" xfId="1416" applyFont="1" applyAlignment="1">
      <alignment horizontal="center" vertical="top" wrapText="1"/>
    </xf>
    <xf numFmtId="49" fontId="51" fillId="0" borderId="5" xfId="69" applyNumberFormat="1" applyFont="1" applyBorder="1" applyAlignment="1">
      <alignment horizontal="left" vertical="center" wrapText="1"/>
    </xf>
    <xf numFmtId="0" fontId="51" fillId="0" borderId="5" xfId="69" applyFont="1" applyBorder="1" applyAlignment="1">
      <alignment horizontal="left" vertical="center" wrapText="1"/>
    </xf>
    <xf numFmtId="49" fontId="176" fillId="0" borderId="0" xfId="69" applyNumberFormat="1" applyFont="1" applyAlignment="1">
      <alignment horizontal="center" vertical="center" wrapText="1"/>
    </xf>
    <xf numFmtId="49" fontId="177" fillId="0" borderId="0" xfId="69" applyNumberFormat="1" applyFont="1" applyAlignment="1">
      <alignment horizontal="center" vertical="center" wrapText="1"/>
    </xf>
    <xf numFmtId="0" fontId="177" fillId="0" borderId="0" xfId="69" applyFont="1" applyAlignment="1">
      <alignment horizontal="center" vertical="center" wrapText="1"/>
    </xf>
    <xf numFmtId="0" fontId="69" fillId="0" borderId="0" xfId="69" applyFont="1" applyAlignment="1">
      <alignment horizontal="center" vertical="center" wrapText="1"/>
    </xf>
    <xf numFmtId="0" fontId="67" fillId="0" borderId="0" xfId="69" applyFont="1" applyAlignment="1">
      <alignment horizontal="center"/>
    </xf>
    <xf numFmtId="2" fontId="69" fillId="0" borderId="0" xfId="69" applyNumberFormat="1" applyFont="1" applyAlignment="1">
      <alignment horizontal="left" vertical="center" wrapText="1"/>
    </xf>
    <xf numFmtId="0" fontId="67" fillId="0" borderId="0" xfId="69" applyFont="1" applyAlignment="1">
      <alignment horizontal="left" vertical="center" wrapText="1"/>
    </xf>
    <xf numFmtId="49" fontId="69" fillId="0" borderId="5" xfId="69" applyNumberFormat="1" applyFont="1" applyBorder="1" applyAlignment="1">
      <alignment horizontal="center" vertical="center" wrapText="1"/>
    </xf>
    <xf numFmtId="0" fontId="69" fillId="0" borderId="5" xfId="69" applyFont="1" applyBorder="1" applyAlignment="1">
      <alignment horizontal="center" vertical="center" wrapText="1"/>
    </xf>
    <xf numFmtId="0" fontId="179" fillId="0" borderId="0" xfId="0" applyFont="1" applyAlignment="1">
      <alignment horizontal="center"/>
    </xf>
    <xf numFmtId="0" fontId="51" fillId="0" borderId="5" xfId="0" applyFont="1" applyBorder="1" applyAlignment="1">
      <alignment horizontal="center" vertical="center" wrapText="1"/>
    </xf>
    <xf numFmtId="0" fontId="51" fillId="0" borderId="5" xfId="1238" applyFont="1" applyBorder="1" applyAlignment="1">
      <alignment horizontal="left" vertical="top" wrapText="1"/>
    </xf>
    <xf numFmtId="0" fontId="51" fillId="0" borderId="6" xfId="1238" applyFont="1" applyBorder="1" applyAlignment="1">
      <alignment horizontal="center" vertical="top" wrapText="1"/>
    </xf>
    <xf numFmtId="0" fontId="51" fillId="0" borderId="8" xfId="1238" applyFont="1" applyBorder="1" applyAlignment="1">
      <alignment horizontal="center" vertical="top" wrapText="1"/>
    </xf>
    <xf numFmtId="0" fontId="51" fillId="0" borderId="7" xfId="1238" applyFont="1" applyBorder="1" applyAlignment="1">
      <alignment horizontal="center" vertical="top" wrapText="1"/>
    </xf>
    <xf numFmtId="0" fontId="51" fillId="0" borderId="5" xfId="1238" applyFont="1" applyBorder="1" applyAlignment="1">
      <alignment horizontal="left" vertical="top"/>
    </xf>
    <xf numFmtId="0" fontId="51" fillId="0" borderId="5" xfId="1238" applyFont="1" applyBorder="1" applyAlignment="1">
      <alignment horizontal="justify" vertical="top" wrapText="1"/>
    </xf>
    <xf numFmtId="0" fontId="134" fillId="0" borderId="6" xfId="1238" applyFont="1" applyBorder="1" applyAlignment="1">
      <alignment horizontal="left" vertical="top" wrapText="1"/>
    </xf>
    <xf numFmtId="0" fontId="134" fillId="0" borderId="8" xfId="1238" applyFont="1" applyBorder="1" applyAlignment="1">
      <alignment horizontal="left" vertical="top" wrapText="1"/>
    </xf>
    <xf numFmtId="0" fontId="134" fillId="0" borderId="7" xfId="1238" applyFont="1" applyBorder="1" applyAlignment="1">
      <alignment horizontal="left" vertical="top" wrapText="1"/>
    </xf>
    <xf numFmtId="0" fontId="51" fillId="0" borderId="5" xfId="1238" applyFont="1" applyBorder="1" applyAlignment="1">
      <alignment horizontal="center" vertical="top" wrapText="1"/>
    </xf>
    <xf numFmtId="0" fontId="51" fillId="0" borderId="6" xfId="1238" applyFont="1" applyBorder="1" applyAlignment="1">
      <alignment horizontal="left" vertical="top" wrapText="1"/>
    </xf>
    <xf numFmtId="0" fontId="51" fillId="0" borderId="8" xfId="1238" applyFont="1" applyBorder="1" applyAlignment="1">
      <alignment horizontal="left" vertical="top" wrapText="1"/>
    </xf>
    <xf numFmtId="0" fontId="51" fillId="0" borderId="7" xfId="1238" applyFont="1" applyBorder="1" applyAlignment="1">
      <alignment horizontal="left" vertical="top" wrapText="1"/>
    </xf>
    <xf numFmtId="0" fontId="136" fillId="0" borderId="5" xfId="1238" applyFont="1" applyBorder="1" applyAlignment="1">
      <alignment horizontal="left" vertical="top" wrapText="1"/>
    </xf>
    <xf numFmtId="0" fontId="67" fillId="0" borderId="6" xfId="1238" applyFont="1" applyBorder="1" applyAlignment="1">
      <alignment horizontal="left" vertical="top"/>
    </xf>
    <xf numFmtId="0" fontId="67" fillId="0" borderId="7" xfId="1238" applyFont="1" applyBorder="1" applyAlignment="1">
      <alignment horizontal="left" vertical="top"/>
    </xf>
    <xf numFmtId="0" fontId="51" fillId="0" borderId="6" xfId="1238" applyFont="1" applyBorder="1" applyAlignment="1">
      <alignment horizontal="justify" vertical="top" wrapText="1"/>
    </xf>
    <xf numFmtId="0" fontId="51" fillId="0" borderId="8" xfId="1238" applyFont="1" applyBorder="1" applyAlignment="1">
      <alignment horizontal="justify" vertical="top" wrapText="1"/>
    </xf>
    <xf numFmtId="0" fontId="51" fillId="0" borderId="7" xfId="1238" applyFont="1" applyBorder="1" applyAlignment="1">
      <alignment horizontal="justify" vertical="top" wrapText="1"/>
    </xf>
    <xf numFmtId="2" fontId="51" fillId="0" borderId="5" xfId="1238" applyNumberFormat="1" applyFont="1" applyBorder="1" applyAlignment="1">
      <alignment horizontal="left" vertical="top"/>
    </xf>
    <xf numFmtId="0" fontId="139" fillId="0" borderId="0" xfId="1238" applyFont="1" applyAlignment="1">
      <alignment horizontal="center" vertical="top"/>
    </xf>
    <xf numFmtId="0" fontId="140" fillId="0" borderId="9" xfId="1238" applyFont="1" applyBorder="1" applyAlignment="1">
      <alignment horizontal="left" vertical="top"/>
    </xf>
    <xf numFmtId="49" fontId="57" fillId="0" borderId="0" xfId="1239" applyNumberFormat="1" applyFont="1" applyAlignment="1">
      <alignment horizontal="left" vertical="center" wrapText="1"/>
    </xf>
    <xf numFmtId="49" fontId="57" fillId="0" borderId="0" xfId="1239" applyNumberFormat="1" applyFont="1" applyAlignment="1">
      <alignment horizontal="center" vertical="center" wrapText="1"/>
    </xf>
    <xf numFmtId="49" fontId="52" fillId="0" borderId="0" xfId="1239" applyNumberFormat="1" applyFont="1" applyAlignment="1">
      <alignment horizontal="center" vertical="center" wrapText="1"/>
    </xf>
    <xf numFmtId="49" fontId="51" fillId="0" borderId="0" xfId="1239" applyNumberFormat="1" applyFont="1" applyAlignment="1">
      <alignment horizontal="center" vertical="center" wrapText="1"/>
    </xf>
    <xf numFmtId="0" fontId="51" fillId="0" borderId="0" xfId="1239" applyFont="1" applyAlignment="1">
      <alignment horizontal="center" vertical="center" wrapText="1"/>
    </xf>
    <xf numFmtId="49" fontId="149" fillId="0" borderId="35" xfId="1239" applyNumberFormat="1" applyFont="1" applyBorder="1" applyAlignment="1">
      <alignment horizontal="center" vertical="center" wrapText="1"/>
    </xf>
    <xf numFmtId="49" fontId="149" fillId="0" borderId="34" xfId="1239" applyNumberFormat="1" applyFont="1" applyBorder="1" applyAlignment="1">
      <alignment horizontal="center" vertical="center" wrapText="1"/>
    </xf>
    <xf numFmtId="0" fontId="152" fillId="0" borderId="40" xfId="1240" applyFont="1" applyBorder="1" applyAlignment="1">
      <alignment horizontal="left" vertical="top" wrapText="1"/>
    </xf>
    <xf numFmtId="49" fontId="152" fillId="0" borderId="43" xfId="1240" applyNumberFormat="1" applyFont="1" applyBorder="1" applyAlignment="1">
      <alignment horizontal="left" vertical="center" wrapText="1"/>
    </xf>
    <xf numFmtId="49" fontId="154" fillId="0" borderId="42" xfId="1240" applyNumberFormat="1" applyFont="1" applyBorder="1" applyAlignment="1">
      <alignment horizontal="center" vertical="center" wrapText="1"/>
    </xf>
    <xf numFmtId="49" fontId="154" fillId="0" borderId="14" xfId="1240" applyNumberFormat="1" applyFont="1" applyBorder="1" applyAlignment="1">
      <alignment horizontal="center" vertical="center" wrapText="1"/>
    </xf>
    <xf numFmtId="49" fontId="57" fillId="0" borderId="0" xfId="1239" applyNumberFormat="1" applyFont="1" applyAlignment="1">
      <alignment horizontal="left" wrapText="1"/>
    </xf>
    <xf numFmtId="49" fontId="57" fillId="0" borderId="0" xfId="1239" applyNumberFormat="1" applyFont="1" applyAlignment="1">
      <alignment horizontal="center" wrapText="1"/>
    </xf>
    <xf numFmtId="0" fontId="57" fillId="0" borderId="0" xfId="1239" applyFont="1" applyAlignment="1">
      <alignment horizontal="justify" vertical="center" wrapText="1"/>
    </xf>
    <xf numFmtId="0" fontId="52" fillId="0" borderId="0" xfId="1239" applyFont="1" applyAlignment="1">
      <alignment horizontal="justify" vertical="center"/>
    </xf>
    <xf numFmtId="0" fontId="52" fillId="0" borderId="0" xfId="1239" applyFont="1" applyAlignment="1">
      <alignment horizontal="center" vertical="center"/>
    </xf>
    <xf numFmtId="0" fontId="51" fillId="0" borderId="0" xfId="1239" applyFont="1" applyAlignment="1">
      <alignment horizontal="center" vertical="center"/>
    </xf>
    <xf numFmtId="0" fontId="51" fillId="0" borderId="0" xfId="1239" applyFont="1" applyAlignment="1">
      <alignment horizontal="justify" vertical="center"/>
    </xf>
    <xf numFmtId="0" fontId="149" fillId="0" borderId="34" xfId="1239" applyFont="1" applyBorder="1" applyAlignment="1">
      <alignment horizontal="center" vertical="center" wrapText="1"/>
    </xf>
    <xf numFmtId="49" fontId="149" fillId="0" borderId="3" xfId="1239" applyNumberFormat="1" applyFont="1" applyBorder="1" applyAlignment="1">
      <alignment horizontal="center" vertical="center" wrapText="1"/>
    </xf>
    <xf numFmtId="0" fontId="52" fillId="0" borderId="0" xfId="1239" applyFont="1" applyAlignment="1">
      <alignment horizontal="left" vertical="center"/>
    </xf>
    <xf numFmtId="0" fontId="51" fillId="0" borderId="0" xfId="1239" applyFont="1" applyAlignment="1">
      <alignment horizontal="left" vertical="center"/>
    </xf>
    <xf numFmtId="49" fontId="53" fillId="0" borderId="0" xfId="1239" applyNumberFormat="1" applyFont="1" applyAlignment="1">
      <alignment horizontal="center" vertical="center" wrapText="1"/>
    </xf>
    <xf numFmtId="0" fontId="145" fillId="0" borderId="0" xfId="1239" applyFont="1"/>
    <xf numFmtId="0" fontId="52" fillId="0" borderId="0" xfId="1239" applyFont="1" applyAlignment="1">
      <alignment horizontal="right" vertical="center"/>
    </xf>
    <xf numFmtId="0" fontId="147" fillId="0" borderId="0" xfId="1239" applyFont="1" applyAlignment="1">
      <alignment horizontal="center" vertical="center" wrapText="1"/>
    </xf>
    <xf numFmtId="0" fontId="52" fillId="0" borderId="0" xfId="1239" applyFont="1" applyAlignment="1">
      <alignment horizontal="left" vertical="top" wrapText="1"/>
    </xf>
    <xf numFmtId="0" fontId="52" fillId="0" borderId="0" xfId="1239" applyFont="1" applyAlignment="1">
      <alignment horizontal="left" vertical="center" wrapText="1"/>
    </xf>
    <xf numFmtId="49" fontId="14" fillId="0" borderId="0" xfId="1239" applyNumberFormat="1" applyFont="1" applyAlignment="1">
      <alignment vertical="center" wrapText="1"/>
    </xf>
    <xf numFmtId="49" fontId="14" fillId="0" borderId="0" xfId="1239" applyNumberFormat="1" applyFont="1" applyAlignment="1">
      <alignment horizontal="left" vertical="center" wrapText="1"/>
    </xf>
    <xf numFmtId="49" fontId="14" fillId="0" borderId="0" xfId="1239" applyNumberFormat="1" applyFont="1" applyAlignment="1">
      <alignment horizontal="center" vertical="center" wrapText="1"/>
    </xf>
    <xf numFmtId="49" fontId="22" fillId="0" borderId="14" xfId="1239" applyNumberFormat="1" applyFont="1" applyBorder="1" applyAlignment="1">
      <alignment horizontal="left" wrapText="1"/>
    </xf>
    <xf numFmtId="49" fontId="22" fillId="0" borderId="2" xfId="1239" applyNumberFormat="1" applyFont="1" applyBorder="1" applyAlignment="1">
      <alignment horizontal="center" vertical="center" wrapText="1"/>
    </xf>
    <xf numFmtId="49" fontId="68" fillId="0" borderId="0" xfId="1239" applyNumberFormat="1" applyFont="1" applyAlignment="1">
      <alignment horizontal="left" vertical="center" wrapText="1"/>
    </xf>
    <xf numFmtId="49" fontId="14" fillId="0" borderId="0" xfId="1239" applyNumberFormat="1" applyFont="1" applyAlignment="1">
      <alignment horizontal="justify" vertical="center" wrapText="1"/>
    </xf>
    <xf numFmtId="0" fontId="14" fillId="0" borderId="0" xfId="1239" applyFont="1" applyAlignment="1">
      <alignment horizontal="center"/>
    </xf>
    <xf numFmtId="49" fontId="22" fillId="0" borderId="14" xfId="1239" applyNumberFormat="1" applyFont="1" applyBorder="1" applyAlignment="1">
      <alignment horizontal="center" vertical="center" wrapText="1"/>
    </xf>
    <xf numFmtId="49" fontId="14" fillId="0" borderId="14" xfId="1239" applyNumberFormat="1" applyFont="1" applyBorder="1" applyAlignment="1">
      <alignment horizontal="center" vertical="center" wrapText="1"/>
    </xf>
    <xf numFmtId="0" fontId="15" fillId="0" borderId="0" xfId="1239" applyFont="1" applyAlignment="1">
      <alignment horizontal="left"/>
    </xf>
    <xf numFmtId="49" fontId="14" fillId="0" borderId="4" xfId="1239" applyNumberFormat="1" applyFont="1" applyBorder="1" applyAlignment="1">
      <alignment horizontal="left" vertical="center" wrapText="1"/>
    </xf>
    <xf numFmtId="49" fontId="131" fillId="0" borderId="0" xfId="1239" applyNumberFormat="1" applyFont="1" applyAlignment="1">
      <alignment horizontal="left" vertical="center" wrapText="1"/>
    </xf>
    <xf numFmtId="0" fontId="10" fillId="0" borderId="0" xfId="1239" applyAlignment="1">
      <alignment horizontal="center"/>
    </xf>
    <xf numFmtId="0" fontId="36" fillId="0" borderId="0" xfId="1239" applyFont="1" applyAlignment="1">
      <alignment horizontal="justify" vertical="top" wrapText="1"/>
    </xf>
    <xf numFmtId="0" fontId="36" fillId="0" borderId="0" xfId="1239" applyFont="1" applyAlignment="1">
      <alignment horizontal="left" vertical="top"/>
    </xf>
    <xf numFmtId="0" fontId="36" fillId="0" borderId="0" xfId="1239" applyFont="1" applyAlignment="1">
      <alignment horizontal="left" vertical="top" wrapText="1"/>
    </xf>
    <xf numFmtId="0" fontId="155" fillId="0" borderId="0" xfId="1239" applyFont="1" applyAlignment="1">
      <alignment horizontal="center"/>
    </xf>
    <xf numFmtId="0" fontId="36" fillId="0" borderId="0" xfId="1242" applyFont="1" applyAlignment="1">
      <alignment horizontal="justify" vertical="justify" wrapText="1"/>
    </xf>
    <xf numFmtId="0" fontId="36" fillId="0" borderId="0" xfId="1242" applyFont="1" applyAlignment="1">
      <alignment horizontal="justify" vertical="justify"/>
    </xf>
    <xf numFmtId="0" fontId="155" fillId="0" borderId="0" xfId="1242" applyFont="1" applyAlignment="1">
      <alignment horizontal="center" vertical="top"/>
    </xf>
    <xf numFmtId="0" fontId="155" fillId="0" borderId="0" xfId="1242" applyFont="1" applyAlignment="1">
      <alignment horizontal="left" vertical="top" wrapText="1"/>
    </xf>
    <xf numFmtId="2" fontId="155" fillId="0" borderId="0" xfId="1242" applyNumberFormat="1" applyFont="1" applyAlignment="1">
      <alignment horizontal="left" vertical="top" wrapText="1"/>
    </xf>
    <xf numFmtId="49" fontId="40" fillId="0" borderId="6" xfId="1240" applyNumberFormat="1" applyFont="1" applyBorder="1" applyAlignment="1">
      <alignment horizontal="center" vertical="center" wrapText="1"/>
    </xf>
    <xf numFmtId="49" fontId="40" fillId="0" borderId="8" xfId="1240" applyNumberFormat="1" applyFont="1" applyBorder="1" applyAlignment="1">
      <alignment horizontal="center" vertical="center" wrapText="1"/>
    </xf>
    <xf numFmtId="49" fontId="40" fillId="0" borderId="7" xfId="1240" applyNumberFormat="1" applyFont="1" applyBorder="1" applyAlignment="1">
      <alignment horizontal="center" vertical="center" wrapText="1"/>
    </xf>
    <xf numFmtId="49" fontId="159" fillId="0" borderId="0" xfId="1240" applyNumberFormat="1" applyFont="1" applyAlignment="1">
      <alignment horizontal="center" vertical="center" wrapText="1"/>
    </xf>
    <xf numFmtId="49" fontId="160" fillId="0" borderId="0" xfId="1240" applyNumberFormat="1" applyFont="1" applyAlignment="1">
      <alignment horizontal="center" vertical="center" wrapText="1"/>
    </xf>
    <xf numFmtId="0" fontId="160" fillId="0" borderId="0" xfId="1240" applyFont="1" applyAlignment="1">
      <alignment horizontal="center" vertical="center" wrapText="1"/>
    </xf>
    <xf numFmtId="0" fontId="40" fillId="0" borderId="0" xfId="1240" applyFont="1" applyAlignment="1">
      <alignment horizontal="center" vertical="center" wrapText="1"/>
    </xf>
    <xf numFmtId="0" fontId="35" fillId="0" borderId="0" xfId="1240" applyFont="1" applyAlignment="1">
      <alignment horizontal="center"/>
    </xf>
    <xf numFmtId="49" fontId="40" fillId="0" borderId="5" xfId="1240" applyNumberFormat="1" applyFont="1" applyBorder="1" applyAlignment="1">
      <alignment horizontal="center" vertical="center" wrapText="1"/>
    </xf>
    <xf numFmtId="0" fontId="2" fillId="0" borderId="0" xfId="1243" applyAlignment="1">
      <alignment horizontal="justify" vertical="top" wrapText="1"/>
    </xf>
    <xf numFmtId="0" fontId="2" fillId="0" borderId="0" xfId="1243" applyAlignment="1">
      <alignment horizontal="left" vertical="top" wrapText="1"/>
    </xf>
    <xf numFmtId="0" fontId="163" fillId="0" borderId="0" xfId="1243" applyFont="1" applyAlignment="1">
      <alignment horizontal="center" vertical="top"/>
    </xf>
    <xf numFmtId="0" fontId="2" fillId="0" borderId="0" xfId="1243" applyAlignment="1">
      <alignment horizontal="center" vertical="justify"/>
    </xf>
    <xf numFmtId="0" fontId="133" fillId="0" borderId="0" xfId="1243" applyFont="1" applyAlignment="1">
      <alignment horizontal="left" vertical="center" shrinkToFit="1"/>
    </xf>
    <xf numFmtId="0" fontId="2" fillId="0" borderId="0" xfId="1243" applyAlignment="1">
      <alignment horizontal="left" vertical="justify" wrapText="1"/>
    </xf>
    <xf numFmtId="0" fontId="133" fillId="0" borderId="0" xfId="1243" applyFont="1" applyAlignment="1">
      <alignment horizontal="left" vertical="justify"/>
    </xf>
    <xf numFmtId="0" fontId="171" fillId="0" borderId="0" xfId="29" applyFont="1" applyAlignment="1">
      <alignment horizontal="left" wrapText="1"/>
    </xf>
    <xf numFmtId="0" fontId="52" fillId="0" borderId="0" xfId="29" applyFont="1" applyAlignment="1">
      <alignment horizontal="left" vertical="top" wrapText="1"/>
    </xf>
    <xf numFmtId="0" fontId="52" fillId="0" borderId="49" xfId="29" applyFont="1" applyBorder="1" applyAlignment="1">
      <alignment horizontal="left" vertical="top" wrapText="1"/>
    </xf>
    <xf numFmtId="0" fontId="144" fillId="0" borderId="0" xfId="29" applyFont="1" applyAlignment="1">
      <alignment horizontal="center"/>
    </xf>
    <xf numFmtId="0" fontId="51" fillId="0" borderId="0" xfId="29" applyFont="1" applyAlignment="1">
      <alignment horizontal="center"/>
    </xf>
    <xf numFmtId="0" fontId="51" fillId="0" borderId="49" xfId="29" applyFont="1" applyBorder="1" applyAlignment="1">
      <alignment horizontal="center"/>
    </xf>
    <xf numFmtId="0" fontId="166" fillId="0" borderId="0" xfId="29" applyFont="1" applyAlignment="1">
      <alignment horizontal="center"/>
    </xf>
    <xf numFmtId="0" fontId="167" fillId="0" borderId="48" xfId="29" applyFont="1" applyBorder="1" applyAlignment="1">
      <alignment horizontal="center"/>
    </xf>
    <xf numFmtId="0" fontId="167" fillId="0" borderId="0" xfId="29" applyFont="1" applyAlignment="1">
      <alignment horizontal="center"/>
    </xf>
    <xf numFmtId="0" fontId="167" fillId="0" borderId="49" xfId="29" applyFont="1" applyBorder="1" applyAlignment="1">
      <alignment horizontal="center"/>
    </xf>
    <xf numFmtId="0" fontId="168" fillId="0" borderId="0" xfId="29" applyFont="1" applyAlignment="1">
      <alignment horizontal="center"/>
    </xf>
    <xf numFmtId="0" fontId="169" fillId="0" borderId="48" xfId="29" applyFont="1" applyBorder="1" applyAlignment="1">
      <alignment horizontal="center"/>
    </xf>
    <xf numFmtId="0" fontId="169" fillId="0" borderId="0" xfId="29" applyFont="1" applyAlignment="1">
      <alignment horizontal="center"/>
    </xf>
    <xf numFmtId="0" fontId="169" fillId="0" borderId="49" xfId="29" applyFont="1" applyBorder="1" applyAlignment="1">
      <alignment horizontal="center"/>
    </xf>
    <xf numFmtId="0" fontId="170" fillId="0" borderId="48" xfId="29" applyFont="1" applyBorder="1" applyAlignment="1">
      <alignment horizontal="center"/>
    </xf>
    <xf numFmtId="0" fontId="170" fillId="0" borderId="0" xfId="29" applyFont="1" applyAlignment="1">
      <alignment horizontal="center"/>
    </xf>
    <xf numFmtId="0" fontId="170" fillId="0" borderId="49" xfId="29" applyFont="1" applyBorder="1" applyAlignment="1">
      <alignment horizontal="center"/>
    </xf>
    <xf numFmtId="0" fontId="51" fillId="0" borderId="0" xfId="29" applyFont="1" applyAlignment="1">
      <alignment horizontal="justify" vertical="top" wrapText="1"/>
    </xf>
    <xf numFmtId="0" fontId="144" fillId="0" borderId="0" xfId="29" applyFont="1" applyAlignment="1">
      <alignment horizontal="justify" vertical="top" wrapText="1"/>
    </xf>
    <xf numFmtId="0" fontId="135" fillId="0" borderId="0" xfId="1236" applyFont="1" applyAlignment="1">
      <alignment horizontal="center" vertical="top"/>
    </xf>
    <xf numFmtId="0" fontId="30" fillId="0" borderId="5" xfId="0" applyFont="1" applyBorder="1" applyAlignment="1">
      <alignment horizontal="center"/>
    </xf>
    <xf numFmtId="0" fontId="27" fillId="0" borderId="5" xfId="0" applyFont="1" applyBorder="1" applyAlignment="1">
      <alignment horizontal="center"/>
    </xf>
    <xf numFmtId="0" fontId="26" fillId="0" borderId="5" xfId="0" applyFont="1" applyBorder="1" applyAlignment="1">
      <alignment horizontal="center" vertical="center" wrapText="1"/>
    </xf>
    <xf numFmtId="0" fontId="121" fillId="0" borderId="0" xfId="139" applyFont="1" applyAlignment="1">
      <alignment horizontal="justify" vertical="center"/>
    </xf>
    <xf numFmtId="0" fontId="74" fillId="0" borderId="0" xfId="139" applyFont="1" applyAlignment="1">
      <alignment horizontal="justify" vertical="center"/>
    </xf>
    <xf numFmtId="0" fontId="121" fillId="0" borderId="0" xfId="139" applyFont="1" applyAlignment="1">
      <alignment horizontal="left" vertical="center"/>
    </xf>
    <xf numFmtId="0" fontId="74" fillId="0" borderId="0" xfId="139" applyFont="1" applyAlignment="1">
      <alignment horizontal="left" vertical="center"/>
    </xf>
    <xf numFmtId="49" fontId="118" fillId="0" borderId="0" xfId="139" applyNumberFormat="1" applyFont="1" applyAlignment="1">
      <alignment horizontal="center" vertical="center" wrapText="1"/>
    </xf>
    <xf numFmtId="0" fontId="119" fillId="0" borderId="0" xfId="139" applyFont="1"/>
    <xf numFmtId="0" fontId="74" fillId="0" borderId="0" xfId="139" applyFont="1" applyAlignment="1">
      <alignment horizontal="right" vertical="center"/>
    </xf>
    <xf numFmtId="0" fontId="120" fillId="0" borderId="0" xfId="139" applyFont="1" applyAlignment="1">
      <alignment horizontal="center" vertical="center" wrapText="1"/>
    </xf>
    <xf numFmtId="0" fontId="74" fillId="0" borderId="0" xfId="139" applyFont="1" applyAlignment="1">
      <alignment horizontal="center" vertical="center"/>
    </xf>
    <xf numFmtId="0" fontId="121" fillId="0" borderId="0" xfId="139" applyFont="1" applyAlignment="1">
      <alignment horizontal="center" vertical="center"/>
    </xf>
    <xf numFmtId="0" fontId="121" fillId="0" borderId="0" xfId="139" applyFont="1" applyAlignment="1">
      <alignment horizontal="left" vertical="top" wrapText="1"/>
    </xf>
    <xf numFmtId="0" fontId="121" fillId="0" borderId="0" xfId="139" applyFont="1" applyAlignment="1">
      <alignment horizontal="justify" vertical="center" wrapText="1"/>
    </xf>
    <xf numFmtId="0" fontId="74" fillId="0" borderId="0" xfId="139" applyFont="1" applyAlignment="1">
      <alignment horizontal="justify" vertical="center" wrapText="1"/>
    </xf>
    <xf numFmtId="0" fontId="122" fillId="0" borderId="34" xfId="139" applyFont="1" applyBorder="1" applyAlignment="1">
      <alignment horizontal="center" vertical="center" wrapText="1"/>
    </xf>
    <xf numFmtId="49" fontId="122" fillId="0" borderId="3" xfId="139" applyNumberFormat="1" applyFont="1" applyBorder="1" applyAlignment="1">
      <alignment horizontal="center" vertical="center" wrapText="1"/>
    </xf>
    <xf numFmtId="49" fontId="123" fillId="0" borderId="0" xfId="139" applyNumberFormat="1" applyFont="1" applyAlignment="1">
      <alignment horizontal="left" vertical="center" wrapText="1"/>
    </xf>
    <xf numFmtId="49" fontId="123" fillId="0" borderId="0" xfId="139" applyNumberFormat="1" applyFont="1" applyAlignment="1">
      <alignment horizontal="center" vertical="center" wrapText="1"/>
    </xf>
    <xf numFmtId="49" fontId="122" fillId="0" borderId="35" xfId="139" applyNumberFormat="1" applyFont="1" applyBorder="1" applyAlignment="1">
      <alignment horizontal="center" vertical="center" wrapText="1"/>
    </xf>
    <xf numFmtId="49" fontId="122" fillId="0" borderId="34" xfId="139" applyNumberFormat="1" applyFont="1" applyBorder="1" applyAlignment="1">
      <alignment horizontal="center" vertical="center" wrapText="1"/>
    </xf>
    <xf numFmtId="0" fontId="125" fillId="0" borderId="40" xfId="69" applyFont="1" applyBorder="1" applyAlignment="1">
      <alignment horizontal="left" vertical="top" wrapText="1"/>
    </xf>
    <xf numFmtId="49" fontId="125" fillId="0" borderId="43" xfId="69" applyNumberFormat="1" applyFont="1" applyBorder="1" applyAlignment="1">
      <alignment horizontal="left" vertical="center" wrapText="1"/>
    </xf>
    <xf numFmtId="2" fontId="127" fillId="0" borderId="42" xfId="69" applyNumberFormat="1" applyFont="1" applyBorder="1" applyAlignment="1">
      <alignment horizontal="center" vertical="center" wrapText="1"/>
    </xf>
    <xf numFmtId="2" fontId="127" fillId="0" borderId="14" xfId="69" applyNumberFormat="1" applyFont="1" applyBorder="1" applyAlignment="1">
      <alignment horizontal="center" vertical="center" wrapText="1"/>
    </xf>
    <xf numFmtId="49" fontId="123" fillId="0" borderId="0" xfId="139" applyNumberFormat="1" applyFont="1" applyAlignment="1">
      <alignment horizontal="left" wrapText="1"/>
    </xf>
    <xf numFmtId="49" fontId="123" fillId="0" borderId="0" xfId="139" applyNumberFormat="1" applyFont="1" applyAlignment="1">
      <alignment horizontal="center" wrapText="1"/>
    </xf>
    <xf numFmtId="0" fontId="129" fillId="0" borderId="0" xfId="139" applyFont="1" applyAlignment="1">
      <alignment horizontal="justify" vertical="top" wrapText="1"/>
    </xf>
    <xf numFmtId="49" fontId="121" fillId="0" borderId="0" xfId="139" applyNumberFormat="1" applyFont="1" applyAlignment="1">
      <alignment horizontal="center" vertical="center" wrapText="1"/>
    </xf>
    <xf numFmtId="49" fontId="74" fillId="0" borderId="0" xfId="139" applyNumberFormat="1" applyFont="1" applyAlignment="1">
      <alignment horizontal="center" vertical="center" wrapText="1"/>
    </xf>
    <xf numFmtId="0" fontId="74" fillId="0" borderId="0" xfId="139" applyFont="1" applyAlignment="1">
      <alignment horizontal="center" vertical="center" wrapText="1"/>
    </xf>
    <xf numFmtId="49" fontId="14" fillId="0" borderId="0" xfId="139" applyNumberFormat="1" applyFont="1" applyAlignment="1">
      <alignment horizontal="left" vertical="center" wrapText="1"/>
    </xf>
    <xf numFmtId="0" fontId="15" fillId="0" borderId="0" xfId="139" applyFont="1" applyAlignment="1">
      <alignment horizontal="left"/>
    </xf>
    <xf numFmtId="49" fontId="14" fillId="0" borderId="4" xfId="139" applyNumberFormat="1" applyFont="1" applyBorder="1" applyAlignment="1">
      <alignment horizontal="left" vertical="center" wrapText="1"/>
    </xf>
    <xf numFmtId="49" fontId="131" fillId="0" borderId="0" xfId="139" applyNumberFormat="1" applyFont="1" applyAlignment="1">
      <alignment horizontal="left" vertical="center" wrapText="1"/>
    </xf>
    <xf numFmtId="49" fontId="14" fillId="0" borderId="0" xfId="139" applyNumberFormat="1" applyFont="1" applyAlignment="1">
      <alignment vertical="center" wrapText="1"/>
    </xf>
    <xf numFmtId="0" fontId="10" fillId="0" borderId="0" xfId="139" applyAlignment="1">
      <alignment horizontal="center"/>
    </xf>
    <xf numFmtId="0" fontId="14" fillId="0" borderId="0" xfId="139" applyFont="1" applyAlignment="1">
      <alignment horizontal="center"/>
    </xf>
    <xf numFmtId="49" fontId="22" fillId="0" borderId="14" xfId="139" applyNumberFormat="1" applyFont="1" applyBorder="1" applyAlignment="1">
      <alignment horizontal="center" vertical="center" wrapText="1"/>
    </xf>
    <xf numFmtId="49" fontId="14" fillId="0" borderId="14" xfId="139" applyNumberFormat="1" applyFont="1" applyBorder="1" applyAlignment="1">
      <alignment horizontal="center" vertical="center" wrapText="1"/>
    </xf>
    <xf numFmtId="49" fontId="14" fillId="0" borderId="0" xfId="139" applyNumberFormat="1" applyFont="1" applyAlignment="1">
      <alignment horizontal="center" vertical="center" wrapText="1"/>
    </xf>
    <xf numFmtId="49" fontId="22" fillId="0" borderId="14" xfId="139" applyNumberFormat="1" applyFont="1" applyBorder="1" applyAlignment="1">
      <alignment horizontal="left" wrapText="1"/>
    </xf>
    <xf numFmtId="49" fontId="22" fillId="0" borderId="2" xfId="139" applyNumberFormat="1" applyFont="1" applyBorder="1" applyAlignment="1">
      <alignment horizontal="center" vertical="center" wrapText="1"/>
    </xf>
    <xf numFmtId="49" fontId="68" fillId="0" borderId="0" xfId="139" applyNumberFormat="1" applyFont="1" applyAlignment="1">
      <alignment horizontal="left" vertical="center" wrapText="1"/>
    </xf>
    <xf numFmtId="49" fontId="14" fillId="0" borderId="0" xfId="139" applyNumberFormat="1" applyFont="1" applyAlignment="1">
      <alignment horizontal="justify" vertical="center" wrapText="1"/>
    </xf>
    <xf numFmtId="0" fontId="35" fillId="0" borderId="5" xfId="0" applyFont="1" applyBorder="1" applyAlignment="1">
      <alignment horizontal="center" vertical="top" wrapText="1"/>
    </xf>
    <xf numFmtId="177" fontId="51" fillId="0" borderId="5" xfId="0" applyNumberFormat="1" applyFont="1" applyFill="1" applyBorder="1" applyAlignment="1">
      <alignment horizontal="center" vertical="top" wrapText="1"/>
    </xf>
    <xf numFmtId="2" fontId="148" fillId="0" borderId="5" xfId="1233" applyNumberFormat="1" applyFont="1" applyFill="1" applyBorder="1" applyAlignment="1">
      <alignment horizontal="center" vertical="top" wrapText="1"/>
    </xf>
    <xf numFmtId="2" fontId="51" fillId="0" borderId="5" xfId="1233" applyNumberFormat="1" applyFont="1" applyFill="1" applyBorder="1" applyAlignment="1">
      <alignment horizontal="center" vertical="top" wrapText="1"/>
    </xf>
    <xf numFmtId="0" fontId="62" fillId="0" borderId="5" xfId="0" applyFont="1" applyFill="1" applyBorder="1" applyAlignment="1">
      <alignment horizontal="center" vertical="top"/>
    </xf>
    <xf numFmtId="0" fontId="51" fillId="0" borderId="5" xfId="161" applyFont="1" applyFill="1" applyBorder="1" applyAlignment="1">
      <alignment horizontal="justify" vertical="top" wrapText="1"/>
    </xf>
    <xf numFmtId="0" fontId="62" fillId="0" borderId="6" xfId="0" applyFont="1" applyFill="1" applyBorder="1" applyAlignment="1">
      <alignment horizontal="right" vertical="top"/>
    </xf>
    <xf numFmtId="0" fontId="62" fillId="0" borderId="8" xfId="0" applyFont="1" applyFill="1" applyBorder="1" applyAlignment="1">
      <alignment horizontal="center" vertical="top"/>
    </xf>
    <xf numFmtId="0" fontId="62" fillId="0" borderId="7" xfId="0" applyFont="1" applyFill="1" applyBorder="1" applyAlignment="1">
      <alignment horizontal="left" vertical="top"/>
    </xf>
    <xf numFmtId="2" fontId="62" fillId="0" borderId="5" xfId="0" applyNumberFormat="1" applyFont="1" applyFill="1" applyBorder="1" applyAlignment="1">
      <alignment horizontal="center" vertical="top" wrapText="1"/>
    </xf>
    <xf numFmtId="168" fontId="62" fillId="0" borderId="5" xfId="0" applyNumberFormat="1" applyFont="1" applyFill="1" applyBorder="1" applyAlignment="1">
      <alignment horizontal="center" vertical="top" wrapText="1"/>
    </xf>
    <xf numFmtId="2" fontId="62" fillId="0" borderId="6" xfId="0" applyNumberFormat="1" applyFont="1" applyFill="1" applyBorder="1" applyAlignment="1">
      <alignment horizontal="right" vertical="top"/>
    </xf>
    <xf numFmtId="2" fontId="62" fillId="0" borderId="7" xfId="0" applyNumberFormat="1" applyFont="1" applyFill="1" applyBorder="1" applyAlignment="1">
      <alignment horizontal="left" vertical="top"/>
    </xf>
    <xf numFmtId="2" fontId="62" fillId="0" borderId="5" xfId="0" applyNumberFormat="1" applyFont="1" applyFill="1" applyBorder="1" applyAlignment="1">
      <alignment horizontal="center" vertical="top"/>
    </xf>
    <xf numFmtId="0" fontId="62" fillId="0" borderId="5" xfId="0" applyFont="1" applyFill="1" applyBorder="1" applyAlignment="1">
      <alignment horizontal="right" vertical="top"/>
    </xf>
    <xf numFmtId="2" fontId="62" fillId="0" borderId="0" xfId="0" applyNumberFormat="1" applyFont="1" applyFill="1" applyAlignment="1">
      <alignment vertical="top"/>
    </xf>
    <xf numFmtId="0" fontId="62" fillId="0" borderId="0" xfId="0" applyFont="1" applyFill="1" applyAlignment="1">
      <alignment vertical="top"/>
    </xf>
    <xf numFmtId="168" fontId="187" fillId="0" borderId="7" xfId="0" applyNumberFormat="1" applyFont="1" applyFill="1" applyBorder="1" applyAlignment="1">
      <alignment horizontal="left" vertical="top"/>
    </xf>
    <xf numFmtId="168" fontId="62" fillId="0" borderId="7" xfId="0" applyNumberFormat="1" applyFont="1" applyFill="1" applyBorder="1" applyAlignment="1">
      <alignment horizontal="left" vertical="top"/>
    </xf>
    <xf numFmtId="0" fontId="65" fillId="0" borderId="0" xfId="0" applyFont="1" applyFill="1" applyAlignment="1">
      <alignment horizontal="center" vertical="center"/>
    </xf>
    <xf numFmtId="0" fontId="51" fillId="0" borderId="0" xfId="0" applyFont="1" applyFill="1"/>
    <xf numFmtId="0" fontId="55" fillId="0" borderId="0" xfId="0" applyFont="1" applyFill="1" applyAlignment="1">
      <alignment horizontal="center" vertical="top" wrapText="1"/>
    </xf>
    <xf numFmtId="0" fontId="55" fillId="0" borderId="0" xfId="0" applyFont="1" applyFill="1" applyAlignment="1">
      <alignment horizontal="left" vertical="top" wrapText="1"/>
    </xf>
    <xf numFmtId="0" fontId="58" fillId="0" borderId="0" xfId="0" applyFont="1" applyFill="1"/>
    <xf numFmtId="0" fontId="59" fillId="0" borderId="0" xfId="0" applyFont="1" applyFill="1" applyAlignment="1">
      <alignment horizontal="center" vertical="center" wrapText="1"/>
    </xf>
    <xf numFmtId="0" fontId="59" fillId="0" borderId="0" xfId="0" applyFont="1" applyFill="1" applyAlignment="1">
      <alignment horizontal="right" vertical="center" wrapText="1"/>
    </xf>
    <xf numFmtId="0" fontId="59" fillId="0" borderId="0" xfId="0" applyFont="1" applyFill="1" applyAlignment="1">
      <alignment horizontal="left" vertical="center" wrapText="1"/>
    </xf>
    <xf numFmtId="0" fontId="55" fillId="0" borderId="9" xfId="0" applyFont="1" applyFill="1" applyBorder="1" applyAlignment="1">
      <alignment horizontal="center" vertical="center" wrapText="1"/>
    </xf>
    <xf numFmtId="2" fontId="55" fillId="0" borderId="0" xfId="0" applyNumberFormat="1" applyFont="1" applyFill="1"/>
    <xf numFmtId="0" fontId="58" fillId="0" borderId="5" xfId="0" applyFont="1" applyFill="1" applyBorder="1" applyAlignment="1">
      <alignment horizontal="center" vertical="center" wrapText="1"/>
    </xf>
    <xf numFmtId="0" fontId="58" fillId="0" borderId="10" xfId="0" applyFont="1" applyFill="1" applyBorder="1" applyAlignment="1">
      <alignment horizontal="center" vertical="center" wrapText="1"/>
    </xf>
    <xf numFmtId="0" fontId="58" fillId="0" borderId="11" xfId="0" applyFont="1" applyFill="1" applyBorder="1" applyAlignment="1">
      <alignment horizontal="center" vertical="center" wrapText="1"/>
    </xf>
    <xf numFmtId="0" fontId="58" fillId="0" borderId="0" xfId="0" applyFont="1" applyFill="1" applyAlignment="1">
      <alignment horizontal="center" vertical="center" wrapText="1"/>
    </xf>
    <xf numFmtId="0" fontId="58" fillId="0" borderId="5" xfId="0" applyFont="1" applyFill="1" applyBorder="1" applyAlignment="1">
      <alignment horizontal="center" vertical="center" wrapText="1"/>
    </xf>
    <xf numFmtId="0" fontId="58" fillId="0" borderId="12" xfId="0" applyFont="1" applyFill="1" applyBorder="1" applyAlignment="1">
      <alignment horizontal="center" vertical="center" wrapText="1"/>
    </xf>
    <xf numFmtId="0" fontId="58" fillId="0" borderId="13" xfId="0" applyFont="1" applyFill="1" applyBorder="1" applyAlignment="1">
      <alignment horizontal="center" vertical="center" wrapText="1"/>
    </xf>
    <xf numFmtId="0" fontId="58" fillId="0" borderId="5" xfId="0" applyFont="1" applyFill="1" applyBorder="1" applyAlignment="1">
      <alignment horizontal="center" vertical="center"/>
    </xf>
    <xf numFmtId="0" fontId="58" fillId="0" borderId="5" xfId="0" applyFont="1" applyFill="1" applyBorder="1" applyAlignment="1">
      <alignment horizontal="center" vertical="center"/>
    </xf>
    <xf numFmtId="0" fontId="58" fillId="0" borderId="6" xfId="0" applyFont="1" applyFill="1" applyBorder="1" applyAlignment="1">
      <alignment horizontal="center" vertical="center"/>
    </xf>
    <xf numFmtId="0" fontId="58" fillId="0" borderId="7" xfId="0" applyFont="1" applyFill="1" applyBorder="1" applyAlignment="1">
      <alignment horizontal="center" vertical="center"/>
    </xf>
    <xf numFmtId="0" fontId="58" fillId="0" borderId="6" xfId="0" applyFont="1" applyFill="1" applyBorder="1" applyAlignment="1">
      <alignment horizontal="center" vertical="center"/>
    </xf>
    <xf numFmtId="0" fontId="58" fillId="0" borderId="7" xfId="0" applyFont="1" applyFill="1" applyBorder="1" applyAlignment="1">
      <alignment horizontal="center" vertical="center"/>
    </xf>
    <xf numFmtId="0" fontId="58" fillId="0" borderId="0" xfId="0" applyFont="1" applyFill="1" applyAlignment="1">
      <alignment vertical="center"/>
    </xf>
    <xf numFmtId="0" fontId="62" fillId="0" borderId="5" xfId="0" applyFont="1" applyFill="1" applyBorder="1" applyAlignment="1">
      <alignment horizontal="center" vertical="top" wrapText="1"/>
    </xf>
    <xf numFmtId="0" fontId="62" fillId="0" borderId="5" xfId="0" applyFont="1" applyFill="1" applyBorder="1" applyAlignment="1">
      <alignment horizontal="justify" vertical="top" wrapText="1"/>
    </xf>
    <xf numFmtId="0" fontId="62" fillId="0" borderId="6" xfId="0" applyFont="1" applyFill="1" applyBorder="1" applyAlignment="1">
      <alignment horizontal="right" vertical="top" wrapText="1"/>
    </xf>
    <xf numFmtId="0" fontId="62" fillId="0" borderId="7" xfId="0" applyFont="1" applyFill="1" applyBorder="1" applyAlignment="1">
      <alignment horizontal="right" vertical="top" wrapText="1"/>
    </xf>
    <xf numFmtId="0" fontId="62" fillId="0" borderId="5" xfId="0" applyFont="1" applyFill="1" applyBorder="1" applyAlignment="1">
      <alignment vertical="top" wrapText="1"/>
    </xf>
    <xf numFmtId="2" fontId="62" fillId="0" borderId="0" xfId="0" applyNumberFormat="1" applyFont="1" applyFill="1" applyAlignment="1">
      <alignment vertical="top" wrapText="1"/>
    </xf>
    <xf numFmtId="0" fontId="62" fillId="0" borderId="0" xfId="0" applyFont="1" applyFill="1" applyAlignment="1">
      <alignment vertical="top" wrapText="1"/>
    </xf>
    <xf numFmtId="0" fontId="62" fillId="0" borderId="5" xfId="0" applyFont="1" applyFill="1" applyBorder="1" applyAlignment="1">
      <alignment horizontal="center"/>
    </xf>
    <xf numFmtId="0" fontId="62" fillId="0" borderId="6" xfId="0" applyFont="1" applyFill="1" applyBorder="1" applyAlignment="1">
      <alignment horizontal="right"/>
    </xf>
    <xf numFmtId="0" fontId="62" fillId="0" borderId="8" xfId="0" applyFont="1" applyFill="1" applyBorder="1" applyAlignment="1">
      <alignment horizontal="center"/>
    </xf>
    <xf numFmtId="0" fontId="62" fillId="0" borderId="7" xfId="0" applyFont="1" applyFill="1" applyBorder="1" applyAlignment="1">
      <alignment horizontal="left"/>
    </xf>
    <xf numFmtId="2" fontId="77" fillId="0" borderId="6" xfId="0" applyNumberFormat="1" applyFont="1" applyFill="1" applyBorder="1" applyAlignment="1">
      <alignment horizontal="right" vertical="top" wrapText="1"/>
    </xf>
    <xf numFmtId="2" fontId="77" fillId="0" borderId="7" xfId="0" applyNumberFormat="1" applyFont="1" applyFill="1" applyBorder="1" applyAlignment="1">
      <alignment horizontal="left" vertical="top"/>
    </xf>
    <xf numFmtId="2" fontId="77" fillId="0" borderId="5" xfId="0" applyNumberFormat="1" applyFont="1" applyFill="1" applyBorder="1" applyAlignment="1">
      <alignment horizontal="center" vertical="top" wrapText="1"/>
    </xf>
    <xf numFmtId="2" fontId="51" fillId="0" borderId="5" xfId="0" applyNumberFormat="1" applyFont="1" applyFill="1" applyBorder="1" applyAlignment="1">
      <alignment horizontal="center" vertical="top"/>
    </xf>
    <xf numFmtId="2" fontId="77" fillId="0" borderId="5" xfId="0" applyNumberFormat="1" applyFont="1" applyFill="1" applyBorder="1" applyAlignment="1">
      <alignment horizontal="right" vertical="top" wrapText="1"/>
    </xf>
    <xf numFmtId="0" fontId="62" fillId="0" borderId="0" xfId="0" applyFont="1" applyFill="1"/>
    <xf numFmtId="0" fontId="37" fillId="0" borderId="6" xfId="0" applyFont="1" applyFill="1" applyBorder="1" applyAlignment="1">
      <alignment vertical="top"/>
    </xf>
    <xf numFmtId="0" fontId="37" fillId="0" borderId="8" xfId="0" applyFont="1" applyFill="1" applyBorder="1" applyAlignment="1">
      <alignment vertical="top"/>
    </xf>
    <xf numFmtId="2" fontId="37" fillId="0" borderId="5" xfId="0" applyNumberFormat="1" applyFont="1" applyFill="1" applyBorder="1" applyAlignment="1">
      <alignment horizontal="center" vertical="top"/>
    </xf>
    <xf numFmtId="2" fontId="37" fillId="0" borderId="5" xfId="1237" applyNumberFormat="1" applyFont="1" applyFill="1" applyBorder="1" applyAlignment="1">
      <alignment horizontal="center" vertical="top" wrapText="1"/>
    </xf>
    <xf numFmtId="2" fontId="37" fillId="0" borderId="6" xfId="1237" applyNumberFormat="1" applyFont="1" applyFill="1" applyBorder="1" applyAlignment="1">
      <alignment horizontal="center" vertical="top" wrapText="1"/>
    </xf>
    <xf numFmtId="2" fontId="37" fillId="0" borderId="6" xfId="0" applyNumberFormat="1" applyFont="1" applyFill="1" applyBorder="1" applyAlignment="1">
      <alignment horizontal="right" vertical="top"/>
    </xf>
    <xf numFmtId="2" fontId="37" fillId="0" borderId="7" xfId="1237" applyNumberFormat="1" applyFont="1" applyFill="1" applyBorder="1" applyAlignment="1">
      <alignment vertical="top" wrapText="1"/>
    </xf>
    <xf numFmtId="0" fontId="51" fillId="0" borderId="5" xfId="0" applyFont="1" applyFill="1" applyBorder="1" applyAlignment="1">
      <alignment horizontal="center" vertical="top"/>
    </xf>
    <xf numFmtId="0" fontId="51" fillId="0" borderId="5" xfId="0" applyFont="1" applyFill="1" applyBorder="1" applyAlignment="1">
      <alignment horizontal="justify" vertical="top" wrapText="1"/>
    </xf>
    <xf numFmtId="0" fontId="51" fillId="0" borderId="6" xfId="0" applyFont="1" applyFill="1" applyBorder="1" applyAlignment="1">
      <alignment horizontal="right" vertical="top"/>
    </xf>
    <xf numFmtId="0" fontId="51" fillId="0" borderId="7" xfId="0" applyFont="1" applyFill="1" applyBorder="1" applyAlignment="1">
      <alignment horizontal="left" vertical="top"/>
    </xf>
    <xf numFmtId="0" fontId="51" fillId="0" borderId="5" xfId="0" applyFont="1" applyFill="1" applyBorder="1" applyAlignment="1">
      <alignment vertical="top"/>
    </xf>
    <xf numFmtId="0" fontId="51" fillId="0" borderId="5" xfId="0" applyFont="1" applyFill="1" applyBorder="1" applyAlignment="1">
      <alignment horizontal="right" vertical="top"/>
    </xf>
    <xf numFmtId="0" fontId="51" fillId="0" borderId="0" xfId="0" applyFont="1" applyFill="1" applyAlignment="1">
      <alignment vertical="top"/>
    </xf>
    <xf numFmtId="0" fontId="52" fillId="0" borderId="0" xfId="0" applyFont="1" applyFill="1" applyAlignment="1">
      <alignment vertical="top" wrapText="1"/>
    </xf>
    <xf numFmtId="0" fontId="37" fillId="0" borderId="7" xfId="1237" applyFont="1" applyFill="1" applyBorder="1" applyAlignment="1">
      <alignment vertical="top" wrapText="1"/>
    </xf>
    <xf numFmtId="0" fontId="37" fillId="0" borderId="6" xfId="1237" applyFont="1" applyFill="1" applyBorder="1" applyAlignment="1">
      <alignment vertical="top"/>
    </xf>
    <xf numFmtId="0" fontId="37" fillId="0" borderId="8" xfId="1237" applyFont="1" applyFill="1" applyBorder="1" applyAlignment="1">
      <alignment vertical="top"/>
    </xf>
    <xf numFmtId="0" fontId="37" fillId="0" borderId="7" xfId="1237" applyFont="1" applyFill="1" applyBorder="1" applyAlignment="1">
      <alignment horizontal="left" vertical="top"/>
    </xf>
    <xf numFmtId="2" fontId="37" fillId="0" borderId="5" xfId="1237" applyNumberFormat="1" applyFont="1" applyFill="1" applyBorder="1" applyAlignment="1">
      <alignment horizontal="center" vertical="top"/>
    </xf>
    <xf numFmtId="2" fontId="37" fillId="0" borderId="6" xfId="1237" applyNumberFormat="1" applyFont="1" applyFill="1" applyBorder="1" applyAlignment="1">
      <alignment horizontal="right" vertical="top"/>
    </xf>
    <xf numFmtId="2" fontId="51" fillId="0" borderId="7" xfId="0" applyNumberFormat="1" applyFont="1" applyFill="1" applyBorder="1" applyAlignment="1">
      <alignment horizontal="left" vertical="top"/>
    </xf>
    <xf numFmtId="2" fontId="51" fillId="0" borderId="0" xfId="0" applyNumberFormat="1" applyFont="1" applyFill="1" applyAlignment="1">
      <alignment vertical="top"/>
    </xf>
    <xf numFmtId="0" fontId="37" fillId="0" borderId="0" xfId="1237" applyFont="1" applyFill="1" applyAlignment="1">
      <alignment vertical="top"/>
    </xf>
    <xf numFmtId="168" fontId="37" fillId="0" borderId="7" xfId="0" applyNumberFormat="1" applyFont="1" applyFill="1" applyBorder="1" applyAlignment="1">
      <alignment horizontal="left" vertical="top"/>
    </xf>
    <xf numFmtId="2" fontId="37" fillId="0" borderId="6" xfId="0" applyNumberFormat="1" applyFont="1" applyFill="1" applyBorder="1" applyAlignment="1">
      <alignment horizontal="center" vertical="top"/>
    </xf>
    <xf numFmtId="0" fontId="51" fillId="0" borderId="7" xfId="0" applyFont="1" applyFill="1" applyBorder="1" applyAlignment="1">
      <alignment vertical="top"/>
    </xf>
    <xf numFmtId="0" fontId="51" fillId="0" borderId="6" xfId="0" applyFont="1" applyFill="1" applyBorder="1" applyAlignment="1">
      <alignment vertical="top"/>
    </xf>
    <xf numFmtId="0" fontId="51" fillId="0" borderId="8" xfId="0" applyFont="1" applyFill="1" applyBorder="1" applyAlignment="1">
      <alignment vertical="top"/>
    </xf>
    <xf numFmtId="2" fontId="51" fillId="0" borderId="6" xfId="0" applyNumberFormat="1" applyFont="1" applyFill="1" applyBorder="1" applyAlignment="1">
      <alignment horizontal="right" vertical="top"/>
    </xf>
    <xf numFmtId="2" fontId="51" fillId="0" borderId="5" xfId="0" applyNumberFormat="1" applyFont="1" applyFill="1" applyBorder="1" applyAlignment="1">
      <alignment horizontal="right" vertical="top"/>
    </xf>
    <xf numFmtId="0" fontId="37" fillId="0" borderId="5" xfId="1237" applyFont="1" applyFill="1" applyBorder="1" applyAlignment="1">
      <alignment vertical="top" wrapText="1"/>
    </xf>
    <xf numFmtId="0" fontId="37" fillId="0" borderId="7" xfId="0" applyFont="1" applyFill="1" applyBorder="1" applyAlignment="1">
      <alignment horizontal="left" vertical="top"/>
    </xf>
    <xf numFmtId="49" fontId="51" fillId="0" borderId="7" xfId="0" applyNumberFormat="1" applyFont="1" applyFill="1" applyBorder="1" applyAlignment="1">
      <alignment horizontal="justify" vertical="top" wrapText="1"/>
    </xf>
    <xf numFmtId="2" fontId="51" fillId="0" borderId="5" xfId="0" applyNumberFormat="1" applyFont="1" applyFill="1" applyBorder="1" applyAlignment="1">
      <alignment horizontal="center" vertical="top" wrapText="1"/>
    </xf>
    <xf numFmtId="0" fontId="51" fillId="0" borderId="6" xfId="0" applyFont="1" applyFill="1" applyBorder="1" applyAlignment="1">
      <alignment horizontal="right" vertical="center"/>
    </xf>
    <xf numFmtId="0" fontId="51" fillId="0" borderId="7" xfId="0" applyFont="1" applyFill="1" applyBorder="1" applyAlignment="1">
      <alignment horizontal="right" vertical="center"/>
    </xf>
    <xf numFmtId="0" fontId="51" fillId="0" borderId="7" xfId="0" applyFont="1" applyFill="1" applyBorder="1" applyAlignment="1">
      <alignment vertical="center"/>
    </xf>
    <xf numFmtId="2" fontId="51" fillId="0" borderId="5" xfId="0" applyNumberFormat="1" applyFont="1" applyFill="1" applyBorder="1" applyAlignment="1">
      <alignment horizontal="center" vertical="center"/>
    </xf>
    <xf numFmtId="0" fontId="51" fillId="0" borderId="5" xfId="0" applyFont="1" applyFill="1" applyBorder="1" applyAlignment="1">
      <alignment horizontal="right" vertical="center"/>
    </xf>
    <xf numFmtId="2" fontId="62" fillId="0" borderId="7" xfId="0" applyNumberFormat="1" applyFont="1" applyFill="1" applyBorder="1" applyAlignment="1">
      <alignment horizontal="center" vertical="top"/>
    </xf>
    <xf numFmtId="0" fontId="51" fillId="0" borderId="5" xfId="0" applyFont="1" applyFill="1" applyBorder="1" applyAlignment="1">
      <alignment horizontal="justify" vertical="center" wrapText="1"/>
    </xf>
    <xf numFmtId="0" fontId="51" fillId="0" borderId="8" xfId="0" applyFont="1" applyFill="1" applyBorder="1" applyAlignment="1">
      <alignment horizontal="justify" vertical="center"/>
    </xf>
    <xf numFmtId="0" fontId="51" fillId="0" borderId="7" xfId="0" applyFont="1" applyFill="1" applyBorder="1" applyAlignment="1">
      <alignment horizontal="left" vertical="center"/>
    </xf>
    <xf numFmtId="0" fontId="51" fillId="0" borderId="5" xfId="0" applyFont="1" applyFill="1" applyBorder="1" applyAlignment="1">
      <alignment horizontal="justify" vertical="center"/>
    </xf>
    <xf numFmtId="2" fontId="52" fillId="0" borderId="6" xfId="0" applyNumberFormat="1" applyFont="1" applyFill="1" applyBorder="1" applyAlignment="1">
      <alignment horizontal="right" vertical="center"/>
    </xf>
    <xf numFmtId="2" fontId="52" fillId="0" borderId="7" xfId="0" applyNumberFormat="1" applyFont="1" applyFill="1" applyBorder="1" applyAlignment="1">
      <alignment horizontal="left" vertical="center"/>
    </xf>
    <xf numFmtId="2" fontId="52" fillId="0" borderId="7" xfId="0" applyNumberFormat="1" applyFont="1" applyFill="1" applyBorder="1" applyAlignment="1">
      <alignment horizontal="center" vertical="center"/>
    </xf>
    <xf numFmtId="2" fontId="52" fillId="0" borderId="5" xfId="0" applyNumberFormat="1" applyFont="1" applyFill="1" applyBorder="1" applyAlignment="1">
      <alignment horizontal="center" vertical="top" wrapText="1"/>
    </xf>
    <xf numFmtId="0" fontId="52" fillId="0" borderId="6" xfId="0" applyFont="1" applyFill="1" applyBorder="1" applyAlignment="1">
      <alignment horizontal="center" vertical="top" wrapText="1"/>
    </xf>
    <xf numFmtId="0" fontId="52" fillId="0" borderId="8" xfId="0" applyFont="1" applyFill="1" applyBorder="1" applyAlignment="1">
      <alignment horizontal="center" vertical="top" wrapText="1"/>
    </xf>
    <xf numFmtId="0" fontId="52" fillId="0" borderId="7" xfId="0" applyFont="1" applyFill="1" applyBorder="1" applyAlignment="1">
      <alignment horizontal="center" vertical="top" wrapText="1"/>
    </xf>
    <xf numFmtId="2" fontId="52" fillId="0" borderId="7" xfId="0" applyNumberFormat="1" applyFont="1" applyFill="1" applyBorder="1" applyAlignment="1">
      <alignment horizontal="right" vertical="center"/>
    </xf>
    <xf numFmtId="2" fontId="52" fillId="0" borderId="5" xfId="0" applyNumberFormat="1" applyFont="1" applyFill="1" applyBorder="1" applyAlignment="1">
      <alignment horizontal="center" vertical="center"/>
    </xf>
    <xf numFmtId="2" fontId="52" fillId="0" borderId="5" xfId="0" applyNumberFormat="1" applyFont="1" applyFill="1" applyBorder="1" applyAlignment="1">
      <alignment horizontal="right" vertical="center"/>
    </xf>
    <xf numFmtId="0" fontId="51" fillId="0" borderId="0" xfId="0" applyFont="1" applyFill="1" applyAlignment="1">
      <alignment horizontal="center" vertical="top"/>
    </xf>
    <xf numFmtId="0" fontId="52" fillId="0" borderId="0" xfId="0" applyFont="1" applyFill="1" applyAlignment="1">
      <alignment horizontal="justify" vertical="top" wrapText="1"/>
    </xf>
    <xf numFmtId="0" fontId="52" fillId="0" borderId="0" xfId="0" applyFont="1" applyFill="1" applyAlignment="1">
      <alignment horizontal="right" vertical="top" wrapText="1"/>
    </xf>
    <xf numFmtId="0" fontId="52" fillId="0" borderId="0" xfId="0" applyFont="1" applyFill="1" applyAlignment="1">
      <alignment horizontal="left" vertical="top" wrapText="1"/>
    </xf>
    <xf numFmtId="2" fontId="52" fillId="0" borderId="0" xfId="0" applyNumberFormat="1" applyFont="1" applyFill="1" applyAlignment="1">
      <alignment horizontal="right" vertical="center"/>
    </xf>
    <xf numFmtId="2" fontId="52" fillId="0" borderId="0" xfId="0" applyNumberFormat="1" applyFont="1" applyFill="1" applyAlignment="1">
      <alignment horizontal="center" vertical="center"/>
    </xf>
    <xf numFmtId="0" fontId="51" fillId="0" borderId="0" xfId="0" applyFont="1" applyFill="1" applyAlignment="1">
      <alignment horizontal="center"/>
    </xf>
    <xf numFmtId="2" fontId="51" fillId="0" borderId="0" xfId="0" applyNumberFormat="1" applyFont="1" applyFill="1" applyAlignment="1">
      <alignment horizontal="center" vertical="center"/>
    </xf>
    <xf numFmtId="0" fontId="51" fillId="0" borderId="0" xfId="0" applyFont="1" applyFill="1" applyAlignment="1">
      <alignment horizontal="right"/>
    </xf>
    <xf numFmtId="0" fontId="51" fillId="0" borderId="0" xfId="0" applyFont="1" applyFill="1" applyAlignment="1">
      <alignment horizontal="left"/>
    </xf>
    <xf numFmtId="1" fontId="62" fillId="0" borderId="6" xfId="0" applyNumberFormat="1" applyFont="1" applyFill="1" applyBorder="1" applyAlignment="1">
      <alignment horizontal="right" vertical="top"/>
    </xf>
    <xf numFmtId="1" fontId="77" fillId="0" borderId="6" xfId="0" applyNumberFormat="1" applyFont="1" applyFill="1" applyBorder="1" applyAlignment="1">
      <alignment horizontal="right" vertical="top" wrapText="1"/>
    </xf>
    <xf numFmtId="0" fontId="85" fillId="0" borderId="0" xfId="84" applyFont="1" applyAlignment="1">
      <alignment horizontal="justify" vertical="top" wrapText="1"/>
    </xf>
  </cellXfs>
  <cellStyles count="1917">
    <cellStyle name="20% - Accent1 10" xfId="164" xr:uid="{00000000-0005-0000-0000-000000000000}"/>
    <cellStyle name="20% - Accent1 11" xfId="165" xr:uid="{00000000-0005-0000-0000-000001000000}"/>
    <cellStyle name="20% - Accent1 2" xfId="166" xr:uid="{00000000-0005-0000-0000-000002000000}"/>
    <cellStyle name="20% - Accent1 2 2" xfId="1419" xr:uid="{00000000-0005-0000-0000-000003000000}"/>
    <cellStyle name="20% - Accent1 2 3" xfId="1420" xr:uid="{00000000-0005-0000-0000-000004000000}"/>
    <cellStyle name="20% - Accent1 2 4" xfId="1421" xr:uid="{00000000-0005-0000-0000-000005000000}"/>
    <cellStyle name="20% - Accent1 3" xfId="167" xr:uid="{00000000-0005-0000-0000-000006000000}"/>
    <cellStyle name="20% - Accent1 4" xfId="168" xr:uid="{00000000-0005-0000-0000-000007000000}"/>
    <cellStyle name="20% - Accent1 5" xfId="169" xr:uid="{00000000-0005-0000-0000-000008000000}"/>
    <cellStyle name="20% - Accent1 6" xfId="170" xr:uid="{00000000-0005-0000-0000-000009000000}"/>
    <cellStyle name="20% - Accent1 7" xfId="171" xr:uid="{00000000-0005-0000-0000-00000A000000}"/>
    <cellStyle name="20% - Accent1 8" xfId="172" xr:uid="{00000000-0005-0000-0000-00000B000000}"/>
    <cellStyle name="20% - Accent1 9" xfId="173" xr:uid="{00000000-0005-0000-0000-00000C000000}"/>
    <cellStyle name="20% - Accent2 10" xfId="174" xr:uid="{00000000-0005-0000-0000-00000D000000}"/>
    <cellStyle name="20% - Accent2 11" xfId="175" xr:uid="{00000000-0005-0000-0000-00000E000000}"/>
    <cellStyle name="20% - Accent2 2" xfId="176" xr:uid="{00000000-0005-0000-0000-00000F000000}"/>
    <cellStyle name="20% - Accent2 2 2" xfId="1422" xr:uid="{00000000-0005-0000-0000-000010000000}"/>
    <cellStyle name="20% - Accent2 2 3" xfId="1423" xr:uid="{00000000-0005-0000-0000-000011000000}"/>
    <cellStyle name="20% - Accent2 2 4" xfId="1424" xr:uid="{00000000-0005-0000-0000-000012000000}"/>
    <cellStyle name="20% - Accent2 3" xfId="177" xr:uid="{00000000-0005-0000-0000-000013000000}"/>
    <cellStyle name="20% - Accent2 4" xfId="178" xr:uid="{00000000-0005-0000-0000-000014000000}"/>
    <cellStyle name="20% - Accent2 5" xfId="179" xr:uid="{00000000-0005-0000-0000-000015000000}"/>
    <cellStyle name="20% - Accent2 6" xfId="180" xr:uid="{00000000-0005-0000-0000-000016000000}"/>
    <cellStyle name="20% - Accent2 7" xfId="181" xr:uid="{00000000-0005-0000-0000-000017000000}"/>
    <cellStyle name="20% - Accent2 8" xfId="182" xr:uid="{00000000-0005-0000-0000-000018000000}"/>
    <cellStyle name="20% - Accent2 9" xfId="183" xr:uid="{00000000-0005-0000-0000-000019000000}"/>
    <cellStyle name="20% - Accent3 10" xfId="184" xr:uid="{00000000-0005-0000-0000-00001A000000}"/>
    <cellStyle name="20% - Accent3 11" xfId="185" xr:uid="{00000000-0005-0000-0000-00001B000000}"/>
    <cellStyle name="20% - Accent3 2" xfId="186" xr:uid="{00000000-0005-0000-0000-00001C000000}"/>
    <cellStyle name="20% - Accent3 2 2" xfId="1425" xr:uid="{00000000-0005-0000-0000-00001D000000}"/>
    <cellStyle name="20% - Accent3 2 3" xfId="1426" xr:uid="{00000000-0005-0000-0000-00001E000000}"/>
    <cellStyle name="20% - Accent3 2 4" xfId="1427" xr:uid="{00000000-0005-0000-0000-00001F000000}"/>
    <cellStyle name="20% - Accent3 3" xfId="187" xr:uid="{00000000-0005-0000-0000-000020000000}"/>
    <cellStyle name="20% - Accent3 4" xfId="188" xr:uid="{00000000-0005-0000-0000-000021000000}"/>
    <cellStyle name="20% - Accent3 5" xfId="189" xr:uid="{00000000-0005-0000-0000-000022000000}"/>
    <cellStyle name="20% - Accent3 6" xfId="190" xr:uid="{00000000-0005-0000-0000-000023000000}"/>
    <cellStyle name="20% - Accent3 7" xfId="191" xr:uid="{00000000-0005-0000-0000-000024000000}"/>
    <cellStyle name="20% - Accent3 8" xfId="192" xr:uid="{00000000-0005-0000-0000-000025000000}"/>
    <cellStyle name="20% - Accent3 9" xfId="193" xr:uid="{00000000-0005-0000-0000-000026000000}"/>
    <cellStyle name="20% - Accent4 10" xfId="194" xr:uid="{00000000-0005-0000-0000-000027000000}"/>
    <cellStyle name="20% - Accent4 11" xfId="195" xr:uid="{00000000-0005-0000-0000-000028000000}"/>
    <cellStyle name="20% - Accent4 2" xfId="196" xr:uid="{00000000-0005-0000-0000-000029000000}"/>
    <cellStyle name="20% - Accent4 2 2" xfId="1428" xr:uid="{00000000-0005-0000-0000-00002A000000}"/>
    <cellStyle name="20% - Accent4 2 3" xfId="1429" xr:uid="{00000000-0005-0000-0000-00002B000000}"/>
    <cellStyle name="20% - Accent4 2 4" xfId="1430" xr:uid="{00000000-0005-0000-0000-00002C000000}"/>
    <cellStyle name="20% - Accent4 3" xfId="197" xr:uid="{00000000-0005-0000-0000-00002D000000}"/>
    <cellStyle name="20% - Accent4 4" xfId="198" xr:uid="{00000000-0005-0000-0000-00002E000000}"/>
    <cellStyle name="20% - Accent4 5" xfId="199" xr:uid="{00000000-0005-0000-0000-00002F000000}"/>
    <cellStyle name="20% - Accent4 6" xfId="200" xr:uid="{00000000-0005-0000-0000-000030000000}"/>
    <cellStyle name="20% - Accent4 7" xfId="201" xr:uid="{00000000-0005-0000-0000-000031000000}"/>
    <cellStyle name="20% - Accent4 8" xfId="202" xr:uid="{00000000-0005-0000-0000-000032000000}"/>
    <cellStyle name="20% - Accent4 9" xfId="203" xr:uid="{00000000-0005-0000-0000-000033000000}"/>
    <cellStyle name="20% - Accent5 10" xfId="204" xr:uid="{00000000-0005-0000-0000-000034000000}"/>
    <cellStyle name="20% - Accent5 11" xfId="205" xr:uid="{00000000-0005-0000-0000-000035000000}"/>
    <cellStyle name="20% - Accent5 2" xfId="206" xr:uid="{00000000-0005-0000-0000-000036000000}"/>
    <cellStyle name="20% - Accent5 2 2" xfId="1431" xr:uid="{00000000-0005-0000-0000-000037000000}"/>
    <cellStyle name="20% - Accent5 2 3" xfId="1432" xr:uid="{00000000-0005-0000-0000-000038000000}"/>
    <cellStyle name="20% - Accent5 2 4" xfId="1433" xr:uid="{00000000-0005-0000-0000-000039000000}"/>
    <cellStyle name="20% - Accent5 3" xfId="207" xr:uid="{00000000-0005-0000-0000-00003A000000}"/>
    <cellStyle name="20% - Accent5 4" xfId="208" xr:uid="{00000000-0005-0000-0000-00003B000000}"/>
    <cellStyle name="20% - Accent5 5" xfId="209" xr:uid="{00000000-0005-0000-0000-00003C000000}"/>
    <cellStyle name="20% - Accent5 6" xfId="210" xr:uid="{00000000-0005-0000-0000-00003D000000}"/>
    <cellStyle name="20% - Accent5 7" xfId="211" xr:uid="{00000000-0005-0000-0000-00003E000000}"/>
    <cellStyle name="20% - Accent5 8" xfId="212" xr:uid="{00000000-0005-0000-0000-00003F000000}"/>
    <cellStyle name="20% - Accent5 9" xfId="213" xr:uid="{00000000-0005-0000-0000-000040000000}"/>
    <cellStyle name="20% - Accent6 10" xfId="214" xr:uid="{00000000-0005-0000-0000-000041000000}"/>
    <cellStyle name="20% - Accent6 11" xfId="215" xr:uid="{00000000-0005-0000-0000-000042000000}"/>
    <cellStyle name="20% - Accent6 2" xfId="216" xr:uid="{00000000-0005-0000-0000-000043000000}"/>
    <cellStyle name="20% - Accent6 2 2" xfId="1434" xr:uid="{00000000-0005-0000-0000-000044000000}"/>
    <cellStyle name="20% - Accent6 2 3" xfId="1435" xr:uid="{00000000-0005-0000-0000-000045000000}"/>
    <cellStyle name="20% - Accent6 2 4" xfId="1436" xr:uid="{00000000-0005-0000-0000-000046000000}"/>
    <cellStyle name="20% - Accent6 3" xfId="217" xr:uid="{00000000-0005-0000-0000-000047000000}"/>
    <cellStyle name="20% - Accent6 4" xfId="218" xr:uid="{00000000-0005-0000-0000-000048000000}"/>
    <cellStyle name="20% - Accent6 5" xfId="219" xr:uid="{00000000-0005-0000-0000-000049000000}"/>
    <cellStyle name="20% - Accent6 6" xfId="220" xr:uid="{00000000-0005-0000-0000-00004A000000}"/>
    <cellStyle name="20% - Accent6 7" xfId="221" xr:uid="{00000000-0005-0000-0000-00004B000000}"/>
    <cellStyle name="20% - Accent6 8" xfId="222" xr:uid="{00000000-0005-0000-0000-00004C000000}"/>
    <cellStyle name="20% - Accent6 9" xfId="223" xr:uid="{00000000-0005-0000-0000-00004D000000}"/>
    <cellStyle name="40% - Accent1 10" xfId="224" xr:uid="{00000000-0005-0000-0000-00004E000000}"/>
    <cellStyle name="40% - Accent1 11" xfId="225" xr:uid="{00000000-0005-0000-0000-00004F000000}"/>
    <cellStyle name="40% - Accent1 2" xfId="226" xr:uid="{00000000-0005-0000-0000-000050000000}"/>
    <cellStyle name="40% - Accent1 2 2" xfId="1437" xr:uid="{00000000-0005-0000-0000-000051000000}"/>
    <cellStyle name="40% - Accent1 2 3" xfId="1438" xr:uid="{00000000-0005-0000-0000-000052000000}"/>
    <cellStyle name="40% - Accent1 2 4" xfId="1439" xr:uid="{00000000-0005-0000-0000-000053000000}"/>
    <cellStyle name="40% - Accent1 3" xfId="227" xr:uid="{00000000-0005-0000-0000-000054000000}"/>
    <cellStyle name="40% - Accent1 4" xfId="228" xr:uid="{00000000-0005-0000-0000-000055000000}"/>
    <cellStyle name="40% - Accent1 5" xfId="229" xr:uid="{00000000-0005-0000-0000-000056000000}"/>
    <cellStyle name="40% - Accent1 6" xfId="230" xr:uid="{00000000-0005-0000-0000-000057000000}"/>
    <cellStyle name="40% - Accent1 7" xfId="231" xr:uid="{00000000-0005-0000-0000-000058000000}"/>
    <cellStyle name="40% - Accent1 8" xfId="232" xr:uid="{00000000-0005-0000-0000-000059000000}"/>
    <cellStyle name="40% - Accent1 9" xfId="233" xr:uid="{00000000-0005-0000-0000-00005A000000}"/>
    <cellStyle name="40% - Accent2 10" xfId="234" xr:uid="{00000000-0005-0000-0000-00005B000000}"/>
    <cellStyle name="40% - Accent2 11" xfId="235" xr:uid="{00000000-0005-0000-0000-00005C000000}"/>
    <cellStyle name="40% - Accent2 2" xfId="236" xr:uid="{00000000-0005-0000-0000-00005D000000}"/>
    <cellStyle name="40% - Accent2 2 2" xfId="1440" xr:uid="{00000000-0005-0000-0000-00005E000000}"/>
    <cellStyle name="40% - Accent2 2 3" xfId="1441" xr:uid="{00000000-0005-0000-0000-00005F000000}"/>
    <cellStyle name="40% - Accent2 2 4" xfId="1442" xr:uid="{00000000-0005-0000-0000-000060000000}"/>
    <cellStyle name="40% - Accent2 3" xfId="237" xr:uid="{00000000-0005-0000-0000-000061000000}"/>
    <cellStyle name="40% - Accent2 4" xfId="238" xr:uid="{00000000-0005-0000-0000-000062000000}"/>
    <cellStyle name="40% - Accent2 5" xfId="239" xr:uid="{00000000-0005-0000-0000-000063000000}"/>
    <cellStyle name="40% - Accent2 6" xfId="240" xr:uid="{00000000-0005-0000-0000-000064000000}"/>
    <cellStyle name="40% - Accent2 7" xfId="241" xr:uid="{00000000-0005-0000-0000-000065000000}"/>
    <cellStyle name="40% - Accent2 8" xfId="242" xr:uid="{00000000-0005-0000-0000-000066000000}"/>
    <cellStyle name="40% - Accent2 9" xfId="243" xr:uid="{00000000-0005-0000-0000-000067000000}"/>
    <cellStyle name="40% - Accent3 10" xfId="244" xr:uid="{00000000-0005-0000-0000-000068000000}"/>
    <cellStyle name="40% - Accent3 11" xfId="245" xr:uid="{00000000-0005-0000-0000-000069000000}"/>
    <cellStyle name="40% - Accent3 2" xfId="246" xr:uid="{00000000-0005-0000-0000-00006A000000}"/>
    <cellStyle name="40% - Accent3 2 2" xfId="1443" xr:uid="{00000000-0005-0000-0000-00006B000000}"/>
    <cellStyle name="40% - Accent3 2 3" xfId="1444" xr:uid="{00000000-0005-0000-0000-00006C000000}"/>
    <cellStyle name="40% - Accent3 2 4" xfId="1445" xr:uid="{00000000-0005-0000-0000-00006D000000}"/>
    <cellStyle name="40% - Accent3 3" xfId="247" xr:uid="{00000000-0005-0000-0000-00006E000000}"/>
    <cellStyle name="40% - Accent3 4" xfId="248" xr:uid="{00000000-0005-0000-0000-00006F000000}"/>
    <cellStyle name="40% - Accent3 5" xfId="249" xr:uid="{00000000-0005-0000-0000-000070000000}"/>
    <cellStyle name="40% - Accent3 6" xfId="250" xr:uid="{00000000-0005-0000-0000-000071000000}"/>
    <cellStyle name="40% - Accent3 7" xfId="251" xr:uid="{00000000-0005-0000-0000-000072000000}"/>
    <cellStyle name="40% - Accent3 8" xfId="252" xr:uid="{00000000-0005-0000-0000-000073000000}"/>
    <cellStyle name="40% - Accent3 9" xfId="253" xr:uid="{00000000-0005-0000-0000-000074000000}"/>
    <cellStyle name="40% - Accent4 10" xfId="254" xr:uid="{00000000-0005-0000-0000-000075000000}"/>
    <cellStyle name="40% - Accent4 11" xfId="255" xr:uid="{00000000-0005-0000-0000-000076000000}"/>
    <cellStyle name="40% - Accent4 2" xfId="256" xr:uid="{00000000-0005-0000-0000-000077000000}"/>
    <cellStyle name="40% - Accent4 2 2" xfId="1446" xr:uid="{00000000-0005-0000-0000-000078000000}"/>
    <cellStyle name="40% - Accent4 2 3" xfId="1447" xr:uid="{00000000-0005-0000-0000-000079000000}"/>
    <cellStyle name="40% - Accent4 2 4" xfId="1448" xr:uid="{00000000-0005-0000-0000-00007A000000}"/>
    <cellStyle name="40% - Accent4 3" xfId="257" xr:uid="{00000000-0005-0000-0000-00007B000000}"/>
    <cellStyle name="40% - Accent4 4" xfId="258" xr:uid="{00000000-0005-0000-0000-00007C000000}"/>
    <cellStyle name="40% - Accent4 5" xfId="259" xr:uid="{00000000-0005-0000-0000-00007D000000}"/>
    <cellStyle name="40% - Accent4 6" xfId="260" xr:uid="{00000000-0005-0000-0000-00007E000000}"/>
    <cellStyle name="40% - Accent4 7" xfId="261" xr:uid="{00000000-0005-0000-0000-00007F000000}"/>
    <cellStyle name="40% - Accent4 8" xfId="262" xr:uid="{00000000-0005-0000-0000-000080000000}"/>
    <cellStyle name="40% - Accent4 9" xfId="263" xr:uid="{00000000-0005-0000-0000-000081000000}"/>
    <cellStyle name="40% - Accent5 10" xfId="264" xr:uid="{00000000-0005-0000-0000-000082000000}"/>
    <cellStyle name="40% - Accent5 11" xfId="265" xr:uid="{00000000-0005-0000-0000-000083000000}"/>
    <cellStyle name="40% - Accent5 2" xfId="266" xr:uid="{00000000-0005-0000-0000-000084000000}"/>
    <cellStyle name="40% - Accent5 2 2" xfId="1449" xr:uid="{00000000-0005-0000-0000-000085000000}"/>
    <cellStyle name="40% - Accent5 2 3" xfId="1450" xr:uid="{00000000-0005-0000-0000-000086000000}"/>
    <cellStyle name="40% - Accent5 2 4" xfId="1451" xr:uid="{00000000-0005-0000-0000-000087000000}"/>
    <cellStyle name="40% - Accent5 3" xfId="267" xr:uid="{00000000-0005-0000-0000-000088000000}"/>
    <cellStyle name="40% - Accent5 4" xfId="268" xr:uid="{00000000-0005-0000-0000-000089000000}"/>
    <cellStyle name="40% - Accent5 5" xfId="269" xr:uid="{00000000-0005-0000-0000-00008A000000}"/>
    <cellStyle name="40% - Accent5 6" xfId="270" xr:uid="{00000000-0005-0000-0000-00008B000000}"/>
    <cellStyle name="40% - Accent5 7" xfId="271" xr:uid="{00000000-0005-0000-0000-00008C000000}"/>
    <cellStyle name="40% - Accent5 8" xfId="272" xr:uid="{00000000-0005-0000-0000-00008D000000}"/>
    <cellStyle name="40% - Accent5 9" xfId="273" xr:uid="{00000000-0005-0000-0000-00008E000000}"/>
    <cellStyle name="40% - Accent6 10" xfId="274" xr:uid="{00000000-0005-0000-0000-00008F000000}"/>
    <cellStyle name="40% - Accent6 11" xfId="275" xr:uid="{00000000-0005-0000-0000-000090000000}"/>
    <cellStyle name="40% - Accent6 2" xfId="276" xr:uid="{00000000-0005-0000-0000-000091000000}"/>
    <cellStyle name="40% - Accent6 2 2" xfId="1452" xr:uid="{00000000-0005-0000-0000-000092000000}"/>
    <cellStyle name="40% - Accent6 2 3" xfId="1453" xr:uid="{00000000-0005-0000-0000-000093000000}"/>
    <cellStyle name="40% - Accent6 2 4" xfId="1454" xr:uid="{00000000-0005-0000-0000-000094000000}"/>
    <cellStyle name="40% - Accent6 3" xfId="277" xr:uid="{00000000-0005-0000-0000-000095000000}"/>
    <cellStyle name="40% - Accent6 4" xfId="278" xr:uid="{00000000-0005-0000-0000-000096000000}"/>
    <cellStyle name="40% - Accent6 5" xfId="279" xr:uid="{00000000-0005-0000-0000-000097000000}"/>
    <cellStyle name="40% - Accent6 6" xfId="280" xr:uid="{00000000-0005-0000-0000-000098000000}"/>
    <cellStyle name="40% - Accent6 7" xfId="281" xr:uid="{00000000-0005-0000-0000-000099000000}"/>
    <cellStyle name="40% - Accent6 8" xfId="282" xr:uid="{00000000-0005-0000-0000-00009A000000}"/>
    <cellStyle name="40% - Accent6 9" xfId="283" xr:uid="{00000000-0005-0000-0000-00009B000000}"/>
    <cellStyle name="60% - Accent1 10" xfId="284" xr:uid="{00000000-0005-0000-0000-00009C000000}"/>
    <cellStyle name="60% - Accent1 11" xfId="285" xr:uid="{00000000-0005-0000-0000-00009D000000}"/>
    <cellStyle name="60% - Accent1 2" xfId="286" xr:uid="{00000000-0005-0000-0000-00009E000000}"/>
    <cellStyle name="60% - Accent1 2 2" xfId="1455" xr:uid="{00000000-0005-0000-0000-00009F000000}"/>
    <cellStyle name="60% - Accent1 2 3" xfId="1456" xr:uid="{00000000-0005-0000-0000-0000A0000000}"/>
    <cellStyle name="60% - Accent1 2 4" xfId="1457" xr:uid="{00000000-0005-0000-0000-0000A1000000}"/>
    <cellStyle name="60% - Accent1 3" xfId="287" xr:uid="{00000000-0005-0000-0000-0000A2000000}"/>
    <cellStyle name="60% - Accent1 4" xfId="288" xr:uid="{00000000-0005-0000-0000-0000A3000000}"/>
    <cellStyle name="60% - Accent1 5" xfId="289" xr:uid="{00000000-0005-0000-0000-0000A4000000}"/>
    <cellStyle name="60% - Accent1 6" xfId="290" xr:uid="{00000000-0005-0000-0000-0000A5000000}"/>
    <cellStyle name="60% - Accent1 7" xfId="291" xr:uid="{00000000-0005-0000-0000-0000A6000000}"/>
    <cellStyle name="60% - Accent1 8" xfId="292" xr:uid="{00000000-0005-0000-0000-0000A7000000}"/>
    <cellStyle name="60% - Accent1 9" xfId="293" xr:uid="{00000000-0005-0000-0000-0000A8000000}"/>
    <cellStyle name="60% - Accent2 10" xfId="294" xr:uid="{00000000-0005-0000-0000-0000A9000000}"/>
    <cellStyle name="60% - Accent2 11" xfId="295" xr:uid="{00000000-0005-0000-0000-0000AA000000}"/>
    <cellStyle name="60% - Accent2 2" xfId="296" xr:uid="{00000000-0005-0000-0000-0000AB000000}"/>
    <cellStyle name="60% - Accent2 2 2" xfId="1458" xr:uid="{00000000-0005-0000-0000-0000AC000000}"/>
    <cellStyle name="60% - Accent2 2 3" xfId="1459" xr:uid="{00000000-0005-0000-0000-0000AD000000}"/>
    <cellStyle name="60% - Accent2 2 4" xfId="1460" xr:uid="{00000000-0005-0000-0000-0000AE000000}"/>
    <cellStyle name="60% - Accent2 3" xfId="297" xr:uid="{00000000-0005-0000-0000-0000AF000000}"/>
    <cellStyle name="60% - Accent2 4" xfId="298" xr:uid="{00000000-0005-0000-0000-0000B0000000}"/>
    <cellStyle name="60% - Accent2 5" xfId="299" xr:uid="{00000000-0005-0000-0000-0000B1000000}"/>
    <cellStyle name="60% - Accent2 6" xfId="300" xr:uid="{00000000-0005-0000-0000-0000B2000000}"/>
    <cellStyle name="60% - Accent2 7" xfId="301" xr:uid="{00000000-0005-0000-0000-0000B3000000}"/>
    <cellStyle name="60% - Accent2 8" xfId="302" xr:uid="{00000000-0005-0000-0000-0000B4000000}"/>
    <cellStyle name="60% - Accent2 9" xfId="303" xr:uid="{00000000-0005-0000-0000-0000B5000000}"/>
    <cellStyle name="60% - Accent3 10" xfId="304" xr:uid="{00000000-0005-0000-0000-0000B6000000}"/>
    <cellStyle name="60% - Accent3 11" xfId="305" xr:uid="{00000000-0005-0000-0000-0000B7000000}"/>
    <cellStyle name="60% - Accent3 2" xfId="306" xr:uid="{00000000-0005-0000-0000-0000B8000000}"/>
    <cellStyle name="60% - Accent3 2 2" xfId="1461" xr:uid="{00000000-0005-0000-0000-0000B9000000}"/>
    <cellStyle name="60% - Accent3 2 3" xfId="1462" xr:uid="{00000000-0005-0000-0000-0000BA000000}"/>
    <cellStyle name="60% - Accent3 2 4" xfId="1463" xr:uid="{00000000-0005-0000-0000-0000BB000000}"/>
    <cellStyle name="60% - Accent3 3" xfId="307" xr:uid="{00000000-0005-0000-0000-0000BC000000}"/>
    <cellStyle name="60% - Accent3 4" xfId="308" xr:uid="{00000000-0005-0000-0000-0000BD000000}"/>
    <cellStyle name="60% - Accent3 5" xfId="309" xr:uid="{00000000-0005-0000-0000-0000BE000000}"/>
    <cellStyle name="60% - Accent3 6" xfId="310" xr:uid="{00000000-0005-0000-0000-0000BF000000}"/>
    <cellStyle name="60% - Accent3 7" xfId="311" xr:uid="{00000000-0005-0000-0000-0000C0000000}"/>
    <cellStyle name="60% - Accent3 8" xfId="312" xr:uid="{00000000-0005-0000-0000-0000C1000000}"/>
    <cellStyle name="60% - Accent3 9" xfId="313" xr:uid="{00000000-0005-0000-0000-0000C2000000}"/>
    <cellStyle name="60% - Accent4 10" xfId="314" xr:uid="{00000000-0005-0000-0000-0000C3000000}"/>
    <cellStyle name="60% - Accent4 11" xfId="315" xr:uid="{00000000-0005-0000-0000-0000C4000000}"/>
    <cellStyle name="60% - Accent4 2" xfId="316" xr:uid="{00000000-0005-0000-0000-0000C5000000}"/>
    <cellStyle name="60% - Accent4 2 2" xfId="1464" xr:uid="{00000000-0005-0000-0000-0000C6000000}"/>
    <cellStyle name="60% - Accent4 2 3" xfId="1465" xr:uid="{00000000-0005-0000-0000-0000C7000000}"/>
    <cellStyle name="60% - Accent4 2 4" xfId="1466" xr:uid="{00000000-0005-0000-0000-0000C8000000}"/>
    <cellStyle name="60% - Accent4 3" xfId="317" xr:uid="{00000000-0005-0000-0000-0000C9000000}"/>
    <cellStyle name="60% - Accent4 4" xfId="318" xr:uid="{00000000-0005-0000-0000-0000CA000000}"/>
    <cellStyle name="60% - Accent4 5" xfId="319" xr:uid="{00000000-0005-0000-0000-0000CB000000}"/>
    <cellStyle name="60% - Accent4 6" xfId="320" xr:uid="{00000000-0005-0000-0000-0000CC000000}"/>
    <cellStyle name="60% - Accent4 7" xfId="321" xr:uid="{00000000-0005-0000-0000-0000CD000000}"/>
    <cellStyle name="60% - Accent4 8" xfId="322" xr:uid="{00000000-0005-0000-0000-0000CE000000}"/>
    <cellStyle name="60% - Accent4 9" xfId="323" xr:uid="{00000000-0005-0000-0000-0000CF000000}"/>
    <cellStyle name="60% - Accent5 10" xfId="324" xr:uid="{00000000-0005-0000-0000-0000D0000000}"/>
    <cellStyle name="60% - Accent5 11" xfId="325" xr:uid="{00000000-0005-0000-0000-0000D1000000}"/>
    <cellStyle name="60% - Accent5 2" xfId="326" xr:uid="{00000000-0005-0000-0000-0000D2000000}"/>
    <cellStyle name="60% - Accent5 2 2" xfId="1467" xr:uid="{00000000-0005-0000-0000-0000D3000000}"/>
    <cellStyle name="60% - Accent5 2 3" xfId="1468" xr:uid="{00000000-0005-0000-0000-0000D4000000}"/>
    <cellStyle name="60% - Accent5 2 4" xfId="1469" xr:uid="{00000000-0005-0000-0000-0000D5000000}"/>
    <cellStyle name="60% - Accent5 3" xfId="327" xr:uid="{00000000-0005-0000-0000-0000D6000000}"/>
    <cellStyle name="60% - Accent5 4" xfId="328" xr:uid="{00000000-0005-0000-0000-0000D7000000}"/>
    <cellStyle name="60% - Accent5 5" xfId="329" xr:uid="{00000000-0005-0000-0000-0000D8000000}"/>
    <cellStyle name="60% - Accent5 6" xfId="330" xr:uid="{00000000-0005-0000-0000-0000D9000000}"/>
    <cellStyle name="60% - Accent5 7" xfId="331" xr:uid="{00000000-0005-0000-0000-0000DA000000}"/>
    <cellStyle name="60% - Accent5 8" xfId="332" xr:uid="{00000000-0005-0000-0000-0000DB000000}"/>
    <cellStyle name="60% - Accent5 9" xfId="333" xr:uid="{00000000-0005-0000-0000-0000DC000000}"/>
    <cellStyle name="60% - Accent6 10" xfId="334" xr:uid="{00000000-0005-0000-0000-0000DD000000}"/>
    <cellStyle name="60% - Accent6 11" xfId="335" xr:uid="{00000000-0005-0000-0000-0000DE000000}"/>
    <cellStyle name="60% - Accent6 2" xfId="336" xr:uid="{00000000-0005-0000-0000-0000DF000000}"/>
    <cellStyle name="60% - Accent6 2 2" xfId="1470" xr:uid="{00000000-0005-0000-0000-0000E0000000}"/>
    <cellStyle name="60% - Accent6 2 3" xfId="1471" xr:uid="{00000000-0005-0000-0000-0000E1000000}"/>
    <cellStyle name="60% - Accent6 2 4" xfId="1472" xr:uid="{00000000-0005-0000-0000-0000E2000000}"/>
    <cellStyle name="60% - Accent6 3" xfId="337" xr:uid="{00000000-0005-0000-0000-0000E3000000}"/>
    <cellStyle name="60% - Accent6 4" xfId="338" xr:uid="{00000000-0005-0000-0000-0000E4000000}"/>
    <cellStyle name="60% - Accent6 5" xfId="339" xr:uid="{00000000-0005-0000-0000-0000E5000000}"/>
    <cellStyle name="60% - Accent6 6" xfId="340" xr:uid="{00000000-0005-0000-0000-0000E6000000}"/>
    <cellStyle name="60% - Accent6 7" xfId="341" xr:uid="{00000000-0005-0000-0000-0000E7000000}"/>
    <cellStyle name="60% - Accent6 8" xfId="342" xr:uid="{00000000-0005-0000-0000-0000E8000000}"/>
    <cellStyle name="60% - Accent6 9" xfId="343" xr:uid="{00000000-0005-0000-0000-0000E9000000}"/>
    <cellStyle name="Accent1 - 20%" xfId="99" xr:uid="{00000000-0005-0000-0000-0000EA000000}"/>
    <cellStyle name="Accent1 - 20% 2" xfId="344" xr:uid="{00000000-0005-0000-0000-0000EB000000}"/>
    <cellStyle name="Accent1 - 20% 3" xfId="345" xr:uid="{00000000-0005-0000-0000-0000EC000000}"/>
    <cellStyle name="Accent1 - 20% 4" xfId="346" xr:uid="{00000000-0005-0000-0000-0000ED000000}"/>
    <cellStyle name="Accent1 - 20%_VV Palem  to  Malapadu  Gujjarlla vagu" xfId="1473" xr:uid="{00000000-0005-0000-0000-0000EE000000}"/>
    <cellStyle name="Accent1 - 40%" xfId="100" xr:uid="{00000000-0005-0000-0000-0000EF000000}"/>
    <cellStyle name="Accent1 - 40% 2" xfId="347" xr:uid="{00000000-0005-0000-0000-0000F0000000}"/>
    <cellStyle name="Accent1 - 40% 3" xfId="348" xr:uid="{00000000-0005-0000-0000-0000F1000000}"/>
    <cellStyle name="Accent1 - 40% 4" xfId="349" xr:uid="{00000000-0005-0000-0000-0000F2000000}"/>
    <cellStyle name="Accent1 - 40%_VV Palem  to  Malapadu  Gujjarlla vagu" xfId="1474" xr:uid="{00000000-0005-0000-0000-0000F3000000}"/>
    <cellStyle name="Accent1 - 60%" xfId="101" xr:uid="{00000000-0005-0000-0000-0000F4000000}"/>
    <cellStyle name="Accent1 10" xfId="350" xr:uid="{00000000-0005-0000-0000-0000F5000000}"/>
    <cellStyle name="Accent1 10 2" xfId="1475" xr:uid="{00000000-0005-0000-0000-0000F6000000}"/>
    <cellStyle name="Accent1 11" xfId="351" xr:uid="{00000000-0005-0000-0000-0000F7000000}"/>
    <cellStyle name="Accent1 11 2" xfId="1476" xr:uid="{00000000-0005-0000-0000-0000F8000000}"/>
    <cellStyle name="Accent1 12" xfId="352" xr:uid="{00000000-0005-0000-0000-0000F9000000}"/>
    <cellStyle name="Accent1 13" xfId="353" xr:uid="{00000000-0005-0000-0000-0000FA000000}"/>
    <cellStyle name="Accent1 14" xfId="354" xr:uid="{00000000-0005-0000-0000-0000FB000000}"/>
    <cellStyle name="Accent1 15" xfId="355" xr:uid="{00000000-0005-0000-0000-0000FC000000}"/>
    <cellStyle name="Accent1 16" xfId="356" xr:uid="{00000000-0005-0000-0000-0000FD000000}"/>
    <cellStyle name="Accent1 2" xfId="357" xr:uid="{00000000-0005-0000-0000-0000FE000000}"/>
    <cellStyle name="Accent1 2 2" xfId="358" xr:uid="{00000000-0005-0000-0000-0000FF000000}"/>
    <cellStyle name="Accent1 2 3" xfId="359" xr:uid="{00000000-0005-0000-0000-000000010000}"/>
    <cellStyle name="Accent1 2 4" xfId="1477" xr:uid="{00000000-0005-0000-0000-000001010000}"/>
    <cellStyle name="Accent1 2 5" xfId="1478" xr:uid="{00000000-0005-0000-0000-000002010000}"/>
    <cellStyle name="Accent1 3" xfId="360" xr:uid="{00000000-0005-0000-0000-000003010000}"/>
    <cellStyle name="Accent1 3 2" xfId="361" xr:uid="{00000000-0005-0000-0000-000004010000}"/>
    <cellStyle name="Accent1 4" xfId="362" xr:uid="{00000000-0005-0000-0000-000005010000}"/>
    <cellStyle name="Accent1 4 2" xfId="1479" xr:uid="{00000000-0005-0000-0000-000006010000}"/>
    <cellStyle name="Accent1 5" xfId="363" xr:uid="{00000000-0005-0000-0000-000007010000}"/>
    <cellStyle name="Accent1 5 2" xfId="1480" xr:uid="{00000000-0005-0000-0000-000008010000}"/>
    <cellStyle name="Accent1 6" xfId="364" xr:uid="{00000000-0005-0000-0000-000009010000}"/>
    <cellStyle name="Accent1 6 2" xfId="1481" xr:uid="{00000000-0005-0000-0000-00000A010000}"/>
    <cellStyle name="Accent1 7" xfId="365" xr:uid="{00000000-0005-0000-0000-00000B010000}"/>
    <cellStyle name="Accent1 7 2" xfId="1482" xr:uid="{00000000-0005-0000-0000-00000C010000}"/>
    <cellStyle name="Accent1 8" xfId="366" xr:uid="{00000000-0005-0000-0000-00000D010000}"/>
    <cellStyle name="Accent1 8 2" xfId="1483" xr:uid="{00000000-0005-0000-0000-00000E010000}"/>
    <cellStyle name="Accent1 9" xfId="367" xr:uid="{00000000-0005-0000-0000-00000F010000}"/>
    <cellStyle name="Accent1 9 2" xfId="1484" xr:uid="{00000000-0005-0000-0000-000010010000}"/>
    <cellStyle name="Accent2 - 20%" xfId="102" xr:uid="{00000000-0005-0000-0000-000011010000}"/>
    <cellStyle name="Accent2 - 20% 2" xfId="368" xr:uid="{00000000-0005-0000-0000-000012010000}"/>
    <cellStyle name="Accent2 - 20% 3" xfId="369" xr:uid="{00000000-0005-0000-0000-000013010000}"/>
    <cellStyle name="Accent2 - 20% 4" xfId="370" xr:uid="{00000000-0005-0000-0000-000014010000}"/>
    <cellStyle name="Accent2 - 20%_VV Palem  to  Malapadu  Gujjarlla vagu" xfId="1485" xr:uid="{00000000-0005-0000-0000-000015010000}"/>
    <cellStyle name="Accent2 - 40%" xfId="103" xr:uid="{00000000-0005-0000-0000-000016010000}"/>
    <cellStyle name="Accent2 - 40% 2" xfId="371" xr:uid="{00000000-0005-0000-0000-000017010000}"/>
    <cellStyle name="Accent2 - 40% 3" xfId="372" xr:uid="{00000000-0005-0000-0000-000018010000}"/>
    <cellStyle name="Accent2 - 40% 4" xfId="373" xr:uid="{00000000-0005-0000-0000-000019010000}"/>
    <cellStyle name="Accent2 - 40%_VV Palem  to  Malapadu  Gujjarlla vagu" xfId="1486" xr:uid="{00000000-0005-0000-0000-00001A010000}"/>
    <cellStyle name="Accent2 - 60%" xfId="104" xr:uid="{00000000-0005-0000-0000-00001B010000}"/>
    <cellStyle name="Accent2 10" xfId="374" xr:uid="{00000000-0005-0000-0000-00001C010000}"/>
    <cellStyle name="Accent2 10 2" xfId="1487" xr:uid="{00000000-0005-0000-0000-00001D010000}"/>
    <cellStyle name="Accent2 11" xfId="375" xr:uid="{00000000-0005-0000-0000-00001E010000}"/>
    <cellStyle name="Accent2 11 2" xfId="1488" xr:uid="{00000000-0005-0000-0000-00001F010000}"/>
    <cellStyle name="Accent2 12" xfId="376" xr:uid="{00000000-0005-0000-0000-000020010000}"/>
    <cellStyle name="Accent2 13" xfId="377" xr:uid="{00000000-0005-0000-0000-000021010000}"/>
    <cellStyle name="Accent2 14" xfId="378" xr:uid="{00000000-0005-0000-0000-000022010000}"/>
    <cellStyle name="Accent2 15" xfId="379" xr:uid="{00000000-0005-0000-0000-000023010000}"/>
    <cellStyle name="Accent2 16" xfId="380" xr:uid="{00000000-0005-0000-0000-000024010000}"/>
    <cellStyle name="Accent2 2" xfId="381" xr:uid="{00000000-0005-0000-0000-000025010000}"/>
    <cellStyle name="Accent2 2 2" xfId="382" xr:uid="{00000000-0005-0000-0000-000026010000}"/>
    <cellStyle name="Accent2 2 3" xfId="383" xr:uid="{00000000-0005-0000-0000-000027010000}"/>
    <cellStyle name="Accent2 2 4" xfId="1489" xr:uid="{00000000-0005-0000-0000-000028010000}"/>
    <cellStyle name="Accent2 2 5" xfId="1490" xr:uid="{00000000-0005-0000-0000-000029010000}"/>
    <cellStyle name="Accent2 3" xfId="384" xr:uid="{00000000-0005-0000-0000-00002A010000}"/>
    <cellStyle name="Accent2 3 2" xfId="385" xr:uid="{00000000-0005-0000-0000-00002B010000}"/>
    <cellStyle name="Accent2 4" xfId="386" xr:uid="{00000000-0005-0000-0000-00002C010000}"/>
    <cellStyle name="Accent2 4 2" xfId="1491" xr:uid="{00000000-0005-0000-0000-00002D010000}"/>
    <cellStyle name="Accent2 5" xfId="387" xr:uid="{00000000-0005-0000-0000-00002E010000}"/>
    <cellStyle name="Accent2 5 2" xfId="1492" xr:uid="{00000000-0005-0000-0000-00002F010000}"/>
    <cellStyle name="Accent2 6" xfId="388" xr:uid="{00000000-0005-0000-0000-000030010000}"/>
    <cellStyle name="Accent2 6 2" xfId="1493" xr:uid="{00000000-0005-0000-0000-000031010000}"/>
    <cellStyle name="Accent2 7" xfId="389" xr:uid="{00000000-0005-0000-0000-000032010000}"/>
    <cellStyle name="Accent2 7 2" xfId="1494" xr:uid="{00000000-0005-0000-0000-000033010000}"/>
    <cellStyle name="Accent2 8" xfId="390" xr:uid="{00000000-0005-0000-0000-000034010000}"/>
    <cellStyle name="Accent2 8 2" xfId="1495" xr:uid="{00000000-0005-0000-0000-000035010000}"/>
    <cellStyle name="Accent2 9" xfId="391" xr:uid="{00000000-0005-0000-0000-000036010000}"/>
    <cellStyle name="Accent2 9 2" xfId="1496" xr:uid="{00000000-0005-0000-0000-000037010000}"/>
    <cellStyle name="Accent3 - 20%" xfId="105" xr:uid="{00000000-0005-0000-0000-000038010000}"/>
    <cellStyle name="Accent3 - 20% 2" xfId="392" xr:uid="{00000000-0005-0000-0000-000039010000}"/>
    <cellStyle name="Accent3 - 20% 3" xfId="393" xr:uid="{00000000-0005-0000-0000-00003A010000}"/>
    <cellStyle name="Accent3 - 20% 4" xfId="394" xr:uid="{00000000-0005-0000-0000-00003B010000}"/>
    <cellStyle name="Accent3 - 20%_VV Palem  to  Malapadu  Gujjarlla vagu" xfId="1497" xr:uid="{00000000-0005-0000-0000-00003C010000}"/>
    <cellStyle name="Accent3 - 40%" xfId="106" xr:uid="{00000000-0005-0000-0000-00003D010000}"/>
    <cellStyle name="Accent3 - 40% 2" xfId="395" xr:uid="{00000000-0005-0000-0000-00003E010000}"/>
    <cellStyle name="Accent3 - 40% 3" xfId="396" xr:uid="{00000000-0005-0000-0000-00003F010000}"/>
    <cellStyle name="Accent3 - 40% 4" xfId="397" xr:uid="{00000000-0005-0000-0000-000040010000}"/>
    <cellStyle name="Accent3 - 40%_VV Palem  to  Malapadu  Gujjarlla vagu" xfId="1498" xr:uid="{00000000-0005-0000-0000-000041010000}"/>
    <cellStyle name="Accent3 - 60%" xfId="107" xr:uid="{00000000-0005-0000-0000-000042010000}"/>
    <cellStyle name="Accent3 10" xfId="398" xr:uid="{00000000-0005-0000-0000-000043010000}"/>
    <cellStyle name="Accent3 10 2" xfId="1499" xr:uid="{00000000-0005-0000-0000-000044010000}"/>
    <cellStyle name="Accent3 11" xfId="399" xr:uid="{00000000-0005-0000-0000-000045010000}"/>
    <cellStyle name="Accent3 11 2" xfId="1500" xr:uid="{00000000-0005-0000-0000-000046010000}"/>
    <cellStyle name="Accent3 12" xfId="400" xr:uid="{00000000-0005-0000-0000-000047010000}"/>
    <cellStyle name="Accent3 13" xfId="401" xr:uid="{00000000-0005-0000-0000-000048010000}"/>
    <cellStyle name="Accent3 14" xfId="402" xr:uid="{00000000-0005-0000-0000-000049010000}"/>
    <cellStyle name="Accent3 15" xfId="403" xr:uid="{00000000-0005-0000-0000-00004A010000}"/>
    <cellStyle name="Accent3 16" xfId="404" xr:uid="{00000000-0005-0000-0000-00004B010000}"/>
    <cellStyle name="Accent3 2" xfId="405" xr:uid="{00000000-0005-0000-0000-00004C010000}"/>
    <cellStyle name="Accent3 2 2" xfId="406" xr:uid="{00000000-0005-0000-0000-00004D010000}"/>
    <cellStyle name="Accent3 2 3" xfId="407" xr:uid="{00000000-0005-0000-0000-00004E010000}"/>
    <cellStyle name="Accent3 2 4" xfId="1501" xr:uid="{00000000-0005-0000-0000-00004F010000}"/>
    <cellStyle name="Accent3 2 5" xfId="1502" xr:uid="{00000000-0005-0000-0000-000050010000}"/>
    <cellStyle name="Accent3 3" xfId="408" xr:uid="{00000000-0005-0000-0000-000051010000}"/>
    <cellStyle name="Accent3 3 2" xfId="409" xr:uid="{00000000-0005-0000-0000-000052010000}"/>
    <cellStyle name="Accent3 4" xfId="410" xr:uid="{00000000-0005-0000-0000-000053010000}"/>
    <cellStyle name="Accent3 4 2" xfId="1503" xr:uid="{00000000-0005-0000-0000-000054010000}"/>
    <cellStyle name="Accent3 5" xfId="411" xr:uid="{00000000-0005-0000-0000-000055010000}"/>
    <cellStyle name="Accent3 5 2" xfId="1504" xr:uid="{00000000-0005-0000-0000-000056010000}"/>
    <cellStyle name="Accent3 6" xfId="412" xr:uid="{00000000-0005-0000-0000-000057010000}"/>
    <cellStyle name="Accent3 6 2" xfId="1505" xr:uid="{00000000-0005-0000-0000-000058010000}"/>
    <cellStyle name="Accent3 7" xfId="413" xr:uid="{00000000-0005-0000-0000-000059010000}"/>
    <cellStyle name="Accent3 7 2" xfId="1506" xr:uid="{00000000-0005-0000-0000-00005A010000}"/>
    <cellStyle name="Accent3 8" xfId="414" xr:uid="{00000000-0005-0000-0000-00005B010000}"/>
    <cellStyle name="Accent3 8 2" xfId="1507" xr:uid="{00000000-0005-0000-0000-00005C010000}"/>
    <cellStyle name="Accent3 9" xfId="415" xr:uid="{00000000-0005-0000-0000-00005D010000}"/>
    <cellStyle name="Accent3 9 2" xfId="1508" xr:uid="{00000000-0005-0000-0000-00005E010000}"/>
    <cellStyle name="Accent4 - 20%" xfId="108" xr:uid="{00000000-0005-0000-0000-00005F010000}"/>
    <cellStyle name="Accent4 - 20% 2" xfId="416" xr:uid="{00000000-0005-0000-0000-000060010000}"/>
    <cellStyle name="Accent4 - 20% 3" xfId="417" xr:uid="{00000000-0005-0000-0000-000061010000}"/>
    <cellStyle name="Accent4 - 20% 4" xfId="418" xr:uid="{00000000-0005-0000-0000-000062010000}"/>
    <cellStyle name="Accent4 - 20%_VV Palem  to  Malapadu  Gujjarlla vagu" xfId="1509" xr:uid="{00000000-0005-0000-0000-000063010000}"/>
    <cellStyle name="Accent4 - 40%" xfId="109" xr:uid="{00000000-0005-0000-0000-000064010000}"/>
    <cellStyle name="Accent4 - 40% 2" xfId="419" xr:uid="{00000000-0005-0000-0000-000065010000}"/>
    <cellStyle name="Accent4 - 40% 3" xfId="420" xr:uid="{00000000-0005-0000-0000-000066010000}"/>
    <cellStyle name="Accent4 - 40% 4" xfId="421" xr:uid="{00000000-0005-0000-0000-000067010000}"/>
    <cellStyle name="Accent4 - 40%_VV Palem  to  Malapadu  Gujjarlla vagu" xfId="1510" xr:uid="{00000000-0005-0000-0000-000068010000}"/>
    <cellStyle name="Accent4 - 60%" xfId="110" xr:uid="{00000000-0005-0000-0000-000069010000}"/>
    <cellStyle name="Accent4 10" xfId="422" xr:uid="{00000000-0005-0000-0000-00006A010000}"/>
    <cellStyle name="Accent4 10 2" xfId="1511" xr:uid="{00000000-0005-0000-0000-00006B010000}"/>
    <cellStyle name="Accent4 11" xfId="423" xr:uid="{00000000-0005-0000-0000-00006C010000}"/>
    <cellStyle name="Accent4 11 2" xfId="1512" xr:uid="{00000000-0005-0000-0000-00006D010000}"/>
    <cellStyle name="Accent4 12" xfId="424" xr:uid="{00000000-0005-0000-0000-00006E010000}"/>
    <cellStyle name="Accent4 13" xfId="425" xr:uid="{00000000-0005-0000-0000-00006F010000}"/>
    <cellStyle name="Accent4 14" xfId="426" xr:uid="{00000000-0005-0000-0000-000070010000}"/>
    <cellStyle name="Accent4 15" xfId="427" xr:uid="{00000000-0005-0000-0000-000071010000}"/>
    <cellStyle name="Accent4 16" xfId="428" xr:uid="{00000000-0005-0000-0000-000072010000}"/>
    <cellStyle name="Accent4 2" xfId="429" xr:uid="{00000000-0005-0000-0000-000073010000}"/>
    <cellStyle name="Accent4 2 2" xfId="430" xr:uid="{00000000-0005-0000-0000-000074010000}"/>
    <cellStyle name="Accent4 2 3" xfId="431" xr:uid="{00000000-0005-0000-0000-000075010000}"/>
    <cellStyle name="Accent4 2 4" xfId="1513" xr:uid="{00000000-0005-0000-0000-000076010000}"/>
    <cellStyle name="Accent4 2 5" xfId="1514" xr:uid="{00000000-0005-0000-0000-000077010000}"/>
    <cellStyle name="Accent4 3" xfId="432" xr:uid="{00000000-0005-0000-0000-000078010000}"/>
    <cellStyle name="Accent4 3 2" xfId="433" xr:uid="{00000000-0005-0000-0000-000079010000}"/>
    <cellStyle name="Accent4 4" xfId="434" xr:uid="{00000000-0005-0000-0000-00007A010000}"/>
    <cellStyle name="Accent4 4 2" xfId="1515" xr:uid="{00000000-0005-0000-0000-00007B010000}"/>
    <cellStyle name="Accent4 5" xfId="435" xr:uid="{00000000-0005-0000-0000-00007C010000}"/>
    <cellStyle name="Accent4 5 2" xfId="1516" xr:uid="{00000000-0005-0000-0000-00007D010000}"/>
    <cellStyle name="Accent4 6" xfId="436" xr:uid="{00000000-0005-0000-0000-00007E010000}"/>
    <cellStyle name="Accent4 6 2" xfId="1517" xr:uid="{00000000-0005-0000-0000-00007F010000}"/>
    <cellStyle name="Accent4 7" xfId="437" xr:uid="{00000000-0005-0000-0000-000080010000}"/>
    <cellStyle name="Accent4 7 2" xfId="1518" xr:uid="{00000000-0005-0000-0000-000081010000}"/>
    <cellStyle name="Accent4 8" xfId="438" xr:uid="{00000000-0005-0000-0000-000082010000}"/>
    <cellStyle name="Accent4 8 2" xfId="1519" xr:uid="{00000000-0005-0000-0000-000083010000}"/>
    <cellStyle name="Accent4 9" xfId="439" xr:uid="{00000000-0005-0000-0000-000084010000}"/>
    <cellStyle name="Accent4 9 2" xfId="1520" xr:uid="{00000000-0005-0000-0000-000085010000}"/>
    <cellStyle name="Accent5 - 20%" xfId="111" xr:uid="{00000000-0005-0000-0000-000086010000}"/>
    <cellStyle name="Accent5 - 20% 2" xfId="440" xr:uid="{00000000-0005-0000-0000-000087010000}"/>
    <cellStyle name="Accent5 - 20% 3" xfId="441" xr:uid="{00000000-0005-0000-0000-000088010000}"/>
    <cellStyle name="Accent5 - 20% 4" xfId="442" xr:uid="{00000000-0005-0000-0000-000089010000}"/>
    <cellStyle name="Accent5 - 20%_VV Palem  to  Malapadu  Gujjarlla vagu" xfId="1521" xr:uid="{00000000-0005-0000-0000-00008A010000}"/>
    <cellStyle name="Accent5 - 40%" xfId="112" xr:uid="{00000000-0005-0000-0000-00008B010000}"/>
    <cellStyle name="Accent5 - 40% 2" xfId="443" xr:uid="{00000000-0005-0000-0000-00008C010000}"/>
    <cellStyle name="Accent5 - 40% 3" xfId="444" xr:uid="{00000000-0005-0000-0000-00008D010000}"/>
    <cellStyle name="Accent5 - 40% 4" xfId="445" xr:uid="{00000000-0005-0000-0000-00008E010000}"/>
    <cellStyle name="Accent5 - 40%_VV Palem  to  Malapadu  Gujjarlla vagu" xfId="1522" xr:uid="{00000000-0005-0000-0000-00008F010000}"/>
    <cellStyle name="Accent5 - 60%" xfId="113" xr:uid="{00000000-0005-0000-0000-000090010000}"/>
    <cellStyle name="Accent5 10" xfId="446" xr:uid="{00000000-0005-0000-0000-000091010000}"/>
    <cellStyle name="Accent5 10 2" xfId="1523" xr:uid="{00000000-0005-0000-0000-000092010000}"/>
    <cellStyle name="Accent5 11" xfId="447" xr:uid="{00000000-0005-0000-0000-000093010000}"/>
    <cellStyle name="Accent5 11 2" xfId="1524" xr:uid="{00000000-0005-0000-0000-000094010000}"/>
    <cellStyle name="Accent5 12" xfId="448" xr:uid="{00000000-0005-0000-0000-000095010000}"/>
    <cellStyle name="Accent5 13" xfId="449" xr:uid="{00000000-0005-0000-0000-000096010000}"/>
    <cellStyle name="Accent5 14" xfId="450" xr:uid="{00000000-0005-0000-0000-000097010000}"/>
    <cellStyle name="Accent5 15" xfId="451" xr:uid="{00000000-0005-0000-0000-000098010000}"/>
    <cellStyle name="Accent5 16" xfId="452" xr:uid="{00000000-0005-0000-0000-000099010000}"/>
    <cellStyle name="Accent5 2" xfId="453" xr:uid="{00000000-0005-0000-0000-00009A010000}"/>
    <cellStyle name="Accent5 2 2" xfId="454" xr:uid="{00000000-0005-0000-0000-00009B010000}"/>
    <cellStyle name="Accent5 2 3" xfId="455" xr:uid="{00000000-0005-0000-0000-00009C010000}"/>
    <cellStyle name="Accent5 2 4" xfId="1525" xr:uid="{00000000-0005-0000-0000-00009D010000}"/>
    <cellStyle name="Accent5 2 5" xfId="1526" xr:uid="{00000000-0005-0000-0000-00009E010000}"/>
    <cellStyle name="Accent5 3" xfId="456" xr:uid="{00000000-0005-0000-0000-00009F010000}"/>
    <cellStyle name="Accent5 3 2" xfId="457" xr:uid="{00000000-0005-0000-0000-0000A0010000}"/>
    <cellStyle name="Accent5 4" xfId="458" xr:uid="{00000000-0005-0000-0000-0000A1010000}"/>
    <cellStyle name="Accent5 4 2" xfId="1527" xr:uid="{00000000-0005-0000-0000-0000A2010000}"/>
    <cellStyle name="Accent5 5" xfId="459" xr:uid="{00000000-0005-0000-0000-0000A3010000}"/>
    <cellStyle name="Accent5 5 2" xfId="1528" xr:uid="{00000000-0005-0000-0000-0000A4010000}"/>
    <cellStyle name="Accent5 6" xfId="460" xr:uid="{00000000-0005-0000-0000-0000A5010000}"/>
    <cellStyle name="Accent5 6 2" xfId="1529" xr:uid="{00000000-0005-0000-0000-0000A6010000}"/>
    <cellStyle name="Accent5 7" xfId="461" xr:uid="{00000000-0005-0000-0000-0000A7010000}"/>
    <cellStyle name="Accent5 7 2" xfId="1530" xr:uid="{00000000-0005-0000-0000-0000A8010000}"/>
    <cellStyle name="Accent5 8" xfId="462" xr:uid="{00000000-0005-0000-0000-0000A9010000}"/>
    <cellStyle name="Accent5 8 2" xfId="1531" xr:uid="{00000000-0005-0000-0000-0000AA010000}"/>
    <cellStyle name="Accent5 9" xfId="463" xr:uid="{00000000-0005-0000-0000-0000AB010000}"/>
    <cellStyle name="Accent5 9 2" xfId="1532" xr:uid="{00000000-0005-0000-0000-0000AC010000}"/>
    <cellStyle name="Accent6 - 20%" xfId="114" xr:uid="{00000000-0005-0000-0000-0000AD010000}"/>
    <cellStyle name="Accent6 - 20% 2" xfId="464" xr:uid="{00000000-0005-0000-0000-0000AE010000}"/>
    <cellStyle name="Accent6 - 20% 3" xfId="465" xr:uid="{00000000-0005-0000-0000-0000AF010000}"/>
    <cellStyle name="Accent6 - 20% 4" xfId="466" xr:uid="{00000000-0005-0000-0000-0000B0010000}"/>
    <cellStyle name="Accent6 - 20%_VV Palem  to  Malapadu  Gujjarlla vagu" xfId="1533" xr:uid="{00000000-0005-0000-0000-0000B1010000}"/>
    <cellStyle name="Accent6 - 40%" xfId="115" xr:uid="{00000000-0005-0000-0000-0000B2010000}"/>
    <cellStyle name="Accent6 - 40% 2" xfId="467" xr:uid="{00000000-0005-0000-0000-0000B3010000}"/>
    <cellStyle name="Accent6 - 40% 3" xfId="468" xr:uid="{00000000-0005-0000-0000-0000B4010000}"/>
    <cellStyle name="Accent6 - 40% 4" xfId="469" xr:uid="{00000000-0005-0000-0000-0000B5010000}"/>
    <cellStyle name="Accent6 - 40%_VV Palem  to  Malapadu  Gujjarlla vagu" xfId="1534" xr:uid="{00000000-0005-0000-0000-0000B6010000}"/>
    <cellStyle name="Accent6 - 60%" xfId="116" xr:uid="{00000000-0005-0000-0000-0000B7010000}"/>
    <cellStyle name="Accent6 10" xfId="470" xr:uid="{00000000-0005-0000-0000-0000B8010000}"/>
    <cellStyle name="Accent6 10 2" xfId="1535" xr:uid="{00000000-0005-0000-0000-0000B9010000}"/>
    <cellStyle name="Accent6 11" xfId="471" xr:uid="{00000000-0005-0000-0000-0000BA010000}"/>
    <cellStyle name="Accent6 11 2" xfId="1536" xr:uid="{00000000-0005-0000-0000-0000BB010000}"/>
    <cellStyle name="Accent6 12" xfId="472" xr:uid="{00000000-0005-0000-0000-0000BC010000}"/>
    <cellStyle name="Accent6 13" xfId="473" xr:uid="{00000000-0005-0000-0000-0000BD010000}"/>
    <cellStyle name="Accent6 14" xfId="474" xr:uid="{00000000-0005-0000-0000-0000BE010000}"/>
    <cellStyle name="Accent6 15" xfId="475" xr:uid="{00000000-0005-0000-0000-0000BF010000}"/>
    <cellStyle name="Accent6 16" xfId="476" xr:uid="{00000000-0005-0000-0000-0000C0010000}"/>
    <cellStyle name="Accent6 2" xfId="477" xr:uid="{00000000-0005-0000-0000-0000C1010000}"/>
    <cellStyle name="Accent6 2 2" xfId="478" xr:uid="{00000000-0005-0000-0000-0000C2010000}"/>
    <cellStyle name="Accent6 2 3" xfId="479" xr:uid="{00000000-0005-0000-0000-0000C3010000}"/>
    <cellStyle name="Accent6 2 4" xfId="1537" xr:uid="{00000000-0005-0000-0000-0000C4010000}"/>
    <cellStyle name="Accent6 2 5" xfId="1538" xr:uid="{00000000-0005-0000-0000-0000C5010000}"/>
    <cellStyle name="Accent6 3" xfId="480" xr:uid="{00000000-0005-0000-0000-0000C6010000}"/>
    <cellStyle name="Accent6 3 2" xfId="481" xr:uid="{00000000-0005-0000-0000-0000C7010000}"/>
    <cellStyle name="Accent6 4" xfId="482" xr:uid="{00000000-0005-0000-0000-0000C8010000}"/>
    <cellStyle name="Accent6 4 2" xfId="1539" xr:uid="{00000000-0005-0000-0000-0000C9010000}"/>
    <cellStyle name="Accent6 5" xfId="483" xr:uid="{00000000-0005-0000-0000-0000CA010000}"/>
    <cellStyle name="Accent6 5 2" xfId="1540" xr:uid="{00000000-0005-0000-0000-0000CB010000}"/>
    <cellStyle name="Accent6 6" xfId="484" xr:uid="{00000000-0005-0000-0000-0000CC010000}"/>
    <cellStyle name="Accent6 6 2" xfId="1541" xr:uid="{00000000-0005-0000-0000-0000CD010000}"/>
    <cellStyle name="Accent6 7" xfId="485" xr:uid="{00000000-0005-0000-0000-0000CE010000}"/>
    <cellStyle name="Accent6 7 2" xfId="1542" xr:uid="{00000000-0005-0000-0000-0000CF010000}"/>
    <cellStyle name="Accent6 8" xfId="486" xr:uid="{00000000-0005-0000-0000-0000D0010000}"/>
    <cellStyle name="Accent6 8 2" xfId="1543" xr:uid="{00000000-0005-0000-0000-0000D1010000}"/>
    <cellStyle name="Accent6 9" xfId="487" xr:uid="{00000000-0005-0000-0000-0000D2010000}"/>
    <cellStyle name="Accent6 9 2" xfId="1544" xr:uid="{00000000-0005-0000-0000-0000D3010000}"/>
    <cellStyle name="Bad 10" xfId="488" xr:uid="{00000000-0005-0000-0000-0000D4010000}"/>
    <cellStyle name="Bad 10 2" xfId="1545" xr:uid="{00000000-0005-0000-0000-0000D5010000}"/>
    <cellStyle name="Bad 11" xfId="489" xr:uid="{00000000-0005-0000-0000-0000D6010000}"/>
    <cellStyle name="Bad 11 2" xfId="1546" xr:uid="{00000000-0005-0000-0000-0000D7010000}"/>
    <cellStyle name="Bad 12" xfId="490" xr:uid="{00000000-0005-0000-0000-0000D8010000}"/>
    <cellStyle name="Bad 13" xfId="491" xr:uid="{00000000-0005-0000-0000-0000D9010000}"/>
    <cellStyle name="Bad 14" xfId="492" xr:uid="{00000000-0005-0000-0000-0000DA010000}"/>
    <cellStyle name="Bad 15" xfId="493" xr:uid="{00000000-0005-0000-0000-0000DB010000}"/>
    <cellStyle name="Bad 16" xfId="494" xr:uid="{00000000-0005-0000-0000-0000DC010000}"/>
    <cellStyle name="Bad 2" xfId="495" xr:uid="{00000000-0005-0000-0000-0000DD010000}"/>
    <cellStyle name="Bad 2 2" xfId="496" xr:uid="{00000000-0005-0000-0000-0000DE010000}"/>
    <cellStyle name="Bad 2 3" xfId="497" xr:uid="{00000000-0005-0000-0000-0000DF010000}"/>
    <cellStyle name="Bad 2 4" xfId="1547" xr:uid="{00000000-0005-0000-0000-0000E0010000}"/>
    <cellStyle name="Bad 2 5" xfId="1548" xr:uid="{00000000-0005-0000-0000-0000E1010000}"/>
    <cellStyle name="Bad 3" xfId="498" xr:uid="{00000000-0005-0000-0000-0000E2010000}"/>
    <cellStyle name="Bad 3 2" xfId="499" xr:uid="{00000000-0005-0000-0000-0000E3010000}"/>
    <cellStyle name="Bad 4" xfId="500" xr:uid="{00000000-0005-0000-0000-0000E4010000}"/>
    <cellStyle name="Bad 4 2" xfId="1549" xr:uid="{00000000-0005-0000-0000-0000E5010000}"/>
    <cellStyle name="Bad 5" xfId="501" xr:uid="{00000000-0005-0000-0000-0000E6010000}"/>
    <cellStyle name="Bad 5 2" xfId="1550" xr:uid="{00000000-0005-0000-0000-0000E7010000}"/>
    <cellStyle name="Bad 6" xfId="502" xr:uid="{00000000-0005-0000-0000-0000E8010000}"/>
    <cellStyle name="Bad 6 2" xfId="1551" xr:uid="{00000000-0005-0000-0000-0000E9010000}"/>
    <cellStyle name="Bad 7" xfId="503" xr:uid="{00000000-0005-0000-0000-0000EA010000}"/>
    <cellStyle name="Bad 7 2" xfId="1552" xr:uid="{00000000-0005-0000-0000-0000EB010000}"/>
    <cellStyle name="Bad 8" xfId="504" xr:uid="{00000000-0005-0000-0000-0000EC010000}"/>
    <cellStyle name="Bad 8 2" xfId="1553" xr:uid="{00000000-0005-0000-0000-0000ED010000}"/>
    <cellStyle name="Bad 9" xfId="505" xr:uid="{00000000-0005-0000-0000-0000EE010000}"/>
    <cellStyle name="Bad 9 2" xfId="1554" xr:uid="{00000000-0005-0000-0000-0000EF010000}"/>
    <cellStyle name="BOOKMAN" xfId="506" xr:uid="{00000000-0005-0000-0000-0000F0010000}"/>
    <cellStyle name="Calc Currency (0)" xfId="1" xr:uid="{00000000-0005-0000-0000-0000F1010000}"/>
    <cellStyle name="Calculation 10" xfId="507" xr:uid="{00000000-0005-0000-0000-0000F2010000}"/>
    <cellStyle name="Calculation 10 2" xfId="1555" xr:uid="{00000000-0005-0000-0000-0000F3010000}"/>
    <cellStyle name="Calculation 11" xfId="508" xr:uid="{00000000-0005-0000-0000-0000F4010000}"/>
    <cellStyle name="Calculation 11 2" xfId="1556" xr:uid="{00000000-0005-0000-0000-0000F5010000}"/>
    <cellStyle name="Calculation 12" xfId="509" xr:uid="{00000000-0005-0000-0000-0000F6010000}"/>
    <cellStyle name="Calculation 13" xfId="510" xr:uid="{00000000-0005-0000-0000-0000F7010000}"/>
    <cellStyle name="Calculation 14" xfId="511" xr:uid="{00000000-0005-0000-0000-0000F8010000}"/>
    <cellStyle name="Calculation 15" xfId="512" xr:uid="{00000000-0005-0000-0000-0000F9010000}"/>
    <cellStyle name="Calculation 16" xfId="513" xr:uid="{00000000-0005-0000-0000-0000FA010000}"/>
    <cellStyle name="Calculation 2" xfId="514" xr:uid="{00000000-0005-0000-0000-0000FB010000}"/>
    <cellStyle name="Calculation 2 2" xfId="515" xr:uid="{00000000-0005-0000-0000-0000FC010000}"/>
    <cellStyle name="Calculation 2 3" xfId="516" xr:uid="{00000000-0005-0000-0000-0000FD010000}"/>
    <cellStyle name="Calculation 2 4" xfId="517" xr:uid="{00000000-0005-0000-0000-0000FE010000}"/>
    <cellStyle name="Calculation 2 5" xfId="1557" xr:uid="{00000000-0005-0000-0000-0000FF010000}"/>
    <cellStyle name="Calculation 3" xfId="518" xr:uid="{00000000-0005-0000-0000-000000020000}"/>
    <cellStyle name="Calculation 3 2" xfId="519" xr:uid="{00000000-0005-0000-0000-000001020000}"/>
    <cellStyle name="Calculation 4" xfId="520" xr:uid="{00000000-0005-0000-0000-000002020000}"/>
    <cellStyle name="Calculation 4 2" xfId="1558" xr:uid="{00000000-0005-0000-0000-000003020000}"/>
    <cellStyle name="Calculation 5" xfId="521" xr:uid="{00000000-0005-0000-0000-000004020000}"/>
    <cellStyle name="Calculation 5 2" xfId="1559" xr:uid="{00000000-0005-0000-0000-000005020000}"/>
    <cellStyle name="Calculation 6" xfId="522" xr:uid="{00000000-0005-0000-0000-000006020000}"/>
    <cellStyle name="Calculation 6 2" xfId="1560" xr:uid="{00000000-0005-0000-0000-000007020000}"/>
    <cellStyle name="Calculation 7" xfId="523" xr:uid="{00000000-0005-0000-0000-000008020000}"/>
    <cellStyle name="Calculation 7 2" xfId="1561" xr:uid="{00000000-0005-0000-0000-000009020000}"/>
    <cellStyle name="Calculation 8" xfId="524" xr:uid="{00000000-0005-0000-0000-00000A020000}"/>
    <cellStyle name="Calculation 8 2" xfId="1562" xr:uid="{00000000-0005-0000-0000-00000B020000}"/>
    <cellStyle name="Calculation 9" xfId="525" xr:uid="{00000000-0005-0000-0000-00000C020000}"/>
    <cellStyle name="Calculation 9 2" xfId="1563" xr:uid="{00000000-0005-0000-0000-00000D020000}"/>
    <cellStyle name="Check Cell 10" xfId="526" xr:uid="{00000000-0005-0000-0000-00000E020000}"/>
    <cellStyle name="Check Cell 10 2" xfId="1564" xr:uid="{00000000-0005-0000-0000-00000F020000}"/>
    <cellStyle name="Check Cell 11" xfId="527" xr:uid="{00000000-0005-0000-0000-000010020000}"/>
    <cellStyle name="Check Cell 11 2" xfId="1565" xr:uid="{00000000-0005-0000-0000-000011020000}"/>
    <cellStyle name="Check Cell 12" xfId="528" xr:uid="{00000000-0005-0000-0000-000012020000}"/>
    <cellStyle name="Check Cell 13" xfId="529" xr:uid="{00000000-0005-0000-0000-000013020000}"/>
    <cellStyle name="Check Cell 14" xfId="530" xr:uid="{00000000-0005-0000-0000-000014020000}"/>
    <cellStyle name="Check Cell 15" xfId="531" xr:uid="{00000000-0005-0000-0000-000015020000}"/>
    <cellStyle name="Check Cell 16" xfId="532" xr:uid="{00000000-0005-0000-0000-000016020000}"/>
    <cellStyle name="Check Cell 2" xfId="533" xr:uid="{00000000-0005-0000-0000-000017020000}"/>
    <cellStyle name="Check Cell 2 2" xfId="534" xr:uid="{00000000-0005-0000-0000-000018020000}"/>
    <cellStyle name="Check Cell 2 3" xfId="535" xr:uid="{00000000-0005-0000-0000-000019020000}"/>
    <cellStyle name="Check Cell 2 4" xfId="1566" xr:uid="{00000000-0005-0000-0000-00001A020000}"/>
    <cellStyle name="Check Cell 2 5" xfId="1567" xr:uid="{00000000-0005-0000-0000-00001B020000}"/>
    <cellStyle name="Check Cell 3" xfId="536" xr:uid="{00000000-0005-0000-0000-00001C020000}"/>
    <cellStyle name="Check Cell 3 2" xfId="537" xr:uid="{00000000-0005-0000-0000-00001D020000}"/>
    <cellStyle name="Check Cell 4" xfId="538" xr:uid="{00000000-0005-0000-0000-00001E020000}"/>
    <cellStyle name="Check Cell 4 2" xfId="1568" xr:uid="{00000000-0005-0000-0000-00001F020000}"/>
    <cellStyle name="Check Cell 5" xfId="539" xr:uid="{00000000-0005-0000-0000-000020020000}"/>
    <cellStyle name="Check Cell 5 2" xfId="1569" xr:uid="{00000000-0005-0000-0000-000021020000}"/>
    <cellStyle name="Check Cell 6" xfId="540" xr:uid="{00000000-0005-0000-0000-000022020000}"/>
    <cellStyle name="Check Cell 6 2" xfId="1570" xr:uid="{00000000-0005-0000-0000-000023020000}"/>
    <cellStyle name="Check Cell 7" xfId="541" xr:uid="{00000000-0005-0000-0000-000024020000}"/>
    <cellStyle name="Check Cell 7 2" xfId="1571" xr:uid="{00000000-0005-0000-0000-000025020000}"/>
    <cellStyle name="Check Cell 8" xfId="542" xr:uid="{00000000-0005-0000-0000-000026020000}"/>
    <cellStyle name="Check Cell 8 2" xfId="1572" xr:uid="{00000000-0005-0000-0000-000027020000}"/>
    <cellStyle name="Check Cell 9" xfId="543" xr:uid="{00000000-0005-0000-0000-000028020000}"/>
    <cellStyle name="Check Cell 9 2" xfId="1573" xr:uid="{00000000-0005-0000-0000-000029020000}"/>
    <cellStyle name="Comma  - Style1" xfId="2" xr:uid="{00000000-0005-0000-0000-00002A020000}"/>
    <cellStyle name="Comma  - Style1 2" xfId="544" xr:uid="{00000000-0005-0000-0000-00002B020000}"/>
    <cellStyle name="Comma  - Style1 2 2" xfId="1574" xr:uid="{00000000-0005-0000-0000-00002C020000}"/>
    <cellStyle name="Comma  - Style1 3" xfId="545" xr:uid="{00000000-0005-0000-0000-00002D020000}"/>
    <cellStyle name="Comma  - Style1 3 2" xfId="1575" xr:uid="{00000000-0005-0000-0000-00002E020000}"/>
    <cellStyle name="Comma  - Style1 4" xfId="546" xr:uid="{00000000-0005-0000-0000-00002F020000}"/>
    <cellStyle name="Comma  - Style1 5" xfId="547" xr:uid="{00000000-0005-0000-0000-000030020000}"/>
    <cellStyle name="Comma  - Style1 6" xfId="548" xr:uid="{00000000-0005-0000-0000-000031020000}"/>
    <cellStyle name="Comma  - Style1_chamarru 02.09.10" xfId="1576" xr:uid="{00000000-0005-0000-0000-000032020000}"/>
    <cellStyle name="Comma  - Style2" xfId="3" xr:uid="{00000000-0005-0000-0000-000033020000}"/>
    <cellStyle name="Comma  - Style2 2" xfId="549" xr:uid="{00000000-0005-0000-0000-000034020000}"/>
    <cellStyle name="Comma  - Style2 2 2" xfId="1577" xr:uid="{00000000-0005-0000-0000-000035020000}"/>
    <cellStyle name="Comma  - Style2 3" xfId="550" xr:uid="{00000000-0005-0000-0000-000036020000}"/>
    <cellStyle name="Comma  - Style2 3 2" xfId="1578" xr:uid="{00000000-0005-0000-0000-000037020000}"/>
    <cellStyle name="Comma  - Style2 4" xfId="551" xr:uid="{00000000-0005-0000-0000-000038020000}"/>
    <cellStyle name="Comma  - Style2 5" xfId="552" xr:uid="{00000000-0005-0000-0000-000039020000}"/>
    <cellStyle name="Comma  - Style2 6" xfId="553" xr:uid="{00000000-0005-0000-0000-00003A020000}"/>
    <cellStyle name="Comma  - Style2_chamarru 02.09.10" xfId="1579" xr:uid="{00000000-0005-0000-0000-00003B020000}"/>
    <cellStyle name="Comma  - Style3" xfId="4" xr:uid="{00000000-0005-0000-0000-00003C020000}"/>
    <cellStyle name="Comma  - Style3 2" xfId="554" xr:uid="{00000000-0005-0000-0000-00003D020000}"/>
    <cellStyle name="Comma  - Style3 2 2" xfId="1580" xr:uid="{00000000-0005-0000-0000-00003E020000}"/>
    <cellStyle name="Comma  - Style3 3" xfId="555" xr:uid="{00000000-0005-0000-0000-00003F020000}"/>
    <cellStyle name="Comma  - Style3 3 2" xfId="1581" xr:uid="{00000000-0005-0000-0000-000040020000}"/>
    <cellStyle name="Comma  - Style3 4" xfId="556" xr:uid="{00000000-0005-0000-0000-000041020000}"/>
    <cellStyle name="Comma  - Style3 5" xfId="557" xr:uid="{00000000-0005-0000-0000-000042020000}"/>
    <cellStyle name="Comma  - Style3 6" xfId="558" xr:uid="{00000000-0005-0000-0000-000043020000}"/>
    <cellStyle name="Comma  - Style3_chamarru 02.09.10" xfId="1582" xr:uid="{00000000-0005-0000-0000-000044020000}"/>
    <cellStyle name="Comma  - Style4" xfId="5" xr:uid="{00000000-0005-0000-0000-000045020000}"/>
    <cellStyle name="Comma  - Style4 2" xfId="559" xr:uid="{00000000-0005-0000-0000-000046020000}"/>
    <cellStyle name="Comma  - Style4 2 2" xfId="1583" xr:uid="{00000000-0005-0000-0000-000047020000}"/>
    <cellStyle name="Comma  - Style4 3" xfId="560" xr:uid="{00000000-0005-0000-0000-000048020000}"/>
    <cellStyle name="Comma  - Style4 3 2" xfId="1584" xr:uid="{00000000-0005-0000-0000-000049020000}"/>
    <cellStyle name="Comma  - Style4 4" xfId="561" xr:uid="{00000000-0005-0000-0000-00004A020000}"/>
    <cellStyle name="Comma  - Style4 5" xfId="562" xr:uid="{00000000-0005-0000-0000-00004B020000}"/>
    <cellStyle name="Comma  - Style4 6" xfId="563" xr:uid="{00000000-0005-0000-0000-00004C020000}"/>
    <cellStyle name="Comma  - Style4_chamarru 02.09.10" xfId="1585" xr:uid="{00000000-0005-0000-0000-00004D020000}"/>
    <cellStyle name="Comma  - Style5" xfId="6" xr:uid="{00000000-0005-0000-0000-00004E020000}"/>
    <cellStyle name="Comma  - Style5 2" xfId="564" xr:uid="{00000000-0005-0000-0000-00004F020000}"/>
    <cellStyle name="Comma  - Style5 2 2" xfId="1586" xr:uid="{00000000-0005-0000-0000-000050020000}"/>
    <cellStyle name="Comma  - Style5 3" xfId="565" xr:uid="{00000000-0005-0000-0000-000051020000}"/>
    <cellStyle name="Comma  - Style5 3 2" xfId="1587" xr:uid="{00000000-0005-0000-0000-000052020000}"/>
    <cellStyle name="Comma  - Style5 4" xfId="566" xr:uid="{00000000-0005-0000-0000-000053020000}"/>
    <cellStyle name="Comma  - Style5 5" xfId="567" xr:uid="{00000000-0005-0000-0000-000054020000}"/>
    <cellStyle name="Comma  - Style5 6" xfId="568" xr:uid="{00000000-0005-0000-0000-000055020000}"/>
    <cellStyle name="Comma  - Style5_chamarru 02.09.10" xfId="1588" xr:uid="{00000000-0005-0000-0000-000056020000}"/>
    <cellStyle name="Comma  - Style6" xfId="7" xr:uid="{00000000-0005-0000-0000-000057020000}"/>
    <cellStyle name="Comma  - Style6 2" xfId="569" xr:uid="{00000000-0005-0000-0000-000058020000}"/>
    <cellStyle name="Comma  - Style6 2 2" xfId="1589" xr:uid="{00000000-0005-0000-0000-000059020000}"/>
    <cellStyle name="Comma  - Style6 3" xfId="570" xr:uid="{00000000-0005-0000-0000-00005A020000}"/>
    <cellStyle name="Comma  - Style6 3 2" xfId="1590" xr:uid="{00000000-0005-0000-0000-00005B020000}"/>
    <cellStyle name="Comma  - Style6 4" xfId="571" xr:uid="{00000000-0005-0000-0000-00005C020000}"/>
    <cellStyle name="Comma  - Style6 5" xfId="572" xr:uid="{00000000-0005-0000-0000-00005D020000}"/>
    <cellStyle name="Comma  - Style6 6" xfId="573" xr:uid="{00000000-0005-0000-0000-00005E020000}"/>
    <cellStyle name="Comma  - Style6_chamarru 02.09.10" xfId="1591" xr:uid="{00000000-0005-0000-0000-00005F020000}"/>
    <cellStyle name="Comma  - Style7" xfId="8" xr:uid="{00000000-0005-0000-0000-000060020000}"/>
    <cellStyle name="Comma  - Style7 2" xfId="574" xr:uid="{00000000-0005-0000-0000-000061020000}"/>
    <cellStyle name="Comma  - Style7 2 2" xfId="1592" xr:uid="{00000000-0005-0000-0000-000062020000}"/>
    <cellStyle name="Comma  - Style7 3" xfId="575" xr:uid="{00000000-0005-0000-0000-000063020000}"/>
    <cellStyle name="Comma  - Style7 3 2" xfId="1593" xr:uid="{00000000-0005-0000-0000-000064020000}"/>
    <cellStyle name="Comma  - Style7 4" xfId="576" xr:uid="{00000000-0005-0000-0000-000065020000}"/>
    <cellStyle name="Comma  - Style7 5" xfId="577" xr:uid="{00000000-0005-0000-0000-000066020000}"/>
    <cellStyle name="Comma  - Style7 6" xfId="578" xr:uid="{00000000-0005-0000-0000-000067020000}"/>
    <cellStyle name="Comma  - Style7_chamarru 02.09.10" xfId="1594" xr:uid="{00000000-0005-0000-0000-000068020000}"/>
    <cellStyle name="Comma  - Style8" xfId="9" xr:uid="{00000000-0005-0000-0000-000069020000}"/>
    <cellStyle name="Comma  - Style8 2" xfId="579" xr:uid="{00000000-0005-0000-0000-00006A020000}"/>
    <cellStyle name="Comma  - Style8 2 2" xfId="1595" xr:uid="{00000000-0005-0000-0000-00006B020000}"/>
    <cellStyle name="Comma  - Style8 3" xfId="580" xr:uid="{00000000-0005-0000-0000-00006C020000}"/>
    <cellStyle name="Comma  - Style8 3 2" xfId="1596" xr:uid="{00000000-0005-0000-0000-00006D020000}"/>
    <cellStyle name="Comma  - Style8 4" xfId="581" xr:uid="{00000000-0005-0000-0000-00006E020000}"/>
    <cellStyle name="Comma  - Style8 5" xfId="582" xr:uid="{00000000-0005-0000-0000-00006F020000}"/>
    <cellStyle name="Comma  - Style8 6" xfId="583" xr:uid="{00000000-0005-0000-0000-000070020000}"/>
    <cellStyle name="Comma  - Style8_chamarru 02.09.10" xfId="1597" xr:uid="{00000000-0005-0000-0000-000071020000}"/>
    <cellStyle name="Comma 10" xfId="1598" xr:uid="{00000000-0005-0000-0000-000072020000}"/>
    <cellStyle name="Comma 2" xfId="10" xr:uid="{00000000-0005-0000-0000-000073020000}"/>
    <cellStyle name="Comma 2 10" xfId="584" xr:uid="{00000000-0005-0000-0000-000074020000}"/>
    <cellStyle name="Comma 2 10 2" xfId="1599" xr:uid="{00000000-0005-0000-0000-000075020000}"/>
    <cellStyle name="Comma 2 11" xfId="585" xr:uid="{00000000-0005-0000-0000-000076020000}"/>
    <cellStyle name="Comma 2 11 2" xfId="1600" xr:uid="{00000000-0005-0000-0000-000077020000}"/>
    <cellStyle name="Comma 2 12" xfId="586" xr:uid="{00000000-0005-0000-0000-000078020000}"/>
    <cellStyle name="Comma 2 12 2" xfId="1601" xr:uid="{00000000-0005-0000-0000-000079020000}"/>
    <cellStyle name="Comma 2 13" xfId="587" xr:uid="{00000000-0005-0000-0000-00007A020000}"/>
    <cellStyle name="Comma 2 13 2" xfId="1602" xr:uid="{00000000-0005-0000-0000-00007B020000}"/>
    <cellStyle name="Comma 2 14" xfId="1603" xr:uid="{00000000-0005-0000-0000-00007C020000}"/>
    <cellStyle name="Comma 2 15" xfId="1604" xr:uid="{00000000-0005-0000-0000-00007D020000}"/>
    <cellStyle name="Comma 2 2" xfId="588" xr:uid="{00000000-0005-0000-0000-00007E020000}"/>
    <cellStyle name="Comma 2 2 10" xfId="589" xr:uid="{00000000-0005-0000-0000-00007F020000}"/>
    <cellStyle name="Comma 2 2 10 2" xfId="1605" xr:uid="{00000000-0005-0000-0000-000080020000}"/>
    <cellStyle name="Comma 2 2 11" xfId="590" xr:uid="{00000000-0005-0000-0000-000081020000}"/>
    <cellStyle name="Comma 2 2 11 2" xfId="1606" xr:uid="{00000000-0005-0000-0000-000082020000}"/>
    <cellStyle name="Comma 2 2 12" xfId="1607" xr:uid="{00000000-0005-0000-0000-000083020000}"/>
    <cellStyle name="Comma 2 2 13" xfId="1608" xr:uid="{00000000-0005-0000-0000-000084020000}"/>
    <cellStyle name="Comma 2 2 2" xfId="591" xr:uid="{00000000-0005-0000-0000-000085020000}"/>
    <cellStyle name="Comma 2 2 2 2" xfId="1609" xr:uid="{00000000-0005-0000-0000-000086020000}"/>
    <cellStyle name="Comma 2 2 3" xfId="592" xr:uid="{00000000-0005-0000-0000-000087020000}"/>
    <cellStyle name="Comma 2 2 3 2" xfId="1610" xr:uid="{00000000-0005-0000-0000-000088020000}"/>
    <cellStyle name="Comma 2 2 4" xfId="593" xr:uid="{00000000-0005-0000-0000-000089020000}"/>
    <cellStyle name="Comma 2 2 4 2" xfId="1611" xr:uid="{00000000-0005-0000-0000-00008A020000}"/>
    <cellStyle name="Comma 2 2 5" xfId="594" xr:uid="{00000000-0005-0000-0000-00008B020000}"/>
    <cellStyle name="Comma 2 2 5 2" xfId="1612" xr:uid="{00000000-0005-0000-0000-00008C020000}"/>
    <cellStyle name="Comma 2 2 6" xfId="595" xr:uid="{00000000-0005-0000-0000-00008D020000}"/>
    <cellStyle name="Comma 2 2 6 2" xfId="1613" xr:uid="{00000000-0005-0000-0000-00008E020000}"/>
    <cellStyle name="Comma 2 2 7" xfId="596" xr:uid="{00000000-0005-0000-0000-00008F020000}"/>
    <cellStyle name="Comma 2 2 7 2" xfId="1614" xr:uid="{00000000-0005-0000-0000-000090020000}"/>
    <cellStyle name="Comma 2 2 8" xfId="597" xr:uid="{00000000-0005-0000-0000-000091020000}"/>
    <cellStyle name="Comma 2 2 8 2" xfId="1615" xr:uid="{00000000-0005-0000-0000-000092020000}"/>
    <cellStyle name="Comma 2 2 9" xfId="598" xr:uid="{00000000-0005-0000-0000-000093020000}"/>
    <cellStyle name="Comma 2 2 9 2" xfId="1616" xr:uid="{00000000-0005-0000-0000-000094020000}"/>
    <cellStyle name="Comma 2 3" xfId="599" xr:uid="{00000000-0005-0000-0000-000095020000}"/>
    <cellStyle name="Comma 2 3 2" xfId="600" xr:uid="{00000000-0005-0000-0000-000096020000}"/>
    <cellStyle name="Comma 2 3 3" xfId="601" xr:uid="{00000000-0005-0000-0000-000097020000}"/>
    <cellStyle name="Comma 2 3 4" xfId="602" xr:uid="{00000000-0005-0000-0000-000098020000}"/>
    <cellStyle name="Comma 2 4" xfId="603" xr:uid="{00000000-0005-0000-0000-000099020000}"/>
    <cellStyle name="Comma 2 4 2" xfId="604" xr:uid="{00000000-0005-0000-0000-00009A020000}"/>
    <cellStyle name="Comma 2 4 3" xfId="1617" xr:uid="{00000000-0005-0000-0000-00009B020000}"/>
    <cellStyle name="Comma 2 5" xfId="605" xr:uid="{00000000-0005-0000-0000-00009C020000}"/>
    <cellStyle name="Comma 2 5 2" xfId="1618" xr:uid="{00000000-0005-0000-0000-00009D020000}"/>
    <cellStyle name="Comma 2 6" xfId="606" xr:uid="{00000000-0005-0000-0000-00009E020000}"/>
    <cellStyle name="Comma 2 6 2" xfId="1619" xr:uid="{00000000-0005-0000-0000-00009F020000}"/>
    <cellStyle name="Comma 2 7" xfId="607" xr:uid="{00000000-0005-0000-0000-0000A0020000}"/>
    <cellStyle name="Comma 2 7 2" xfId="1620" xr:uid="{00000000-0005-0000-0000-0000A1020000}"/>
    <cellStyle name="Comma 2 8" xfId="608" xr:uid="{00000000-0005-0000-0000-0000A2020000}"/>
    <cellStyle name="Comma 2 8 2" xfId="1621" xr:uid="{00000000-0005-0000-0000-0000A3020000}"/>
    <cellStyle name="Comma 2 9" xfId="609" xr:uid="{00000000-0005-0000-0000-0000A4020000}"/>
    <cellStyle name="Comma 2 9 2" xfId="1622" xr:uid="{00000000-0005-0000-0000-0000A5020000}"/>
    <cellStyle name="Comma 2_CC Bill" xfId="610" xr:uid="{00000000-0005-0000-0000-0000A6020000}"/>
    <cellStyle name="Comma 3" xfId="11" xr:uid="{00000000-0005-0000-0000-0000A7020000}"/>
    <cellStyle name="Comma 3 10" xfId="611" xr:uid="{00000000-0005-0000-0000-0000A8020000}"/>
    <cellStyle name="Comma 3 10 2" xfId="1623" xr:uid="{00000000-0005-0000-0000-0000A9020000}"/>
    <cellStyle name="Comma 3 11" xfId="612" xr:uid="{00000000-0005-0000-0000-0000AA020000}"/>
    <cellStyle name="Comma 3 11 2" xfId="1624" xr:uid="{00000000-0005-0000-0000-0000AB020000}"/>
    <cellStyle name="Comma 3 12" xfId="1625" xr:uid="{00000000-0005-0000-0000-0000AC020000}"/>
    <cellStyle name="Comma 3 13" xfId="1626" xr:uid="{00000000-0005-0000-0000-0000AD020000}"/>
    <cellStyle name="Comma 3 2" xfId="613" xr:uid="{00000000-0005-0000-0000-0000AE020000}"/>
    <cellStyle name="Comma 3 2 2" xfId="614" xr:uid="{00000000-0005-0000-0000-0000AF020000}"/>
    <cellStyle name="Comma 3 2 2 2" xfId="615" xr:uid="{00000000-0005-0000-0000-0000B0020000}"/>
    <cellStyle name="Comma 3 2 2 2 2" xfId="616" xr:uid="{00000000-0005-0000-0000-0000B1020000}"/>
    <cellStyle name="Comma 3 2 2 2 3" xfId="617" xr:uid="{00000000-0005-0000-0000-0000B2020000}"/>
    <cellStyle name="Comma 3 2 2 2 4" xfId="618" xr:uid="{00000000-0005-0000-0000-0000B3020000}"/>
    <cellStyle name="Comma 3 2 2 2_RA-2 CC" xfId="619" xr:uid="{00000000-0005-0000-0000-0000B4020000}"/>
    <cellStyle name="Comma 3 2 2 3" xfId="1627" xr:uid="{00000000-0005-0000-0000-0000B5020000}"/>
    <cellStyle name="Comma 3 2 3" xfId="1628" xr:uid="{00000000-0005-0000-0000-0000B6020000}"/>
    <cellStyle name="Comma 3 2 3 2" xfId="1629" xr:uid="{00000000-0005-0000-0000-0000B7020000}"/>
    <cellStyle name="Comma 3 2 4" xfId="1630" xr:uid="{00000000-0005-0000-0000-0000B8020000}"/>
    <cellStyle name="Comma 3 2 5" xfId="1631" xr:uid="{00000000-0005-0000-0000-0000B9020000}"/>
    <cellStyle name="Comma 3 2 6" xfId="1632" xr:uid="{00000000-0005-0000-0000-0000BA020000}"/>
    <cellStyle name="Comma 3 3" xfId="620" xr:uid="{00000000-0005-0000-0000-0000BB020000}"/>
    <cellStyle name="Comma 3 3 2" xfId="621" xr:uid="{00000000-0005-0000-0000-0000BC020000}"/>
    <cellStyle name="Comma 3 3 3" xfId="1633" xr:uid="{00000000-0005-0000-0000-0000BD020000}"/>
    <cellStyle name="Comma 3 4" xfId="622" xr:uid="{00000000-0005-0000-0000-0000BE020000}"/>
    <cellStyle name="Comma 3 4 2" xfId="1634" xr:uid="{00000000-0005-0000-0000-0000BF020000}"/>
    <cellStyle name="Comma 3 4 3" xfId="1635" xr:uid="{00000000-0005-0000-0000-0000C0020000}"/>
    <cellStyle name="Comma 3 5" xfId="623" xr:uid="{00000000-0005-0000-0000-0000C1020000}"/>
    <cellStyle name="Comma 3 5 2" xfId="1636" xr:uid="{00000000-0005-0000-0000-0000C2020000}"/>
    <cellStyle name="Comma 3 5 3" xfId="1637" xr:uid="{00000000-0005-0000-0000-0000C3020000}"/>
    <cellStyle name="Comma 3 6" xfId="624" xr:uid="{00000000-0005-0000-0000-0000C4020000}"/>
    <cellStyle name="Comma 3 6 2" xfId="1638" xr:uid="{00000000-0005-0000-0000-0000C5020000}"/>
    <cellStyle name="Comma 3 6 3" xfId="1639" xr:uid="{00000000-0005-0000-0000-0000C6020000}"/>
    <cellStyle name="Comma 3 7" xfId="625" xr:uid="{00000000-0005-0000-0000-0000C7020000}"/>
    <cellStyle name="Comma 3 7 2" xfId="1640" xr:uid="{00000000-0005-0000-0000-0000C8020000}"/>
    <cellStyle name="Comma 3 7 3" xfId="1641" xr:uid="{00000000-0005-0000-0000-0000C9020000}"/>
    <cellStyle name="Comma 3 8" xfId="626" xr:uid="{00000000-0005-0000-0000-0000CA020000}"/>
    <cellStyle name="Comma 3 8 2" xfId="1642" xr:uid="{00000000-0005-0000-0000-0000CB020000}"/>
    <cellStyle name="Comma 3 9" xfId="627" xr:uid="{00000000-0005-0000-0000-0000CC020000}"/>
    <cellStyle name="Comma 3 9 2" xfId="1643" xr:uid="{00000000-0005-0000-0000-0000CD020000}"/>
    <cellStyle name="Comma 3_CC Bill" xfId="628" xr:uid="{00000000-0005-0000-0000-0000CE020000}"/>
    <cellStyle name="Comma 4" xfId="117" xr:uid="{00000000-0005-0000-0000-0000CF020000}"/>
    <cellStyle name="Comma 4 2" xfId="629" xr:uid="{00000000-0005-0000-0000-0000D0020000}"/>
    <cellStyle name="Comma 4 2 2" xfId="630" xr:uid="{00000000-0005-0000-0000-0000D1020000}"/>
    <cellStyle name="Comma 4 3" xfId="631" xr:uid="{00000000-0005-0000-0000-0000D2020000}"/>
    <cellStyle name="Comma 4 4" xfId="632" xr:uid="{00000000-0005-0000-0000-0000D3020000}"/>
    <cellStyle name="Comma 4_CC Bill" xfId="633" xr:uid="{00000000-0005-0000-0000-0000D4020000}"/>
    <cellStyle name="Comma 5" xfId="118" xr:uid="{00000000-0005-0000-0000-0000D5020000}"/>
    <cellStyle name="Comma 5 2" xfId="634" xr:uid="{00000000-0005-0000-0000-0000D6020000}"/>
    <cellStyle name="Comma 5 3" xfId="635" xr:uid="{00000000-0005-0000-0000-0000D7020000}"/>
    <cellStyle name="Comma 6" xfId="119" xr:uid="{00000000-0005-0000-0000-0000D8020000}"/>
    <cellStyle name="Comma 6 2" xfId="636" xr:uid="{00000000-0005-0000-0000-0000D9020000}"/>
    <cellStyle name="Comma 6 3" xfId="637" xr:uid="{00000000-0005-0000-0000-0000DA020000}"/>
    <cellStyle name="Comma 7" xfId="120" xr:uid="{00000000-0005-0000-0000-0000DB020000}"/>
    <cellStyle name="Comma 7 2" xfId="638" xr:uid="{00000000-0005-0000-0000-0000DC020000}"/>
    <cellStyle name="Comma 7 2 2" xfId="1644" xr:uid="{00000000-0005-0000-0000-0000DD020000}"/>
    <cellStyle name="Comma 7 3" xfId="639" xr:uid="{00000000-0005-0000-0000-0000DE020000}"/>
    <cellStyle name="Comma 8" xfId="640" xr:uid="{00000000-0005-0000-0000-0000DF020000}"/>
    <cellStyle name="Comma 9" xfId="1244" xr:uid="{00000000-0005-0000-0000-0000E0020000}"/>
    <cellStyle name="Copied" xfId="12" xr:uid="{00000000-0005-0000-0000-0000E1020000}"/>
    <cellStyle name="Copied 2" xfId="641" xr:uid="{00000000-0005-0000-0000-0000E2020000}"/>
    <cellStyle name="Copied 2 2" xfId="1645" xr:uid="{00000000-0005-0000-0000-0000E3020000}"/>
    <cellStyle name="Copied 3" xfId="642" xr:uid="{00000000-0005-0000-0000-0000E4020000}"/>
    <cellStyle name="Copied 3 2" xfId="1646" xr:uid="{00000000-0005-0000-0000-0000E5020000}"/>
    <cellStyle name="Copied 4" xfId="643" xr:uid="{00000000-0005-0000-0000-0000E6020000}"/>
    <cellStyle name="Copied 5" xfId="644" xr:uid="{00000000-0005-0000-0000-0000E7020000}"/>
    <cellStyle name="Copied 6" xfId="645" xr:uid="{00000000-0005-0000-0000-0000E8020000}"/>
    <cellStyle name="Copied_AKKAMPALLI - RACHANAPALLI RD TO N R R COLONY" xfId="646" xr:uid="{00000000-0005-0000-0000-0000E9020000}"/>
    <cellStyle name="Currency 2" xfId="13" xr:uid="{00000000-0005-0000-0000-0000EA020000}"/>
    <cellStyle name="Currency 2 2" xfId="647" xr:uid="{00000000-0005-0000-0000-0000EB020000}"/>
    <cellStyle name="Currency 3" xfId="74" xr:uid="{00000000-0005-0000-0000-0000EC020000}"/>
    <cellStyle name="Currency 3 2" xfId="1647" xr:uid="{00000000-0005-0000-0000-0000ED020000}"/>
    <cellStyle name="Currency 4" xfId="121" xr:uid="{00000000-0005-0000-0000-0000EE020000}"/>
    <cellStyle name="Currency 4 2" xfId="1648" xr:uid="{00000000-0005-0000-0000-0000EF020000}"/>
    <cellStyle name="Currency 5" xfId="122" xr:uid="{00000000-0005-0000-0000-0000F0020000}"/>
    <cellStyle name="Currency 5 2" xfId="1649" xr:uid="{00000000-0005-0000-0000-0000F1020000}"/>
    <cellStyle name="Currency 6" xfId="648" xr:uid="{00000000-0005-0000-0000-0000F2020000}"/>
    <cellStyle name="Emphasis 1" xfId="123" xr:uid="{00000000-0005-0000-0000-0000F3020000}"/>
    <cellStyle name="Emphasis 2" xfId="124" xr:uid="{00000000-0005-0000-0000-0000F4020000}"/>
    <cellStyle name="Emphasis 3" xfId="125" xr:uid="{00000000-0005-0000-0000-0000F5020000}"/>
    <cellStyle name="Entered" xfId="14" xr:uid="{00000000-0005-0000-0000-0000F6020000}"/>
    <cellStyle name="Entered 2" xfId="649" xr:uid="{00000000-0005-0000-0000-0000F7020000}"/>
    <cellStyle name="Entered 2 2" xfId="1650" xr:uid="{00000000-0005-0000-0000-0000F8020000}"/>
    <cellStyle name="Entered 3" xfId="650" xr:uid="{00000000-0005-0000-0000-0000F9020000}"/>
    <cellStyle name="Entered 3 2" xfId="1651" xr:uid="{00000000-0005-0000-0000-0000FA020000}"/>
    <cellStyle name="Entered 4" xfId="651" xr:uid="{00000000-0005-0000-0000-0000FB020000}"/>
    <cellStyle name="Entered 5" xfId="652" xr:uid="{00000000-0005-0000-0000-0000FC020000}"/>
    <cellStyle name="Entered 6" xfId="653" xr:uid="{00000000-0005-0000-0000-0000FD020000}"/>
    <cellStyle name="Entered_AKKAMPALLI - RACHANAPALLI RD TO N R R COLONY" xfId="654" xr:uid="{00000000-0005-0000-0000-0000FE020000}"/>
    <cellStyle name="Euro" xfId="126" xr:uid="{00000000-0005-0000-0000-0000FF020000}"/>
    <cellStyle name="Euro 2" xfId="1245" xr:uid="{00000000-0005-0000-0000-000000030000}"/>
    <cellStyle name="Excel Built-in Normal" xfId="127" xr:uid="{00000000-0005-0000-0000-000001030000}"/>
    <cellStyle name="Excel Built-in Normal 2" xfId="655" xr:uid="{00000000-0005-0000-0000-000002030000}"/>
    <cellStyle name="Excel_BuiltIn_Total" xfId="656" xr:uid="{00000000-0005-0000-0000-000003030000}"/>
    <cellStyle name="Explanatory Text 10" xfId="657" xr:uid="{00000000-0005-0000-0000-000004030000}"/>
    <cellStyle name="Explanatory Text 11" xfId="658" xr:uid="{00000000-0005-0000-0000-000005030000}"/>
    <cellStyle name="Explanatory Text 2" xfId="659" xr:uid="{00000000-0005-0000-0000-000006030000}"/>
    <cellStyle name="Explanatory Text 2 2" xfId="1652" xr:uid="{00000000-0005-0000-0000-000007030000}"/>
    <cellStyle name="Explanatory Text 2 3" xfId="1653" xr:uid="{00000000-0005-0000-0000-000008030000}"/>
    <cellStyle name="Explanatory Text 2 4" xfId="1654" xr:uid="{00000000-0005-0000-0000-000009030000}"/>
    <cellStyle name="Explanatory Text 3" xfId="660" xr:uid="{00000000-0005-0000-0000-00000A030000}"/>
    <cellStyle name="Explanatory Text 4" xfId="661" xr:uid="{00000000-0005-0000-0000-00000B030000}"/>
    <cellStyle name="Explanatory Text 5" xfId="662" xr:uid="{00000000-0005-0000-0000-00000C030000}"/>
    <cellStyle name="Explanatory Text 6" xfId="663" xr:uid="{00000000-0005-0000-0000-00000D030000}"/>
    <cellStyle name="Explanatory Text 7" xfId="664" xr:uid="{00000000-0005-0000-0000-00000E030000}"/>
    <cellStyle name="Explanatory Text 8" xfId="665" xr:uid="{00000000-0005-0000-0000-00000F030000}"/>
    <cellStyle name="Explanatory Text 9" xfId="666" xr:uid="{00000000-0005-0000-0000-000010030000}"/>
    <cellStyle name="Fixed" xfId="15" xr:uid="{00000000-0005-0000-0000-000011030000}"/>
    <cellStyle name="Fixed 2" xfId="667" xr:uid="{00000000-0005-0000-0000-000012030000}"/>
    <cellStyle name="Fixed 2 2" xfId="1655" xr:uid="{00000000-0005-0000-0000-000013030000}"/>
    <cellStyle name="Fixed 3" xfId="668" xr:uid="{00000000-0005-0000-0000-000014030000}"/>
    <cellStyle name="Fixed 3 2" xfId="1656" xr:uid="{00000000-0005-0000-0000-000015030000}"/>
    <cellStyle name="Fixed 4" xfId="1246" xr:uid="{00000000-0005-0000-0000-000016030000}"/>
    <cellStyle name="general" xfId="16" xr:uid="{00000000-0005-0000-0000-000017030000}"/>
    <cellStyle name="general 2" xfId="75" xr:uid="{00000000-0005-0000-0000-000018030000}"/>
    <cellStyle name="general 3" xfId="76" xr:uid="{00000000-0005-0000-0000-000019030000}"/>
    <cellStyle name="general 4" xfId="77" xr:uid="{00000000-0005-0000-0000-00001A030000}"/>
    <cellStyle name="general 5" xfId="669" xr:uid="{00000000-0005-0000-0000-00001B030000}"/>
    <cellStyle name="general 6" xfId="670" xr:uid="{00000000-0005-0000-0000-00001C030000}"/>
    <cellStyle name="general_Nakkabokkalapdu Grn Anganwadi     6-11-2016 for Bill," xfId="671" xr:uid="{00000000-0005-0000-0000-00001D030000}"/>
    <cellStyle name="Good 10" xfId="672" xr:uid="{00000000-0005-0000-0000-00001E030000}"/>
    <cellStyle name="Good 10 2" xfId="1657" xr:uid="{00000000-0005-0000-0000-00001F030000}"/>
    <cellStyle name="Good 11" xfId="673" xr:uid="{00000000-0005-0000-0000-000020030000}"/>
    <cellStyle name="Good 11 2" xfId="1658" xr:uid="{00000000-0005-0000-0000-000021030000}"/>
    <cellStyle name="Good 12" xfId="674" xr:uid="{00000000-0005-0000-0000-000022030000}"/>
    <cellStyle name="Good 13" xfId="675" xr:uid="{00000000-0005-0000-0000-000023030000}"/>
    <cellStyle name="Good 14" xfId="676" xr:uid="{00000000-0005-0000-0000-000024030000}"/>
    <cellStyle name="Good 15" xfId="677" xr:uid="{00000000-0005-0000-0000-000025030000}"/>
    <cellStyle name="Good 16" xfId="678" xr:uid="{00000000-0005-0000-0000-000026030000}"/>
    <cellStyle name="Good 2" xfId="679" xr:uid="{00000000-0005-0000-0000-000027030000}"/>
    <cellStyle name="Good 2 2" xfId="680" xr:uid="{00000000-0005-0000-0000-000028030000}"/>
    <cellStyle name="Good 2 3" xfId="681" xr:uid="{00000000-0005-0000-0000-000029030000}"/>
    <cellStyle name="Good 2 4" xfId="1659" xr:uid="{00000000-0005-0000-0000-00002A030000}"/>
    <cellStyle name="Good 2 5" xfId="1660" xr:uid="{00000000-0005-0000-0000-00002B030000}"/>
    <cellStyle name="Good 3" xfId="682" xr:uid="{00000000-0005-0000-0000-00002C030000}"/>
    <cellStyle name="Good 3 2" xfId="683" xr:uid="{00000000-0005-0000-0000-00002D030000}"/>
    <cellStyle name="Good 4" xfId="684" xr:uid="{00000000-0005-0000-0000-00002E030000}"/>
    <cellStyle name="Good 4 2" xfId="1661" xr:uid="{00000000-0005-0000-0000-00002F030000}"/>
    <cellStyle name="Good 5" xfId="685" xr:uid="{00000000-0005-0000-0000-000030030000}"/>
    <cellStyle name="Good 5 2" xfId="1662" xr:uid="{00000000-0005-0000-0000-000031030000}"/>
    <cellStyle name="Good 6" xfId="686" xr:uid="{00000000-0005-0000-0000-000032030000}"/>
    <cellStyle name="Good 6 2" xfId="1663" xr:uid="{00000000-0005-0000-0000-000033030000}"/>
    <cellStyle name="Good 7" xfId="687" xr:uid="{00000000-0005-0000-0000-000034030000}"/>
    <cellStyle name="Good 7 2" xfId="1664" xr:uid="{00000000-0005-0000-0000-000035030000}"/>
    <cellStyle name="Good 8" xfId="688" xr:uid="{00000000-0005-0000-0000-000036030000}"/>
    <cellStyle name="Good 8 2" xfId="1665" xr:uid="{00000000-0005-0000-0000-000037030000}"/>
    <cellStyle name="Good 9" xfId="689" xr:uid="{00000000-0005-0000-0000-000038030000}"/>
    <cellStyle name="Good 9 2" xfId="1666" xr:uid="{00000000-0005-0000-0000-000039030000}"/>
    <cellStyle name="Grey" xfId="17" xr:uid="{00000000-0005-0000-0000-00003A030000}"/>
    <cellStyle name="Grey 2" xfId="690" xr:uid="{00000000-0005-0000-0000-00003B030000}"/>
    <cellStyle name="Header1" xfId="18" xr:uid="{00000000-0005-0000-0000-00003C030000}"/>
    <cellStyle name="Header2" xfId="19" xr:uid="{00000000-0005-0000-0000-00003D030000}"/>
    <cellStyle name="Heading 1 10" xfId="691" xr:uid="{00000000-0005-0000-0000-00003E030000}"/>
    <cellStyle name="Heading 1 10 2" xfId="1667" xr:uid="{00000000-0005-0000-0000-00003F030000}"/>
    <cellStyle name="Heading 1 11" xfId="692" xr:uid="{00000000-0005-0000-0000-000040030000}"/>
    <cellStyle name="Heading 1 11 2" xfId="1668" xr:uid="{00000000-0005-0000-0000-000041030000}"/>
    <cellStyle name="Heading 1 12" xfId="693" xr:uid="{00000000-0005-0000-0000-000042030000}"/>
    <cellStyle name="Heading 1 13" xfId="694" xr:uid="{00000000-0005-0000-0000-000043030000}"/>
    <cellStyle name="Heading 1 14" xfId="695" xr:uid="{00000000-0005-0000-0000-000044030000}"/>
    <cellStyle name="Heading 1 15" xfId="696" xr:uid="{00000000-0005-0000-0000-000045030000}"/>
    <cellStyle name="Heading 1 16" xfId="697" xr:uid="{00000000-0005-0000-0000-000046030000}"/>
    <cellStyle name="Heading 1 2" xfId="698" xr:uid="{00000000-0005-0000-0000-000047030000}"/>
    <cellStyle name="Heading 1 2 2" xfId="699" xr:uid="{00000000-0005-0000-0000-000048030000}"/>
    <cellStyle name="Heading 1 2 3" xfId="700" xr:uid="{00000000-0005-0000-0000-000049030000}"/>
    <cellStyle name="Heading 1 2 4" xfId="1669" xr:uid="{00000000-0005-0000-0000-00004A030000}"/>
    <cellStyle name="Heading 1 2 5" xfId="1670" xr:uid="{00000000-0005-0000-0000-00004B030000}"/>
    <cellStyle name="Heading 1 3" xfId="701" xr:uid="{00000000-0005-0000-0000-00004C030000}"/>
    <cellStyle name="Heading 1 3 2" xfId="702" xr:uid="{00000000-0005-0000-0000-00004D030000}"/>
    <cellStyle name="Heading 1 4" xfId="703" xr:uid="{00000000-0005-0000-0000-00004E030000}"/>
    <cellStyle name="Heading 1 4 2" xfId="1671" xr:uid="{00000000-0005-0000-0000-00004F030000}"/>
    <cellStyle name="Heading 1 5" xfId="704" xr:uid="{00000000-0005-0000-0000-000050030000}"/>
    <cellStyle name="Heading 1 5 2" xfId="1672" xr:uid="{00000000-0005-0000-0000-000051030000}"/>
    <cellStyle name="Heading 1 6" xfId="705" xr:uid="{00000000-0005-0000-0000-000052030000}"/>
    <cellStyle name="Heading 1 6 2" xfId="1673" xr:uid="{00000000-0005-0000-0000-000053030000}"/>
    <cellStyle name="Heading 1 7" xfId="706" xr:uid="{00000000-0005-0000-0000-000054030000}"/>
    <cellStyle name="Heading 1 7 2" xfId="1674" xr:uid="{00000000-0005-0000-0000-000055030000}"/>
    <cellStyle name="Heading 1 8" xfId="707" xr:uid="{00000000-0005-0000-0000-000056030000}"/>
    <cellStyle name="Heading 1 8 2" xfId="1675" xr:uid="{00000000-0005-0000-0000-000057030000}"/>
    <cellStyle name="Heading 1 9" xfId="708" xr:uid="{00000000-0005-0000-0000-000058030000}"/>
    <cellStyle name="Heading 1 9 2" xfId="1676" xr:uid="{00000000-0005-0000-0000-000059030000}"/>
    <cellStyle name="Heading 2 10" xfId="709" xr:uid="{00000000-0005-0000-0000-00005A030000}"/>
    <cellStyle name="Heading 2 10 2" xfId="1677" xr:uid="{00000000-0005-0000-0000-00005B030000}"/>
    <cellStyle name="Heading 2 11" xfId="710" xr:uid="{00000000-0005-0000-0000-00005C030000}"/>
    <cellStyle name="Heading 2 11 2" xfId="1678" xr:uid="{00000000-0005-0000-0000-00005D030000}"/>
    <cellStyle name="Heading 2 12" xfId="711" xr:uid="{00000000-0005-0000-0000-00005E030000}"/>
    <cellStyle name="Heading 2 13" xfId="712" xr:uid="{00000000-0005-0000-0000-00005F030000}"/>
    <cellStyle name="Heading 2 14" xfId="713" xr:uid="{00000000-0005-0000-0000-000060030000}"/>
    <cellStyle name="Heading 2 15" xfId="714" xr:uid="{00000000-0005-0000-0000-000061030000}"/>
    <cellStyle name="Heading 2 16" xfId="715" xr:uid="{00000000-0005-0000-0000-000062030000}"/>
    <cellStyle name="Heading 2 2" xfId="716" xr:uid="{00000000-0005-0000-0000-000063030000}"/>
    <cellStyle name="Heading 2 2 2" xfId="717" xr:uid="{00000000-0005-0000-0000-000064030000}"/>
    <cellStyle name="Heading 2 2 3" xfId="718" xr:uid="{00000000-0005-0000-0000-000065030000}"/>
    <cellStyle name="Heading 2 2 4" xfId="1679" xr:uid="{00000000-0005-0000-0000-000066030000}"/>
    <cellStyle name="Heading 2 2 5" xfId="1680" xr:uid="{00000000-0005-0000-0000-000067030000}"/>
    <cellStyle name="Heading 2 3" xfId="719" xr:uid="{00000000-0005-0000-0000-000068030000}"/>
    <cellStyle name="Heading 2 3 2" xfId="720" xr:uid="{00000000-0005-0000-0000-000069030000}"/>
    <cellStyle name="Heading 2 4" xfId="721" xr:uid="{00000000-0005-0000-0000-00006A030000}"/>
    <cellStyle name="Heading 2 4 2" xfId="1681" xr:uid="{00000000-0005-0000-0000-00006B030000}"/>
    <cellStyle name="Heading 2 5" xfId="722" xr:uid="{00000000-0005-0000-0000-00006C030000}"/>
    <cellStyle name="Heading 2 5 2" xfId="1682" xr:uid="{00000000-0005-0000-0000-00006D030000}"/>
    <cellStyle name="Heading 2 6" xfId="723" xr:uid="{00000000-0005-0000-0000-00006E030000}"/>
    <cellStyle name="Heading 2 6 2" xfId="1683" xr:uid="{00000000-0005-0000-0000-00006F030000}"/>
    <cellStyle name="Heading 2 7" xfId="724" xr:uid="{00000000-0005-0000-0000-000070030000}"/>
    <cellStyle name="Heading 2 7 2" xfId="1684" xr:uid="{00000000-0005-0000-0000-000071030000}"/>
    <cellStyle name="Heading 2 8" xfId="725" xr:uid="{00000000-0005-0000-0000-000072030000}"/>
    <cellStyle name="Heading 2 8 2" xfId="1685" xr:uid="{00000000-0005-0000-0000-000073030000}"/>
    <cellStyle name="Heading 2 9" xfId="726" xr:uid="{00000000-0005-0000-0000-000074030000}"/>
    <cellStyle name="Heading 2 9 2" xfId="1686" xr:uid="{00000000-0005-0000-0000-000075030000}"/>
    <cellStyle name="Heading 3 10" xfId="727" xr:uid="{00000000-0005-0000-0000-000076030000}"/>
    <cellStyle name="Heading 3 10 2" xfId="1687" xr:uid="{00000000-0005-0000-0000-000077030000}"/>
    <cellStyle name="Heading 3 11" xfId="728" xr:uid="{00000000-0005-0000-0000-000078030000}"/>
    <cellStyle name="Heading 3 11 2" xfId="1688" xr:uid="{00000000-0005-0000-0000-000079030000}"/>
    <cellStyle name="Heading 3 12" xfId="729" xr:uid="{00000000-0005-0000-0000-00007A030000}"/>
    <cellStyle name="Heading 3 13" xfId="730" xr:uid="{00000000-0005-0000-0000-00007B030000}"/>
    <cellStyle name="Heading 3 14" xfId="731" xr:uid="{00000000-0005-0000-0000-00007C030000}"/>
    <cellStyle name="Heading 3 15" xfId="732" xr:uid="{00000000-0005-0000-0000-00007D030000}"/>
    <cellStyle name="Heading 3 16" xfId="733" xr:uid="{00000000-0005-0000-0000-00007E030000}"/>
    <cellStyle name="Heading 3 2" xfId="734" xr:uid="{00000000-0005-0000-0000-00007F030000}"/>
    <cellStyle name="Heading 3 2 2" xfId="735" xr:uid="{00000000-0005-0000-0000-000080030000}"/>
    <cellStyle name="Heading 3 2 3" xfId="736" xr:uid="{00000000-0005-0000-0000-000081030000}"/>
    <cellStyle name="Heading 3 2 4" xfId="1689" xr:uid="{00000000-0005-0000-0000-000082030000}"/>
    <cellStyle name="Heading 3 2 5" xfId="1690" xr:uid="{00000000-0005-0000-0000-000083030000}"/>
    <cellStyle name="Heading 3 3" xfId="737" xr:uid="{00000000-0005-0000-0000-000084030000}"/>
    <cellStyle name="Heading 3 3 2" xfId="738" xr:uid="{00000000-0005-0000-0000-000085030000}"/>
    <cellStyle name="Heading 3 4" xfId="739" xr:uid="{00000000-0005-0000-0000-000086030000}"/>
    <cellStyle name="Heading 3 4 2" xfId="1691" xr:uid="{00000000-0005-0000-0000-000087030000}"/>
    <cellStyle name="Heading 3 5" xfId="740" xr:uid="{00000000-0005-0000-0000-000088030000}"/>
    <cellStyle name="Heading 3 5 2" xfId="1692" xr:uid="{00000000-0005-0000-0000-000089030000}"/>
    <cellStyle name="Heading 3 6" xfId="741" xr:uid="{00000000-0005-0000-0000-00008A030000}"/>
    <cellStyle name="Heading 3 6 2" xfId="1693" xr:uid="{00000000-0005-0000-0000-00008B030000}"/>
    <cellStyle name="Heading 3 7" xfId="742" xr:uid="{00000000-0005-0000-0000-00008C030000}"/>
    <cellStyle name="Heading 3 7 2" xfId="1694" xr:uid="{00000000-0005-0000-0000-00008D030000}"/>
    <cellStyle name="Heading 3 8" xfId="743" xr:uid="{00000000-0005-0000-0000-00008E030000}"/>
    <cellStyle name="Heading 3 8 2" xfId="1695" xr:uid="{00000000-0005-0000-0000-00008F030000}"/>
    <cellStyle name="Heading 3 9" xfId="744" xr:uid="{00000000-0005-0000-0000-000090030000}"/>
    <cellStyle name="Heading 3 9 2" xfId="1696" xr:uid="{00000000-0005-0000-0000-000091030000}"/>
    <cellStyle name="Heading 4 10" xfId="745" xr:uid="{00000000-0005-0000-0000-000092030000}"/>
    <cellStyle name="Heading 4 10 2" xfId="1697" xr:uid="{00000000-0005-0000-0000-000093030000}"/>
    <cellStyle name="Heading 4 11" xfId="746" xr:uid="{00000000-0005-0000-0000-000094030000}"/>
    <cellStyle name="Heading 4 11 2" xfId="1698" xr:uid="{00000000-0005-0000-0000-000095030000}"/>
    <cellStyle name="Heading 4 12" xfId="747" xr:uid="{00000000-0005-0000-0000-000096030000}"/>
    <cellStyle name="Heading 4 13" xfId="748" xr:uid="{00000000-0005-0000-0000-000097030000}"/>
    <cellStyle name="Heading 4 14" xfId="749" xr:uid="{00000000-0005-0000-0000-000098030000}"/>
    <cellStyle name="Heading 4 15" xfId="750" xr:uid="{00000000-0005-0000-0000-000099030000}"/>
    <cellStyle name="Heading 4 16" xfId="751" xr:uid="{00000000-0005-0000-0000-00009A030000}"/>
    <cellStyle name="Heading 4 2" xfId="752" xr:uid="{00000000-0005-0000-0000-00009B030000}"/>
    <cellStyle name="Heading 4 2 2" xfId="753" xr:uid="{00000000-0005-0000-0000-00009C030000}"/>
    <cellStyle name="Heading 4 2 3" xfId="754" xr:uid="{00000000-0005-0000-0000-00009D030000}"/>
    <cellStyle name="Heading 4 2 4" xfId="1699" xr:uid="{00000000-0005-0000-0000-00009E030000}"/>
    <cellStyle name="Heading 4 2 5" xfId="1700" xr:uid="{00000000-0005-0000-0000-00009F030000}"/>
    <cellStyle name="Heading 4 3" xfId="755" xr:uid="{00000000-0005-0000-0000-0000A0030000}"/>
    <cellStyle name="Heading 4 3 2" xfId="756" xr:uid="{00000000-0005-0000-0000-0000A1030000}"/>
    <cellStyle name="Heading 4 4" xfId="757" xr:uid="{00000000-0005-0000-0000-0000A2030000}"/>
    <cellStyle name="Heading 4 4 2" xfId="1701" xr:uid="{00000000-0005-0000-0000-0000A3030000}"/>
    <cellStyle name="Heading 4 5" xfId="758" xr:uid="{00000000-0005-0000-0000-0000A4030000}"/>
    <cellStyle name="Heading 4 5 2" xfId="1702" xr:uid="{00000000-0005-0000-0000-0000A5030000}"/>
    <cellStyle name="Heading 4 6" xfId="759" xr:uid="{00000000-0005-0000-0000-0000A6030000}"/>
    <cellStyle name="Heading 4 6 2" xfId="1703" xr:uid="{00000000-0005-0000-0000-0000A7030000}"/>
    <cellStyle name="Heading 4 7" xfId="760" xr:uid="{00000000-0005-0000-0000-0000A8030000}"/>
    <cellStyle name="Heading 4 7 2" xfId="1704" xr:uid="{00000000-0005-0000-0000-0000A9030000}"/>
    <cellStyle name="Heading 4 8" xfId="761" xr:uid="{00000000-0005-0000-0000-0000AA030000}"/>
    <cellStyle name="Heading 4 8 2" xfId="1705" xr:uid="{00000000-0005-0000-0000-0000AB030000}"/>
    <cellStyle name="Heading 4 9" xfId="762" xr:uid="{00000000-0005-0000-0000-0000AC030000}"/>
    <cellStyle name="Heading 4 9 2" xfId="1706" xr:uid="{00000000-0005-0000-0000-0000AD030000}"/>
    <cellStyle name="Hyperlink 2" xfId="20" xr:uid="{00000000-0005-0000-0000-0000AE030000}"/>
    <cellStyle name="Hyperlink 2 2" xfId="763" xr:uid="{00000000-0005-0000-0000-0000AF030000}"/>
    <cellStyle name="Hyperlink 2 3" xfId="764" xr:uid="{00000000-0005-0000-0000-0000B0030000}"/>
    <cellStyle name="Hyperlink 2_500 KL OHSR 21.60m Staging" xfId="765" xr:uid="{00000000-0005-0000-0000-0000B1030000}"/>
    <cellStyle name="Hyperlink 3" xfId="21" xr:uid="{00000000-0005-0000-0000-0000B2030000}"/>
    <cellStyle name="Hyperlink 3 2" xfId="1707" xr:uid="{00000000-0005-0000-0000-0000B3030000}"/>
    <cellStyle name="Hyperlink 3 3" xfId="1708" xr:uid="{00000000-0005-0000-0000-0000B4030000}"/>
    <cellStyle name="Input [yellow]" xfId="22" xr:uid="{00000000-0005-0000-0000-0000B5030000}"/>
    <cellStyle name="Input [yellow] 2" xfId="766" xr:uid="{00000000-0005-0000-0000-0000B6030000}"/>
    <cellStyle name="Input 10" xfId="767" xr:uid="{00000000-0005-0000-0000-0000B7030000}"/>
    <cellStyle name="Input 10 2" xfId="1709" xr:uid="{00000000-0005-0000-0000-0000B8030000}"/>
    <cellStyle name="Input 11" xfId="768" xr:uid="{00000000-0005-0000-0000-0000B9030000}"/>
    <cellStyle name="Input 11 2" xfId="1710" xr:uid="{00000000-0005-0000-0000-0000BA030000}"/>
    <cellStyle name="Input 12" xfId="769" xr:uid="{00000000-0005-0000-0000-0000BB030000}"/>
    <cellStyle name="Input 13" xfId="770" xr:uid="{00000000-0005-0000-0000-0000BC030000}"/>
    <cellStyle name="Input 14" xfId="771" xr:uid="{00000000-0005-0000-0000-0000BD030000}"/>
    <cellStyle name="Input 15" xfId="772" xr:uid="{00000000-0005-0000-0000-0000BE030000}"/>
    <cellStyle name="Input 16" xfId="773" xr:uid="{00000000-0005-0000-0000-0000BF030000}"/>
    <cellStyle name="Input 2" xfId="774" xr:uid="{00000000-0005-0000-0000-0000C0030000}"/>
    <cellStyle name="Input 2 2" xfId="775" xr:uid="{00000000-0005-0000-0000-0000C1030000}"/>
    <cellStyle name="Input 2 3" xfId="776" xr:uid="{00000000-0005-0000-0000-0000C2030000}"/>
    <cellStyle name="Input 2 4" xfId="1711" xr:uid="{00000000-0005-0000-0000-0000C3030000}"/>
    <cellStyle name="Input 2 5" xfId="1712" xr:uid="{00000000-0005-0000-0000-0000C4030000}"/>
    <cellStyle name="Input 3" xfId="777" xr:uid="{00000000-0005-0000-0000-0000C5030000}"/>
    <cellStyle name="Input 3 2" xfId="778" xr:uid="{00000000-0005-0000-0000-0000C6030000}"/>
    <cellStyle name="Input 4" xfId="779" xr:uid="{00000000-0005-0000-0000-0000C7030000}"/>
    <cellStyle name="Input 4 2" xfId="1713" xr:uid="{00000000-0005-0000-0000-0000C8030000}"/>
    <cellStyle name="Input 5" xfId="780" xr:uid="{00000000-0005-0000-0000-0000C9030000}"/>
    <cellStyle name="Input 5 2" xfId="1714" xr:uid="{00000000-0005-0000-0000-0000CA030000}"/>
    <cellStyle name="Input 6" xfId="781" xr:uid="{00000000-0005-0000-0000-0000CB030000}"/>
    <cellStyle name="Input 6 2" xfId="1715" xr:uid="{00000000-0005-0000-0000-0000CC030000}"/>
    <cellStyle name="Input 7" xfId="782" xr:uid="{00000000-0005-0000-0000-0000CD030000}"/>
    <cellStyle name="Input 7 2" xfId="1716" xr:uid="{00000000-0005-0000-0000-0000CE030000}"/>
    <cellStyle name="Input 8" xfId="783" xr:uid="{00000000-0005-0000-0000-0000CF030000}"/>
    <cellStyle name="Input 8 2" xfId="1717" xr:uid="{00000000-0005-0000-0000-0000D0030000}"/>
    <cellStyle name="Input 9" xfId="784" xr:uid="{00000000-0005-0000-0000-0000D1030000}"/>
    <cellStyle name="Input 9 2" xfId="1718" xr:uid="{00000000-0005-0000-0000-0000D2030000}"/>
    <cellStyle name="Linked Cell 10" xfId="785" xr:uid="{00000000-0005-0000-0000-0000D3030000}"/>
    <cellStyle name="Linked Cell 10 2" xfId="1719" xr:uid="{00000000-0005-0000-0000-0000D4030000}"/>
    <cellStyle name="Linked Cell 11" xfId="786" xr:uid="{00000000-0005-0000-0000-0000D5030000}"/>
    <cellStyle name="Linked Cell 11 2" xfId="1720" xr:uid="{00000000-0005-0000-0000-0000D6030000}"/>
    <cellStyle name="Linked Cell 12" xfId="787" xr:uid="{00000000-0005-0000-0000-0000D7030000}"/>
    <cellStyle name="Linked Cell 13" xfId="788" xr:uid="{00000000-0005-0000-0000-0000D8030000}"/>
    <cellStyle name="Linked Cell 14" xfId="789" xr:uid="{00000000-0005-0000-0000-0000D9030000}"/>
    <cellStyle name="Linked Cell 15" xfId="790" xr:uid="{00000000-0005-0000-0000-0000DA030000}"/>
    <cellStyle name="Linked Cell 16" xfId="791" xr:uid="{00000000-0005-0000-0000-0000DB030000}"/>
    <cellStyle name="Linked Cell 2" xfId="792" xr:uid="{00000000-0005-0000-0000-0000DC030000}"/>
    <cellStyle name="Linked Cell 2 2" xfId="793" xr:uid="{00000000-0005-0000-0000-0000DD030000}"/>
    <cellStyle name="Linked Cell 2 3" xfId="794" xr:uid="{00000000-0005-0000-0000-0000DE030000}"/>
    <cellStyle name="Linked Cell 2 4" xfId="1721" xr:uid="{00000000-0005-0000-0000-0000DF030000}"/>
    <cellStyle name="Linked Cell 2 5" xfId="1722" xr:uid="{00000000-0005-0000-0000-0000E0030000}"/>
    <cellStyle name="Linked Cell 3" xfId="795" xr:uid="{00000000-0005-0000-0000-0000E1030000}"/>
    <cellStyle name="Linked Cell 3 2" xfId="796" xr:uid="{00000000-0005-0000-0000-0000E2030000}"/>
    <cellStyle name="Linked Cell 4" xfId="797" xr:uid="{00000000-0005-0000-0000-0000E3030000}"/>
    <cellStyle name="Linked Cell 4 2" xfId="1723" xr:uid="{00000000-0005-0000-0000-0000E4030000}"/>
    <cellStyle name="Linked Cell 5" xfId="798" xr:uid="{00000000-0005-0000-0000-0000E5030000}"/>
    <cellStyle name="Linked Cell 5 2" xfId="1724" xr:uid="{00000000-0005-0000-0000-0000E6030000}"/>
    <cellStyle name="Linked Cell 6" xfId="799" xr:uid="{00000000-0005-0000-0000-0000E7030000}"/>
    <cellStyle name="Linked Cell 6 2" xfId="1725" xr:uid="{00000000-0005-0000-0000-0000E8030000}"/>
    <cellStyle name="Linked Cell 7" xfId="800" xr:uid="{00000000-0005-0000-0000-0000E9030000}"/>
    <cellStyle name="Linked Cell 7 2" xfId="1726" xr:uid="{00000000-0005-0000-0000-0000EA030000}"/>
    <cellStyle name="Linked Cell 8" xfId="801" xr:uid="{00000000-0005-0000-0000-0000EB030000}"/>
    <cellStyle name="Linked Cell 8 2" xfId="1727" xr:uid="{00000000-0005-0000-0000-0000EC030000}"/>
    <cellStyle name="Linked Cell 9" xfId="802" xr:uid="{00000000-0005-0000-0000-0000ED030000}"/>
    <cellStyle name="Linked Cell 9 2" xfId="1728" xr:uid="{00000000-0005-0000-0000-0000EE030000}"/>
    <cellStyle name="M Head" xfId="23" xr:uid="{00000000-0005-0000-0000-0000EF030000}"/>
    <cellStyle name="M head 2" xfId="24" xr:uid="{00000000-0005-0000-0000-0000F0030000}"/>
    <cellStyle name="M head 3" xfId="803" xr:uid="{00000000-0005-0000-0000-0000F1030000}"/>
    <cellStyle name="M head_con 2012" xfId="25" xr:uid="{00000000-0005-0000-0000-0000F2030000}"/>
    <cellStyle name="Main Heading" xfId="128" xr:uid="{00000000-0005-0000-0000-0000F3030000}"/>
    <cellStyle name="MANKAD" xfId="26" xr:uid="{00000000-0005-0000-0000-0000F4030000}"/>
    <cellStyle name="MANKAD 2" xfId="804" xr:uid="{00000000-0005-0000-0000-0000F5030000}"/>
    <cellStyle name="MANKAD 2 2" xfId="1729" xr:uid="{00000000-0005-0000-0000-0000F6030000}"/>
    <cellStyle name="MANKAD 3" xfId="805" xr:uid="{00000000-0005-0000-0000-0000F7030000}"/>
    <cellStyle name="MANKAD 3 2" xfId="1730" xr:uid="{00000000-0005-0000-0000-0000F8030000}"/>
    <cellStyle name="MANKAD 4" xfId="806" xr:uid="{00000000-0005-0000-0000-0000F9030000}"/>
    <cellStyle name="MANKAD 5" xfId="807" xr:uid="{00000000-0005-0000-0000-0000FA030000}"/>
    <cellStyle name="MANKAD 6" xfId="808" xr:uid="{00000000-0005-0000-0000-0000FB030000}"/>
    <cellStyle name="MANKAD_3 - ZP  BHAIRAVANAGAR 45.00L." xfId="809" xr:uid="{00000000-0005-0000-0000-0000FC030000}"/>
    <cellStyle name="Minor Head" xfId="27" xr:uid="{00000000-0005-0000-0000-0000FD030000}"/>
    <cellStyle name="Neutral 10" xfId="810" xr:uid="{00000000-0005-0000-0000-0000FE030000}"/>
    <cellStyle name="Neutral 10 2" xfId="1731" xr:uid="{00000000-0005-0000-0000-0000FF030000}"/>
    <cellStyle name="Neutral 11" xfId="811" xr:uid="{00000000-0005-0000-0000-000000040000}"/>
    <cellStyle name="Neutral 11 2" xfId="1732" xr:uid="{00000000-0005-0000-0000-000001040000}"/>
    <cellStyle name="Neutral 12" xfId="812" xr:uid="{00000000-0005-0000-0000-000002040000}"/>
    <cellStyle name="Neutral 13" xfId="813" xr:uid="{00000000-0005-0000-0000-000003040000}"/>
    <cellStyle name="Neutral 14" xfId="814" xr:uid="{00000000-0005-0000-0000-000004040000}"/>
    <cellStyle name="Neutral 15" xfId="815" xr:uid="{00000000-0005-0000-0000-000005040000}"/>
    <cellStyle name="Neutral 16" xfId="816" xr:uid="{00000000-0005-0000-0000-000006040000}"/>
    <cellStyle name="Neutral 2" xfId="817" xr:uid="{00000000-0005-0000-0000-000007040000}"/>
    <cellStyle name="Neutral 2 2" xfId="818" xr:uid="{00000000-0005-0000-0000-000008040000}"/>
    <cellStyle name="Neutral 2 3" xfId="819" xr:uid="{00000000-0005-0000-0000-000009040000}"/>
    <cellStyle name="Neutral 2 4" xfId="1733" xr:uid="{00000000-0005-0000-0000-00000A040000}"/>
    <cellStyle name="Neutral 2 5" xfId="1734" xr:uid="{00000000-0005-0000-0000-00000B040000}"/>
    <cellStyle name="Neutral 3" xfId="820" xr:uid="{00000000-0005-0000-0000-00000C040000}"/>
    <cellStyle name="Neutral 3 2" xfId="821" xr:uid="{00000000-0005-0000-0000-00000D040000}"/>
    <cellStyle name="Neutral 4" xfId="822" xr:uid="{00000000-0005-0000-0000-00000E040000}"/>
    <cellStyle name="Neutral 4 2" xfId="1735" xr:uid="{00000000-0005-0000-0000-00000F040000}"/>
    <cellStyle name="Neutral 5" xfId="823" xr:uid="{00000000-0005-0000-0000-000010040000}"/>
    <cellStyle name="Neutral 5 2" xfId="1736" xr:uid="{00000000-0005-0000-0000-000011040000}"/>
    <cellStyle name="Neutral 6" xfId="824" xr:uid="{00000000-0005-0000-0000-000012040000}"/>
    <cellStyle name="Neutral 6 2" xfId="1737" xr:uid="{00000000-0005-0000-0000-000013040000}"/>
    <cellStyle name="Neutral 7" xfId="825" xr:uid="{00000000-0005-0000-0000-000014040000}"/>
    <cellStyle name="Neutral 7 2" xfId="1738" xr:uid="{00000000-0005-0000-0000-000015040000}"/>
    <cellStyle name="Neutral 8" xfId="826" xr:uid="{00000000-0005-0000-0000-000016040000}"/>
    <cellStyle name="Neutral 8 2" xfId="1739" xr:uid="{00000000-0005-0000-0000-000017040000}"/>
    <cellStyle name="Neutral 9" xfId="827" xr:uid="{00000000-0005-0000-0000-000018040000}"/>
    <cellStyle name="Neutral 9 2" xfId="1740" xr:uid="{00000000-0005-0000-0000-000019040000}"/>
    <cellStyle name="no dec" xfId="28" xr:uid="{00000000-0005-0000-0000-00001A040000}"/>
    <cellStyle name="no dec 2" xfId="828" xr:uid="{00000000-0005-0000-0000-00001B040000}"/>
    <cellStyle name="no dec 2 2" xfId="1741" xr:uid="{00000000-0005-0000-0000-00001C040000}"/>
    <cellStyle name="no dec 3" xfId="829" xr:uid="{00000000-0005-0000-0000-00001D040000}"/>
    <cellStyle name="no dec 3 2" xfId="1742" xr:uid="{00000000-0005-0000-0000-00001E040000}"/>
    <cellStyle name="no dec 4" xfId="830" xr:uid="{00000000-0005-0000-0000-00001F040000}"/>
    <cellStyle name="no dec 5" xfId="831" xr:uid="{00000000-0005-0000-0000-000020040000}"/>
    <cellStyle name="no dec 6" xfId="832" xr:uid="{00000000-0005-0000-0000-000021040000}"/>
    <cellStyle name="no dec_3 - ZP  BHAIRAVANAGAR 45.00L." xfId="833" xr:uid="{00000000-0005-0000-0000-000022040000}"/>
    <cellStyle name="Normal" xfId="0" builtinId="0"/>
    <cellStyle name="Normal - Style1" xfId="29" xr:uid="{00000000-0005-0000-0000-000024040000}"/>
    <cellStyle name="Normal - Style1 2" xfId="30" xr:uid="{00000000-0005-0000-0000-000025040000}"/>
    <cellStyle name="Normal - Style1 2 2" xfId="70" xr:uid="{00000000-0005-0000-0000-000026040000}"/>
    <cellStyle name="Normal - Style1 2 2 2" xfId="129" xr:uid="{00000000-0005-0000-0000-000027040000}"/>
    <cellStyle name="Normal - Style1 2 2 3" xfId="1241" xr:uid="{00000000-0005-0000-0000-000028040000}"/>
    <cellStyle name="Normal - Style1 2 2 3 2" xfId="1247" xr:uid="{00000000-0005-0000-0000-000029040000}"/>
    <cellStyle name="Normal - Style1 2 3" xfId="130" xr:uid="{00000000-0005-0000-0000-00002A040000}"/>
    <cellStyle name="Normal - Style1 2 4" xfId="1248" xr:uid="{00000000-0005-0000-0000-00002B040000}"/>
    <cellStyle name="Normal - Style1 2 4 2" xfId="1249" xr:uid="{00000000-0005-0000-0000-00002C040000}"/>
    <cellStyle name="Normal - Style1 2 5" xfId="1250" xr:uid="{00000000-0005-0000-0000-00002D040000}"/>
    <cellStyle name="Normal - Style1 2_1) NREGS  Report Uppudi" xfId="834" xr:uid="{00000000-0005-0000-0000-00002E040000}"/>
    <cellStyle name="Normal - Style1 3" xfId="78" xr:uid="{00000000-0005-0000-0000-00002F040000}"/>
    <cellStyle name="Normal - Style1 3 2" xfId="1251" xr:uid="{00000000-0005-0000-0000-000030040000}"/>
    <cellStyle name="Normal - Style1 3 3" xfId="1252" xr:uid="{00000000-0005-0000-0000-000031040000}"/>
    <cellStyle name="Normal - Style1 3 4" xfId="1253" xr:uid="{00000000-0005-0000-0000-000032040000}"/>
    <cellStyle name="Normal - Style1 4" xfId="79" xr:uid="{00000000-0005-0000-0000-000033040000}"/>
    <cellStyle name="Normal - Style1 4 2" xfId="1743" xr:uid="{00000000-0005-0000-0000-000034040000}"/>
    <cellStyle name="Normal - Style1 5" xfId="835" xr:uid="{00000000-0005-0000-0000-000035040000}"/>
    <cellStyle name="Normal - Style1 6" xfId="836" xr:uid="{00000000-0005-0000-0000-000036040000}"/>
    <cellStyle name="Normal - Style1 7" xfId="837" xr:uid="{00000000-0005-0000-0000-000037040000}"/>
    <cellStyle name="Normal - Style1 8" xfId="838" xr:uid="{00000000-0005-0000-0000-000038040000}"/>
    <cellStyle name="Normal - Style1_1_Pattapupalem_road estt-NCRMP" xfId="839" xr:uid="{00000000-0005-0000-0000-000039040000}"/>
    <cellStyle name="Normal 10" xfId="97" xr:uid="{00000000-0005-0000-0000-00003A040000}"/>
    <cellStyle name="Normal 10 2" xfId="840" xr:uid="{00000000-0005-0000-0000-00003B040000}"/>
    <cellStyle name="Normal 10 2 2" xfId="841" xr:uid="{00000000-0005-0000-0000-00003C040000}"/>
    <cellStyle name="Normal 10 3" xfId="842" xr:uid="{00000000-0005-0000-0000-00003D040000}"/>
    <cellStyle name="Normal 10 3 2" xfId="1254" xr:uid="{00000000-0005-0000-0000-00003E040000}"/>
    <cellStyle name="Normal 10 3 3" xfId="1744" xr:uid="{00000000-0005-0000-0000-00003F040000}"/>
    <cellStyle name="Normal 10 4" xfId="1255" xr:uid="{00000000-0005-0000-0000-000040040000}"/>
    <cellStyle name="Normal 10_EastpalemSC Colony.xls;SC SP200 (Autosaved)" xfId="1745" xr:uid="{00000000-0005-0000-0000-000041040000}"/>
    <cellStyle name="Normal 11" xfId="131" xr:uid="{00000000-0005-0000-0000-000042040000}"/>
    <cellStyle name="Normal 11 2" xfId="155" xr:uid="{00000000-0005-0000-0000-000043040000}"/>
    <cellStyle name="Normal 11 2 2" xfId="1256" xr:uid="{00000000-0005-0000-0000-000044040000}"/>
    <cellStyle name="Normal 11 2 2 2" xfId="1257" xr:uid="{00000000-0005-0000-0000-000045040000}"/>
    <cellStyle name="Normal 11 2 3" xfId="1258" xr:uid="{00000000-0005-0000-0000-000046040000}"/>
    <cellStyle name="Normal 11 2 3 2" xfId="1259" xr:uid="{00000000-0005-0000-0000-000047040000}"/>
    <cellStyle name="Normal 11 2 4" xfId="1260" xr:uid="{00000000-0005-0000-0000-000048040000}"/>
    <cellStyle name="Normal 11 3" xfId="1261" xr:uid="{00000000-0005-0000-0000-000049040000}"/>
    <cellStyle name="Normal 11 3 2" xfId="1262" xr:uid="{00000000-0005-0000-0000-00004A040000}"/>
    <cellStyle name="Normal 11 4" xfId="1263" xr:uid="{00000000-0005-0000-0000-00004B040000}"/>
    <cellStyle name="Normal 11 4 2" xfId="1264" xr:uid="{00000000-0005-0000-0000-00004C040000}"/>
    <cellStyle name="Normal 11 5" xfId="1265" xr:uid="{00000000-0005-0000-0000-00004D040000}"/>
    <cellStyle name="Normal 11_TIRUPATI  ELEC" xfId="843" xr:uid="{00000000-0005-0000-0000-00004E040000}"/>
    <cellStyle name="Normal 12" xfId="98" xr:uid="{00000000-0005-0000-0000-00004F040000}"/>
    <cellStyle name="Normal 12 2" xfId="156" xr:uid="{00000000-0005-0000-0000-000050040000}"/>
    <cellStyle name="Normal 12 2 2" xfId="157" xr:uid="{00000000-0005-0000-0000-000051040000}"/>
    <cellStyle name="Normal 12 2 2 2" xfId="1266" xr:uid="{00000000-0005-0000-0000-000052040000}"/>
    <cellStyle name="Normal 12 2 2 2 2" xfId="1267" xr:uid="{00000000-0005-0000-0000-000053040000}"/>
    <cellStyle name="Normal 12 2 2 3" xfId="1268" xr:uid="{00000000-0005-0000-0000-000054040000}"/>
    <cellStyle name="Normal 12 2 2 3 2" xfId="1269" xr:uid="{00000000-0005-0000-0000-000055040000}"/>
    <cellStyle name="Normal 12 2 2 4" xfId="1270" xr:uid="{00000000-0005-0000-0000-000056040000}"/>
    <cellStyle name="Normal 12 2 3" xfId="1271" xr:uid="{00000000-0005-0000-0000-000057040000}"/>
    <cellStyle name="Normal 12 2 3 2" xfId="1272" xr:uid="{00000000-0005-0000-0000-000058040000}"/>
    <cellStyle name="Normal 12 2 4" xfId="1273" xr:uid="{00000000-0005-0000-0000-000059040000}"/>
    <cellStyle name="Normal 12 2 4 2" xfId="1274" xr:uid="{00000000-0005-0000-0000-00005A040000}"/>
    <cellStyle name="Normal 12 2 5" xfId="1275" xr:uid="{00000000-0005-0000-0000-00005B040000}"/>
    <cellStyle name="Normal 12 3" xfId="844" xr:uid="{00000000-0005-0000-0000-00005C040000}"/>
    <cellStyle name="Normal 12 3 2" xfId="1276" xr:uid="{00000000-0005-0000-0000-00005D040000}"/>
    <cellStyle name="Normal 12 4" xfId="1236" xr:uid="{00000000-0005-0000-0000-00005E040000}"/>
    <cellStyle name="Normal 12 4 2" xfId="1277" xr:uid="{00000000-0005-0000-0000-00005F040000}"/>
    <cellStyle name="Normal 12 4 3" xfId="1278" xr:uid="{00000000-0005-0000-0000-000060040000}"/>
    <cellStyle name="Normal 12 4 3 2" xfId="1279" xr:uid="{00000000-0005-0000-0000-000061040000}"/>
    <cellStyle name="Normal 12 4 4" xfId="1280" xr:uid="{00000000-0005-0000-0000-000062040000}"/>
    <cellStyle name="Normal 12 4 5" xfId="1243" xr:uid="{00000000-0005-0000-0000-000063040000}"/>
    <cellStyle name="Normal 12 4 5 2" xfId="1281" xr:uid="{00000000-0005-0000-0000-000064040000}"/>
    <cellStyle name="Normal 12 5" xfId="1282" xr:uid="{00000000-0005-0000-0000-000065040000}"/>
    <cellStyle name="Normal 12_LINE DPR  ANUMARLAPUDI" xfId="1746" xr:uid="{00000000-0005-0000-0000-000066040000}"/>
    <cellStyle name="Normal 13" xfId="162" xr:uid="{00000000-0005-0000-0000-000067040000}"/>
    <cellStyle name="Normal 13 2" xfId="845" xr:uid="{00000000-0005-0000-0000-000068040000}"/>
    <cellStyle name="Normal 13 2 2" xfId="846" xr:uid="{00000000-0005-0000-0000-000069040000}"/>
    <cellStyle name="Normal 13_Girls Hostel attached to Model School at Munipally WDE (Final) Modified (05.09.2014)" xfId="847" xr:uid="{00000000-0005-0000-0000-00006A040000}"/>
    <cellStyle name="Normal 14" xfId="848" xr:uid="{00000000-0005-0000-0000-00006B040000}"/>
    <cellStyle name="Normal 14 2" xfId="849" xr:uid="{00000000-0005-0000-0000-00006C040000}"/>
    <cellStyle name="Normal 14 2 2" xfId="850" xr:uid="{00000000-0005-0000-0000-00006D040000}"/>
    <cellStyle name="Normal 14 2 3" xfId="1747" xr:uid="{00000000-0005-0000-0000-00006E040000}"/>
    <cellStyle name="Normal 15" xfId="851" xr:uid="{00000000-0005-0000-0000-00006F040000}"/>
    <cellStyle name="Normal 15 2" xfId="852" xr:uid="{00000000-0005-0000-0000-000070040000}"/>
    <cellStyle name="Normal 15 2 2" xfId="1748" xr:uid="{00000000-0005-0000-0000-000071040000}"/>
    <cellStyle name="Normal 15 3" xfId="1283" xr:uid="{00000000-0005-0000-0000-000072040000}"/>
    <cellStyle name="Normal 16" xfId="853" xr:uid="{00000000-0005-0000-0000-000073040000}"/>
    <cellStyle name="Normal 16 2" xfId="854" xr:uid="{00000000-0005-0000-0000-000074040000}"/>
    <cellStyle name="Normal 16 2 2" xfId="1749" xr:uid="{00000000-0005-0000-0000-000075040000}"/>
    <cellStyle name="Normal 16 3" xfId="855" xr:uid="{00000000-0005-0000-0000-000076040000}"/>
    <cellStyle name="Normal 17" xfId="856" xr:uid="{00000000-0005-0000-0000-000077040000}"/>
    <cellStyle name="Normal 17 2" xfId="857" xr:uid="{00000000-0005-0000-0000-000078040000}"/>
    <cellStyle name="Normal 17 2 2" xfId="858" xr:uid="{00000000-0005-0000-0000-000079040000}"/>
    <cellStyle name="Normal 17 3" xfId="859" xr:uid="{00000000-0005-0000-0000-00007A040000}"/>
    <cellStyle name="Normal 17 4" xfId="860" xr:uid="{00000000-0005-0000-0000-00007B040000}"/>
    <cellStyle name="Normal 17_Abst for J.P.nagar" xfId="861" xr:uid="{00000000-0005-0000-0000-00007C040000}"/>
    <cellStyle name="Normal 18" xfId="862" xr:uid="{00000000-0005-0000-0000-00007D040000}"/>
    <cellStyle name="Normal 18 2" xfId="863" xr:uid="{00000000-0005-0000-0000-00007E040000}"/>
    <cellStyle name="Normal 18 2 2" xfId="1750" xr:uid="{00000000-0005-0000-0000-00007F040000}"/>
    <cellStyle name="Normal 18 2 3" xfId="1751" xr:uid="{00000000-0005-0000-0000-000080040000}"/>
    <cellStyle name="Normal 18 3" xfId="864" xr:uid="{00000000-0005-0000-0000-000081040000}"/>
    <cellStyle name="Normal 19" xfId="865" xr:uid="{00000000-0005-0000-0000-000082040000}"/>
    <cellStyle name="Normal 19 2" xfId="866" xr:uid="{00000000-0005-0000-0000-000083040000}"/>
    <cellStyle name="Normal 19 2 2" xfId="1752" xr:uid="{00000000-0005-0000-0000-000084040000}"/>
    <cellStyle name="Normal 19 3" xfId="867" xr:uid="{00000000-0005-0000-0000-000085040000}"/>
    <cellStyle name="Normal 2" xfId="31" xr:uid="{00000000-0005-0000-0000-000086040000}"/>
    <cellStyle name="Normal 2 10" xfId="163" xr:uid="{00000000-0005-0000-0000-000087040000}"/>
    <cellStyle name="Normal 2 10 2" xfId="1284" xr:uid="{00000000-0005-0000-0000-000088040000}"/>
    <cellStyle name="Normal 2 10 3" xfId="1285" xr:uid="{00000000-0005-0000-0000-000089040000}"/>
    <cellStyle name="Normal 2 11" xfId="1286" xr:uid="{00000000-0005-0000-0000-00008A040000}"/>
    <cellStyle name="Normal 2 12" xfId="1287" xr:uid="{00000000-0005-0000-0000-00008B040000}"/>
    <cellStyle name="Normal 2 13" xfId="1288" xr:uid="{00000000-0005-0000-0000-00008C040000}"/>
    <cellStyle name="Normal 2 14" xfId="1289" xr:uid="{00000000-0005-0000-0000-00008D040000}"/>
    <cellStyle name="Normal 2 14 2" xfId="1290" xr:uid="{00000000-0005-0000-0000-00008E040000}"/>
    <cellStyle name="Normal 2 14 3" xfId="1291" xr:uid="{00000000-0005-0000-0000-00008F040000}"/>
    <cellStyle name="Normal 2 15" xfId="1292" xr:uid="{00000000-0005-0000-0000-000090040000}"/>
    <cellStyle name="Normal 2 15 2" xfId="1293" xr:uid="{00000000-0005-0000-0000-000091040000}"/>
    <cellStyle name="Normal 2 15 3" xfId="1294" xr:uid="{00000000-0005-0000-0000-000092040000}"/>
    <cellStyle name="Normal 2 15 4" xfId="1295" xr:uid="{00000000-0005-0000-0000-000093040000}"/>
    <cellStyle name="Normal 2 16" xfId="1296" xr:uid="{00000000-0005-0000-0000-000094040000}"/>
    <cellStyle name="Normal 2 17" xfId="1297" xr:uid="{00000000-0005-0000-0000-000095040000}"/>
    <cellStyle name="Normal 2 18" xfId="1298" xr:uid="{00000000-0005-0000-0000-000096040000}"/>
    <cellStyle name="Normal 2 19" xfId="1299" xr:uid="{00000000-0005-0000-0000-000097040000}"/>
    <cellStyle name="Normal 2 2" xfId="32" xr:uid="{00000000-0005-0000-0000-000098040000}"/>
    <cellStyle name="Normal 2 2 2" xfId="33" xr:uid="{00000000-0005-0000-0000-000099040000}"/>
    <cellStyle name="Normal 2 2 2 2" xfId="868" xr:uid="{00000000-0005-0000-0000-00009A040000}"/>
    <cellStyle name="Normal 2 2 2 2 2" xfId="1300" xr:uid="{00000000-0005-0000-0000-00009B040000}"/>
    <cellStyle name="Normal 2 2 2 2 2 2" xfId="1753" xr:uid="{00000000-0005-0000-0000-00009C040000}"/>
    <cellStyle name="Normal 2 2 2 3" xfId="869" xr:uid="{00000000-0005-0000-0000-00009D040000}"/>
    <cellStyle name="Normal 2 2 2 3 2" xfId="1754" xr:uid="{00000000-0005-0000-0000-00009E040000}"/>
    <cellStyle name="Normal 2 2 2 3 3" xfId="1755" xr:uid="{00000000-0005-0000-0000-00009F040000}"/>
    <cellStyle name="Normal 2 2 2 4" xfId="1301" xr:uid="{00000000-0005-0000-0000-0000A0040000}"/>
    <cellStyle name="Normal 2 2 2 4 2" xfId="1756" xr:uid="{00000000-0005-0000-0000-0000A1040000}"/>
    <cellStyle name="Normal 2 2 2 5" xfId="1757" xr:uid="{00000000-0005-0000-0000-0000A2040000}"/>
    <cellStyle name="Normal 2 2 2_LINE DPR  ANUMARLAPUDI" xfId="1758" xr:uid="{00000000-0005-0000-0000-0000A3040000}"/>
    <cellStyle name="Normal 2 2 3" xfId="80" xr:uid="{00000000-0005-0000-0000-0000A4040000}"/>
    <cellStyle name="Normal 2 2 3 2" xfId="132" xr:uid="{00000000-0005-0000-0000-0000A5040000}"/>
    <cellStyle name="Normal 2 2 4" xfId="81" xr:uid="{00000000-0005-0000-0000-0000A6040000}"/>
    <cellStyle name="Normal 2 2 4 2" xfId="1302" xr:uid="{00000000-0005-0000-0000-0000A7040000}"/>
    <cellStyle name="Normal 2 2 5" xfId="870" xr:uid="{00000000-0005-0000-0000-0000A8040000}"/>
    <cellStyle name="Normal 2 2 5 2" xfId="1759" xr:uid="{00000000-0005-0000-0000-0000A9040000}"/>
    <cellStyle name="Normal 2 2 6" xfId="1760" xr:uid="{00000000-0005-0000-0000-0000AA040000}"/>
    <cellStyle name="Normal 2 2_1" xfId="871" xr:uid="{00000000-0005-0000-0000-0000AB040000}"/>
    <cellStyle name="Normal 2 20" xfId="1303" xr:uid="{00000000-0005-0000-0000-0000AC040000}"/>
    <cellStyle name="Normal 2 3" xfId="34" xr:uid="{00000000-0005-0000-0000-0000AD040000}"/>
    <cellStyle name="Normal 2 3 2" xfId="35" xr:uid="{00000000-0005-0000-0000-0000AE040000}"/>
    <cellStyle name="Normal 2 3 2 2" xfId="133" xr:uid="{00000000-0005-0000-0000-0000AF040000}"/>
    <cellStyle name="Normal 2 3 2 3" xfId="872" xr:uid="{00000000-0005-0000-0000-0000B0040000}"/>
    <cellStyle name="Normal 2 3 2 4" xfId="873" xr:uid="{00000000-0005-0000-0000-0000B1040000}"/>
    <cellStyle name="Normal 2 3 2_Copy of Uploaded Estimate ( Nellore)" xfId="874" xr:uid="{00000000-0005-0000-0000-0000B2040000}"/>
    <cellStyle name="Normal 2 3 3" xfId="72" xr:uid="{00000000-0005-0000-0000-0000B3040000}"/>
    <cellStyle name="Normal 2 3 3 2" xfId="134" xr:uid="{00000000-0005-0000-0000-0000B4040000}"/>
    <cellStyle name="Normal 2 3 3 2 2" xfId="875" xr:uid="{00000000-0005-0000-0000-0000B5040000}"/>
    <cellStyle name="Normal 2 3 3 2 2 2" xfId="1304" xr:uid="{00000000-0005-0000-0000-0000B6040000}"/>
    <cellStyle name="Normal 2 3 3 2 3" xfId="1305" xr:uid="{00000000-0005-0000-0000-0000B7040000}"/>
    <cellStyle name="Normal 2 3 3 2 3 2" xfId="1306" xr:uid="{00000000-0005-0000-0000-0000B8040000}"/>
    <cellStyle name="Normal 2 3 3 2 4" xfId="1307" xr:uid="{00000000-0005-0000-0000-0000B9040000}"/>
    <cellStyle name="Normal 2 3 3 3" xfId="1308" xr:uid="{00000000-0005-0000-0000-0000BA040000}"/>
    <cellStyle name="Normal 2 3 3 3 2" xfId="1309" xr:uid="{00000000-0005-0000-0000-0000BB040000}"/>
    <cellStyle name="Normal 2 3 3 4" xfId="1310" xr:uid="{00000000-0005-0000-0000-0000BC040000}"/>
    <cellStyle name="Normal 2 3 3 4 2" xfId="1311" xr:uid="{00000000-0005-0000-0000-0000BD040000}"/>
    <cellStyle name="Normal 2 3 3 5" xfId="1312" xr:uid="{00000000-0005-0000-0000-0000BE040000}"/>
    <cellStyle name="Normal 2 3 4" xfId="135" xr:uid="{00000000-0005-0000-0000-0000BF040000}"/>
    <cellStyle name="Normal 2 3 4 2" xfId="136" xr:uid="{00000000-0005-0000-0000-0000C0040000}"/>
    <cellStyle name="Normal 2 3 4 2 2" xfId="154" xr:uid="{00000000-0005-0000-0000-0000C1040000}"/>
    <cellStyle name="Normal 2 3 4 2 2 2" xfId="876" xr:uid="{00000000-0005-0000-0000-0000C2040000}"/>
    <cellStyle name="Normal 2 3 4 2 2 2 2" xfId="1313" xr:uid="{00000000-0005-0000-0000-0000C3040000}"/>
    <cellStyle name="Normal 2 3 4 2 2 3" xfId="1314" xr:uid="{00000000-0005-0000-0000-0000C4040000}"/>
    <cellStyle name="Normal 2 3 4 2 2 3 2" xfId="1315" xr:uid="{00000000-0005-0000-0000-0000C5040000}"/>
    <cellStyle name="Normal 2 3 4 2 2 4" xfId="1316" xr:uid="{00000000-0005-0000-0000-0000C6040000}"/>
    <cellStyle name="Normal 2 3 4 2 3" xfId="1317" xr:uid="{00000000-0005-0000-0000-0000C7040000}"/>
    <cellStyle name="Normal 2 3 4 2 3 2" xfId="1318" xr:uid="{00000000-0005-0000-0000-0000C8040000}"/>
    <cellStyle name="Normal 2 3 4 2 4" xfId="1319" xr:uid="{00000000-0005-0000-0000-0000C9040000}"/>
    <cellStyle name="Normal 2 3 4 2 4 2" xfId="1320" xr:uid="{00000000-0005-0000-0000-0000CA040000}"/>
    <cellStyle name="Normal 2 3 4 2 5" xfId="1321" xr:uid="{00000000-0005-0000-0000-0000CB040000}"/>
    <cellStyle name="Normal 2 3 4 3" xfId="1322" xr:uid="{00000000-0005-0000-0000-0000CC040000}"/>
    <cellStyle name="Normal 2 3 4 3 2" xfId="1323" xr:uid="{00000000-0005-0000-0000-0000CD040000}"/>
    <cellStyle name="Normal 2 3 4 3 3" xfId="1324" xr:uid="{00000000-0005-0000-0000-0000CE040000}"/>
    <cellStyle name="Normal 2 3 4 4" xfId="1325" xr:uid="{00000000-0005-0000-0000-0000CF040000}"/>
    <cellStyle name="Normal 2 3 4 4 2" xfId="1326" xr:uid="{00000000-0005-0000-0000-0000D0040000}"/>
    <cellStyle name="Normal 2 3 4 5" xfId="1327" xr:uid="{00000000-0005-0000-0000-0000D1040000}"/>
    <cellStyle name="Normal 2 3 5" xfId="877" xr:uid="{00000000-0005-0000-0000-0000D2040000}"/>
    <cellStyle name="Normal 2 3 5 2" xfId="1328" xr:uid="{00000000-0005-0000-0000-0000D3040000}"/>
    <cellStyle name="Normal 2 3 6" xfId="878" xr:uid="{00000000-0005-0000-0000-0000D4040000}"/>
    <cellStyle name="Normal 2 3 6 2" xfId="1329" xr:uid="{00000000-0005-0000-0000-0000D5040000}"/>
    <cellStyle name="Normal 2 3 7" xfId="879" xr:uid="{00000000-0005-0000-0000-0000D6040000}"/>
    <cellStyle name="Normal 2 3 8" xfId="880" xr:uid="{00000000-0005-0000-0000-0000D7040000}"/>
    <cellStyle name="Normal 2 3_B.K. palem sac" xfId="1761" xr:uid="{00000000-0005-0000-0000-0000D8040000}"/>
    <cellStyle name="Normal 2 4" xfId="36" xr:uid="{00000000-0005-0000-0000-0000D9040000}"/>
    <cellStyle name="Normal 2 4 2" xfId="137" xr:uid="{00000000-0005-0000-0000-0000DA040000}"/>
    <cellStyle name="Normal 2 4 2 2" xfId="881" xr:uid="{00000000-0005-0000-0000-0000DB040000}"/>
    <cellStyle name="Normal 2 4 2 3" xfId="1330" xr:uid="{00000000-0005-0000-0000-0000DC040000}"/>
    <cellStyle name="Normal 2 4 2 4" xfId="1331" xr:uid="{00000000-0005-0000-0000-0000DD040000}"/>
    <cellStyle name="Normal 2 4 2 5" xfId="1332" xr:uid="{00000000-0005-0000-0000-0000DE040000}"/>
    <cellStyle name="Normal 2 4 3" xfId="882" xr:uid="{00000000-0005-0000-0000-0000DF040000}"/>
    <cellStyle name="Normal 2 4 3 2" xfId="1762" xr:uid="{00000000-0005-0000-0000-0000E0040000}"/>
    <cellStyle name="Normal 2 4 4" xfId="883" xr:uid="{00000000-0005-0000-0000-0000E1040000}"/>
    <cellStyle name="Normal 2 4 5" xfId="1333" xr:uid="{00000000-0005-0000-0000-0000E2040000}"/>
    <cellStyle name="Normal 2 4 6" xfId="1334" xr:uid="{00000000-0005-0000-0000-0000E3040000}"/>
    <cellStyle name="Normal 2 4 7" xfId="1763" xr:uid="{00000000-0005-0000-0000-0000E4040000}"/>
    <cellStyle name="Normal 2 4_VV Palem  to  Malapadu  Gujjarlla vagu" xfId="1764" xr:uid="{00000000-0005-0000-0000-0000E5040000}"/>
    <cellStyle name="Normal 2 5" xfId="71" xr:uid="{00000000-0005-0000-0000-0000E6040000}"/>
    <cellStyle name="Normal 2 5 2" xfId="138" xr:uid="{00000000-0005-0000-0000-0000E7040000}"/>
    <cellStyle name="Normal 2 5 3" xfId="1335" xr:uid="{00000000-0005-0000-0000-0000E8040000}"/>
    <cellStyle name="Normal 2 5 4" xfId="1336" xr:uid="{00000000-0005-0000-0000-0000E9040000}"/>
    <cellStyle name="Normal 2 5 5" xfId="1239" xr:uid="{00000000-0005-0000-0000-0000EA040000}"/>
    <cellStyle name="Normal 2 6" xfId="82" xr:uid="{00000000-0005-0000-0000-0000EB040000}"/>
    <cellStyle name="Normal 2 6 2" xfId="1337" xr:uid="{00000000-0005-0000-0000-0000EC040000}"/>
    <cellStyle name="Normal 2 6 2 2" xfId="1765" xr:uid="{00000000-0005-0000-0000-0000ED040000}"/>
    <cellStyle name="Normal 2 6 3" xfId="1338" xr:uid="{00000000-0005-0000-0000-0000EE040000}"/>
    <cellStyle name="Normal 2 6 4" xfId="1339" xr:uid="{00000000-0005-0000-0000-0000EF040000}"/>
    <cellStyle name="Normal 2 6 5" xfId="1766" xr:uid="{00000000-0005-0000-0000-0000F0040000}"/>
    <cellStyle name="Normal 2 7" xfId="139" xr:uid="{00000000-0005-0000-0000-0000F1040000}"/>
    <cellStyle name="Normal 2 8" xfId="884" xr:uid="{00000000-0005-0000-0000-0000F2040000}"/>
    <cellStyle name="Normal 2 9" xfId="885" xr:uid="{00000000-0005-0000-0000-0000F3040000}"/>
    <cellStyle name="Normal 2_ ZPHS (G) at Enkoor (V&amp;M) 22.08 L" xfId="886" xr:uid="{00000000-0005-0000-0000-0000F4040000}"/>
    <cellStyle name="Normal 20" xfId="887" xr:uid="{00000000-0005-0000-0000-0000F5040000}"/>
    <cellStyle name="Normal 20 2" xfId="888" xr:uid="{00000000-0005-0000-0000-0000F6040000}"/>
    <cellStyle name="Normal 20 2 2" xfId="1767" xr:uid="{00000000-0005-0000-0000-0000F7040000}"/>
    <cellStyle name="Normal 20 3" xfId="1340" xr:uid="{00000000-0005-0000-0000-0000F8040000}"/>
    <cellStyle name="Normal 20 4" xfId="1768" xr:uid="{00000000-0005-0000-0000-0000F9040000}"/>
    <cellStyle name="Normal 21" xfId="889" xr:uid="{00000000-0005-0000-0000-0000FA040000}"/>
    <cellStyle name="Normal 21 2" xfId="890" xr:uid="{00000000-0005-0000-0000-0000FB040000}"/>
    <cellStyle name="Normal 21 2 2" xfId="1769" xr:uid="{00000000-0005-0000-0000-0000FC040000}"/>
    <cellStyle name="Normal 21 3" xfId="891" xr:uid="{00000000-0005-0000-0000-0000FD040000}"/>
    <cellStyle name="Normal 21 4" xfId="892" xr:uid="{00000000-0005-0000-0000-0000FE040000}"/>
    <cellStyle name="Normal 21 4 2" xfId="893" xr:uid="{00000000-0005-0000-0000-0000FF040000}"/>
    <cellStyle name="Normal 21 4 2 2" xfId="894" xr:uid="{00000000-0005-0000-0000-000000050000}"/>
    <cellStyle name="Normal 21 4 3" xfId="895" xr:uid="{00000000-0005-0000-0000-000001050000}"/>
    <cellStyle name="Normal 21 5" xfId="896" xr:uid="{00000000-0005-0000-0000-000002050000}"/>
    <cellStyle name="Normal 21 6" xfId="897" xr:uid="{00000000-0005-0000-0000-000003050000}"/>
    <cellStyle name="Normal 21 6 2" xfId="898" xr:uid="{00000000-0005-0000-0000-000004050000}"/>
    <cellStyle name="Normal 22" xfId="899" xr:uid="{00000000-0005-0000-0000-000005050000}"/>
    <cellStyle name="Normal 22 2" xfId="1341" xr:uid="{00000000-0005-0000-0000-000006050000}"/>
    <cellStyle name="Normal 22 2 2" xfId="1770" xr:uid="{00000000-0005-0000-0000-000007050000}"/>
    <cellStyle name="Normal 22 3" xfId="1771" xr:uid="{00000000-0005-0000-0000-000008050000}"/>
    <cellStyle name="Normal 23" xfId="900" xr:uid="{00000000-0005-0000-0000-000009050000}"/>
    <cellStyle name="Normal 23 2" xfId="901" xr:uid="{00000000-0005-0000-0000-00000A050000}"/>
    <cellStyle name="Normal 23 3" xfId="1342" xr:uid="{00000000-0005-0000-0000-00000B050000}"/>
    <cellStyle name="Normal 24" xfId="902" xr:uid="{00000000-0005-0000-0000-00000C050000}"/>
    <cellStyle name="Normal 24 2" xfId="1772" xr:uid="{00000000-0005-0000-0000-00000D050000}"/>
    <cellStyle name="Normal 24 3" xfId="1773" xr:uid="{00000000-0005-0000-0000-00000E050000}"/>
    <cellStyle name="Normal 25" xfId="903" xr:uid="{00000000-0005-0000-0000-00000F050000}"/>
    <cellStyle name="Normal 25 2" xfId="904" xr:uid="{00000000-0005-0000-0000-000010050000}"/>
    <cellStyle name="Normal 25 2 2" xfId="905" xr:uid="{00000000-0005-0000-0000-000011050000}"/>
    <cellStyle name="Normal 25 2 2 2" xfId="906" xr:uid="{00000000-0005-0000-0000-000012050000}"/>
    <cellStyle name="Normal 25 2 3" xfId="907" xr:uid="{00000000-0005-0000-0000-000013050000}"/>
    <cellStyle name="Normal 25 3" xfId="908" xr:uid="{00000000-0005-0000-0000-000014050000}"/>
    <cellStyle name="Normal 25 3 2" xfId="909" xr:uid="{00000000-0005-0000-0000-000015050000}"/>
    <cellStyle name="Normal 26" xfId="910" xr:uid="{00000000-0005-0000-0000-000016050000}"/>
    <cellStyle name="Normal 26 2" xfId="911" xr:uid="{00000000-0005-0000-0000-000017050000}"/>
    <cellStyle name="Normal 26 2 2" xfId="912" xr:uid="{00000000-0005-0000-0000-000018050000}"/>
    <cellStyle name="Normal 26 2 2 2" xfId="913" xr:uid="{00000000-0005-0000-0000-000019050000}"/>
    <cellStyle name="Normal 26 2 3" xfId="914" xr:uid="{00000000-0005-0000-0000-00001A050000}"/>
    <cellStyle name="Normal 26 3" xfId="915" xr:uid="{00000000-0005-0000-0000-00001B050000}"/>
    <cellStyle name="Normal 26 3 2" xfId="916" xr:uid="{00000000-0005-0000-0000-00001C050000}"/>
    <cellStyle name="Normal 27" xfId="917" xr:uid="{00000000-0005-0000-0000-00001D050000}"/>
    <cellStyle name="Normal 27 2" xfId="918" xr:uid="{00000000-0005-0000-0000-00001E050000}"/>
    <cellStyle name="Normal 27 2 2" xfId="919" xr:uid="{00000000-0005-0000-0000-00001F050000}"/>
    <cellStyle name="Normal 27 2 2 2" xfId="920" xr:uid="{00000000-0005-0000-0000-000020050000}"/>
    <cellStyle name="Normal 27 2 3" xfId="921" xr:uid="{00000000-0005-0000-0000-000021050000}"/>
    <cellStyle name="Normal 27 3" xfId="922" xr:uid="{00000000-0005-0000-0000-000022050000}"/>
    <cellStyle name="Normal 27 3 2" xfId="923" xr:uid="{00000000-0005-0000-0000-000023050000}"/>
    <cellStyle name="Normal 28" xfId="924" xr:uid="{00000000-0005-0000-0000-000024050000}"/>
    <cellStyle name="Normal 28 2" xfId="925" xr:uid="{00000000-0005-0000-0000-000025050000}"/>
    <cellStyle name="Normal 28 2 2" xfId="926" xr:uid="{00000000-0005-0000-0000-000026050000}"/>
    <cellStyle name="Normal 28 2 2 2" xfId="927" xr:uid="{00000000-0005-0000-0000-000027050000}"/>
    <cellStyle name="Normal 28 2 3" xfId="928" xr:uid="{00000000-0005-0000-0000-000028050000}"/>
    <cellStyle name="Normal 28 3" xfId="929" xr:uid="{00000000-0005-0000-0000-000029050000}"/>
    <cellStyle name="Normal 28 3 2" xfId="930" xr:uid="{00000000-0005-0000-0000-00002A050000}"/>
    <cellStyle name="Normal 29" xfId="931" xr:uid="{00000000-0005-0000-0000-00002B050000}"/>
    <cellStyle name="Normal 29 2" xfId="932" xr:uid="{00000000-0005-0000-0000-00002C050000}"/>
    <cellStyle name="Normal 29 2 2" xfId="933" xr:uid="{00000000-0005-0000-0000-00002D050000}"/>
    <cellStyle name="Normal 29 2 2 2" xfId="934" xr:uid="{00000000-0005-0000-0000-00002E050000}"/>
    <cellStyle name="Normal 29 2 3" xfId="935" xr:uid="{00000000-0005-0000-0000-00002F050000}"/>
    <cellStyle name="Normal 29 3" xfId="936" xr:uid="{00000000-0005-0000-0000-000030050000}"/>
    <cellStyle name="Normal 29 3 2" xfId="937" xr:uid="{00000000-0005-0000-0000-000031050000}"/>
    <cellStyle name="Normal 29 4" xfId="938" xr:uid="{00000000-0005-0000-0000-000032050000}"/>
    <cellStyle name="Normal 29 5" xfId="939" xr:uid="{00000000-0005-0000-0000-000033050000}"/>
    <cellStyle name="Normal 29 6" xfId="940" xr:uid="{00000000-0005-0000-0000-000034050000}"/>
    <cellStyle name="Normal 3" xfId="37" xr:uid="{00000000-0005-0000-0000-000035050000}"/>
    <cellStyle name="Normal 3 10" xfId="941" xr:uid="{00000000-0005-0000-0000-000036050000}"/>
    <cellStyle name="Normal 3 10 2" xfId="942" xr:uid="{00000000-0005-0000-0000-000037050000}"/>
    <cellStyle name="Normal 3 10 3" xfId="943" xr:uid="{00000000-0005-0000-0000-000038050000}"/>
    <cellStyle name="Normal 3 11" xfId="944" xr:uid="{00000000-0005-0000-0000-000039050000}"/>
    <cellStyle name="Normal 3 12" xfId="945" xr:uid="{00000000-0005-0000-0000-00003A050000}"/>
    <cellStyle name="Normal 3 13" xfId="946" xr:uid="{00000000-0005-0000-0000-00003B050000}"/>
    <cellStyle name="Normal 3 14" xfId="947" xr:uid="{00000000-0005-0000-0000-00003C050000}"/>
    <cellStyle name="Normal 3 15" xfId="948" xr:uid="{00000000-0005-0000-0000-00003D050000}"/>
    <cellStyle name="Normal 3 16" xfId="949" xr:uid="{00000000-0005-0000-0000-00003E050000}"/>
    <cellStyle name="Normal 3 2" xfId="38" xr:uid="{00000000-0005-0000-0000-00003F050000}"/>
    <cellStyle name="Normal 3 2 2" xfId="39" xr:uid="{00000000-0005-0000-0000-000040050000}"/>
    <cellStyle name="Normal 3 2 2 2" xfId="158" xr:uid="{00000000-0005-0000-0000-000041050000}"/>
    <cellStyle name="Normal 3 2 2 2 2" xfId="950" xr:uid="{00000000-0005-0000-0000-000042050000}"/>
    <cellStyle name="Normal 3 2 2 3" xfId="951" xr:uid="{00000000-0005-0000-0000-000043050000}"/>
    <cellStyle name="Normal 3 2 3" xfId="69" xr:uid="{00000000-0005-0000-0000-000044050000}"/>
    <cellStyle name="Normal 3 2 3 2" xfId="140" xr:uid="{00000000-0005-0000-0000-000045050000}"/>
    <cellStyle name="Normal 3 2 3 3" xfId="1240" xr:uid="{00000000-0005-0000-0000-000046050000}"/>
    <cellStyle name="Normal 3 2 4" xfId="141" xr:uid="{00000000-0005-0000-0000-000047050000}"/>
    <cellStyle name="Normal 3 2 5" xfId="1774" xr:uid="{00000000-0005-0000-0000-000048050000}"/>
    <cellStyle name="Normal 3 2_(GF) Reading Room Over Existing Building at Govt Jr. College  05.11.2013" xfId="952" xr:uid="{00000000-0005-0000-0000-000049050000}"/>
    <cellStyle name="Normal 3 3" xfId="40" xr:uid="{00000000-0005-0000-0000-00004A050000}"/>
    <cellStyle name="Normal 3 3 2" xfId="142" xr:uid="{00000000-0005-0000-0000-00004B050000}"/>
    <cellStyle name="Normal 3 3 2 2" xfId="143" xr:uid="{00000000-0005-0000-0000-00004C050000}"/>
    <cellStyle name="Normal 3 3 2 2 2" xfId="1775" xr:uid="{00000000-0005-0000-0000-00004D050000}"/>
    <cellStyle name="Normal 3 3 2 3" xfId="1343" xr:uid="{00000000-0005-0000-0000-00004E050000}"/>
    <cellStyle name="Normal 3 3 2 4" xfId="1344" xr:uid="{00000000-0005-0000-0000-00004F050000}"/>
    <cellStyle name="Normal 3 3 2 5" xfId="1776" xr:uid="{00000000-0005-0000-0000-000050050000}"/>
    <cellStyle name="Normal 3 3 2_KGVB-Mulugu-Wgl" xfId="144" xr:uid="{00000000-0005-0000-0000-000051050000}"/>
    <cellStyle name="Normal 3 3 3" xfId="1345" xr:uid="{00000000-0005-0000-0000-000052050000}"/>
    <cellStyle name="Normal 3 3 4" xfId="1346" xr:uid="{00000000-0005-0000-0000-000053050000}"/>
    <cellStyle name="Normal 3 3 5" xfId="1347" xr:uid="{00000000-0005-0000-0000-000054050000}"/>
    <cellStyle name="Normal 3 3 6" xfId="1777" xr:uid="{00000000-0005-0000-0000-000055050000}"/>
    <cellStyle name="Normal 3 3_3 ACRs in GF - G+1 floor-2010-11" xfId="953" xr:uid="{00000000-0005-0000-0000-000056050000}"/>
    <cellStyle name="Normal 3 33" xfId="954" xr:uid="{00000000-0005-0000-0000-000057050000}"/>
    <cellStyle name="Normal 3 4" xfId="955" xr:uid="{00000000-0005-0000-0000-000058050000}"/>
    <cellStyle name="Normal 3 4 2" xfId="956" xr:uid="{00000000-0005-0000-0000-000059050000}"/>
    <cellStyle name="Normal 3 4 3" xfId="1348" xr:uid="{00000000-0005-0000-0000-00005A050000}"/>
    <cellStyle name="Normal 3 4 4" xfId="1349" xr:uid="{00000000-0005-0000-0000-00005B050000}"/>
    <cellStyle name="Normal 3 5" xfId="957" xr:uid="{00000000-0005-0000-0000-00005C050000}"/>
    <cellStyle name="Normal 3 5 2" xfId="958" xr:uid="{00000000-0005-0000-0000-00005D050000}"/>
    <cellStyle name="Normal 3 5 3" xfId="959" xr:uid="{00000000-0005-0000-0000-00005E050000}"/>
    <cellStyle name="Normal 3 5 4" xfId="960" xr:uid="{00000000-0005-0000-0000-00005F050000}"/>
    <cellStyle name="Normal 3 6" xfId="961" xr:uid="{00000000-0005-0000-0000-000060050000}"/>
    <cellStyle name="Normal 3 6 2" xfId="962" xr:uid="{00000000-0005-0000-0000-000061050000}"/>
    <cellStyle name="Normal 3 6 3" xfId="1350" xr:uid="{00000000-0005-0000-0000-000062050000}"/>
    <cellStyle name="Normal 3 6 4" xfId="1351" xr:uid="{00000000-0005-0000-0000-000063050000}"/>
    <cellStyle name="Normal 3 7" xfId="963" xr:uid="{00000000-0005-0000-0000-000064050000}"/>
    <cellStyle name="Normal 3 7 2" xfId="964" xr:uid="{00000000-0005-0000-0000-000065050000}"/>
    <cellStyle name="Normal 3 7 3" xfId="965" xr:uid="{00000000-0005-0000-0000-000066050000}"/>
    <cellStyle name="Normal 3 7_Girls Hostel attached to Model School at Munipally WDE (Final) Modified (05.09.2014)" xfId="966" xr:uid="{00000000-0005-0000-0000-000067050000}"/>
    <cellStyle name="Normal 3 8" xfId="967" xr:uid="{00000000-0005-0000-0000-000068050000}"/>
    <cellStyle name="Normal 3 8 2" xfId="968" xr:uid="{00000000-0005-0000-0000-000069050000}"/>
    <cellStyle name="Normal 3 9" xfId="969" xr:uid="{00000000-0005-0000-0000-00006A050000}"/>
    <cellStyle name="Normal 3 9 2" xfId="970" xr:uid="{00000000-0005-0000-0000-00006B050000}"/>
    <cellStyle name="Normal 3 9 3" xfId="971" xr:uid="{00000000-0005-0000-0000-00006C050000}"/>
    <cellStyle name="Normal 3 9 4" xfId="972" xr:uid="{00000000-0005-0000-0000-00006D050000}"/>
    <cellStyle name="Normal 3_1_Pattapupalem_road estt-NCRMP" xfId="973" xr:uid="{00000000-0005-0000-0000-00006E050000}"/>
    <cellStyle name="Normal 30" xfId="974" xr:uid="{00000000-0005-0000-0000-00006F050000}"/>
    <cellStyle name="Normal 30 2" xfId="975" xr:uid="{00000000-0005-0000-0000-000070050000}"/>
    <cellStyle name="Normal 30 2 2" xfId="976" xr:uid="{00000000-0005-0000-0000-000071050000}"/>
    <cellStyle name="Normal 30 2 2 2" xfId="977" xr:uid="{00000000-0005-0000-0000-000072050000}"/>
    <cellStyle name="Normal 30 2 3" xfId="978" xr:uid="{00000000-0005-0000-0000-000073050000}"/>
    <cellStyle name="Normal 30 3" xfId="979" xr:uid="{00000000-0005-0000-0000-000074050000}"/>
    <cellStyle name="Normal 30 3 2" xfId="980" xr:uid="{00000000-0005-0000-0000-000075050000}"/>
    <cellStyle name="Normal 30 4" xfId="1416" xr:uid="{00000000-0005-0000-0000-000076050000}"/>
    <cellStyle name="Normal 31" xfId="981" xr:uid="{00000000-0005-0000-0000-000077050000}"/>
    <cellStyle name="Normal 31 2" xfId="982" xr:uid="{00000000-0005-0000-0000-000078050000}"/>
    <cellStyle name="Normal 31 2 2" xfId="983" xr:uid="{00000000-0005-0000-0000-000079050000}"/>
    <cellStyle name="Normal 31 2 2 2" xfId="984" xr:uid="{00000000-0005-0000-0000-00007A050000}"/>
    <cellStyle name="Normal 31 2 3" xfId="985" xr:uid="{00000000-0005-0000-0000-00007B050000}"/>
    <cellStyle name="Normal 31 3" xfId="986" xr:uid="{00000000-0005-0000-0000-00007C050000}"/>
    <cellStyle name="Normal 31 3 2" xfId="987" xr:uid="{00000000-0005-0000-0000-00007D050000}"/>
    <cellStyle name="Normal 32" xfId="988" xr:uid="{00000000-0005-0000-0000-00007E050000}"/>
    <cellStyle name="Normal 32 2" xfId="989" xr:uid="{00000000-0005-0000-0000-00007F050000}"/>
    <cellStyle name="Normal 32 2 2" xfId="990" xr:uid="{00000000-0005-0000-0000-000080050000}"/>
    <cellStyle name="Normal 32 2 2 2" xfId="991" xr:uid="{00000000-0005-0000-0000-000081050000}"/>
    <cellStyle name="Normal 32 2 3" xfId="992" xr:uid="{00000000-0005-0000-0000-000082050000}"/>
    <cellStyle name="Normal 32 3" xfId="993" xr:uid="{00000000-0005-0000-0000-000083050000}"/>
    <cellStyle name="Normal 32 3 2" xfId="994" xr:uid="{00000000-0005-0000-0000-000084050000}"/>
    <cellStyle name="Normal 33" xfId="995" xr:uid="{00000000-0005-0000-0000-000085050000}"/>
    <cellStyle name="Normal 33 2" xfId="996" xr:uid="{00000000-0005-0000-0000-000086050000}"/>
    <cellStyle name="Normal 33 2 2" xfId="997" xr:uid="{00000000-0005-0000-0000-000087050000}"/>
    <cellStyle name="Normal 33 2 2 2" xfId="998" xr:uid="{00000000-0005-0000-0000-000088050000}"/>
    <cellStyle name="Normal 33 2 3" xfId="999" xr:uid="{00000000-0005-0000-0000-000089050000}"/>
    <cellStyle name="Normal 33 3" xfId="1000" xr:uid="{00000000-0005-0000-0000-00008A050000}"/>
    <cellStyle name="Normal 33 3 2" xfId="1001" xr:uid="{00000000-0005-0000-0000-00008B050000}"/>
    <cellStyle name="Normal 34" xfId="1002" xr:uid="{00000000-0005-0000-0000-00008C050000}"/>
    <cellStyle name="Normal 34 2" xfId="1003" xr:uid="{00000000-0005-0000-0000-00008D050000}"/>
    <cellStyle name="Normal 34 3" xfId="1004" xr:uid="{00000000-0005-0000-0000-00008E050000}"/>
    <cellStyle name="Normal 35" xfId="1005" xr:uid="{00000000-0005-0000-0000-00008F050000}"/>
    <cellStyle name="Normal 36" xfId="1006" xr:uid="{00000000-0005-0000-0000-000090050000}"/>
    <cellStyle name="Normal 37" xfId="1007" xr:uid="{00000000-0005-0000-0000-000091050000}"/>
    <cellStyle name="Normal 38" xfId="1008" xr:uid="{00000000-0005-0000-0000-000092050000}"/>
    <cellStyle name="Normal 39" xfId="1009" xr:uid="{00000000-0005-0000-0000-000093050000}"/>
    <cellStyle name="Normal 4" xfId="41" xr:uid="{00000000-0005-0000-0000-000094050000}"/>
    <cellStyle name="Normal 4 10" xfId="1010" xr:uid="{00000000-0005-0000-0000-000095050000}"/>
    <cellStyle name="Normal 4 10 2" xfId="1778" xr:uid="{00000000-0005-0000-0000-000096050000}"/>
    <cellStyle name="Normal 4 11" xfId="1011" xr:uid="{00000000-0005-0000-0000-000097050000}"/>
    <cellStyle name="Normal 4 11 2" xfId="1779" xr:uid="{00000000-0005-0000-0000-000098050000}"/>
    <cellStyle name="Normal 4 12" xfId="1352" xr:uid="{00000000-0005-0000-0000-000099050000}"/>
    <cellStyle name="Normal 4 12 2" xfId="1780" xr:uid="{00000000-0005-0000-0000-00009A050000}"/>
    <cellStyle name="Normal 4 13" xfId="1781" xr:uid="{00000000-0005-0000-0000-00009B050000}"/>
    <cellStyle name="Normal 4 14" xfId="1782" xr:uid="{00000000-0005-0000-0000-00009C050000}"/>
    <cellStyle name="Normal 4 2" xfId="42" xr:uid="{00000000-0005-0000-0000-00009D050000}"/>
    <cellStyle name="Normal 4 2 2" xfId="83" xr:uid="{00000000-0005-0000-0000-00009E050000}"/>
    <cellStyle name="Normal 4 2 2 2" xfId="1012" xr:uid="{00000000-0005-0000-0000-00009F050000}"/>
    <cellStyle name="Normal 4 2 3" xfId="1013" xr:uid="{00000000-0005-0000-0000-0000A0050000}"/>
    <cellStyle name="Normal 4 2 4" xfId="1014" xr:uid="{00000000-0005-0000-0000-0000A1050000}"/>
    <cellStyle name="Normal 4 2 5" xfId="1353" xr:uid="{00000000-0005-0000-0000-0000A2050000}"/>
    <cellStyle name="Normal 4 2 6" xfId="1354" xr:uid="{00000000-0005-0000-0000-0000A3050000}"/>
    <cellStyle name="Normal 4 2 7" xfId="1238" xr:uid="{00000000-0005-0000-0000-0000A4050000}"/>
    <cellStyle name="Normal 4 2_Estimate" xfId="1355" xr:uid="{00000000-0005-0000-0000-0000A5050000}"/>
    <cellStyle name="Normal 4 3" xfId="1015" xr:uid="{00000000-0005-0000-0000-0000A6050000}"/>
    <cellStyle name="Normal 4 3 2" xfId="1016" xr:uid="{00000000-0005-0000-0000-0000A7050000}"/>
    <cellStyle name="Normal 4 3 3" xfId="1783" xr:uid="{00000000-0005-0000-0000-0000A8050000}"/>
    <cellStyle name="Normal 4 4" xfId="1017" xr:uid="{00000000-0005-0000-0000-0000A9050000}"/>
    <cellStyle name="Normal 4 4 2" xfId="1018" xr:uid="{00000000-0005-0000-0000-0000AA050000}"/>
    <cellStyle name="Normal 4 5" xfId="1019" xr:uid="{00000000-0005-0000-0000-0000AB050000}"/>
    <cellStyle name="Normal 4 5 2" xfId="1234" xr:uid="{00000000-0005-0000-0000-0000AC050000}"/>
    <cellStyle name="Normal 4 6" xfId="1020" xr:uid="{00000000-0005-0000-0000-0000AD050000}"/>
    <cellStyle name="Normal 4 6 2" xfId="1784" xr:uid="{00000000-0005-0000-0000-0000AE050000}"/>
    <cellStyle name="Normal 4 7" xfId="1021" xr:uid="{00000000-0005-0000-0000-0000AF050000}"/>
    <cellStyle name="Normal 4 7 2" xfId="1785" xr:uid="{00000000-0005-0000-0000-0000B0050000}"/>
    <cellStyle name="Normal 4 8" xfId="1022" xr:uid="{00000000-0005-0000-0000-0000B1050000}"/>
    <cellStyle name="Normal 4 8 2" xfId="1786" xr:uid="{00000000-0005-0000-0000-0000B2050000}"/>
    <cellStyle name="Normal 4 8 3" xfId="1787" xr:uid="{00000000-0005-0000-0000-0000B3050000}"/>
    <cellStyle name="Normal 4 9" xfId="1023" xr:uid="{00000000-0005-0000-0000-0000B4050000}"/>
    <cellStyle name="Normal 4 9 2" xfId="1788" xr:uid="{00000000-0005-0000-0000-0000B5050000}"/>
    <cellStyle name="Normal 4_1. Infilteration Well " xfId="1024" xr:uid="{00000000-0005-0000-0000-0000B6050000}"/>
    <cellStyle name="Normal 40" xfId="1025" xr:uid="{00000000-0005-0000-0000-0000B7050000}"/>
    <cellStyle name="Normal 41" xfId="1026" xr:uid="{00000000-0005-0000-0000-0000B8050000}"/>
    <cellStyle name="Normal 42" xfId="1027" xr:uid="{00000000-0005-0000-0000-0000B9050000}"/>
    <cellStyle name="Normal 42 2" xfId="1356" xr:uid="{00000000-0005-0000-0000-0000BA050000}"/>
    <cellStyle name="Normal 43" xfId="1028" xr:uid="{00000000-0005-0000-0000-0000BB050000}"/>
    <cellStyle name="Normal 44" xfId="1029" xr:uid="{00000000-0005-0000-0000-0000BC050000}"/>
    <cellStyle name="Normal 45" xfId="1030" xr:uid="{00000000-0005-0000-0000-0000BD050000}"/>
    <cellStyle name="Normal 46" xfId="1031" xr:uid="{00000000-0005-0000-0000-0000BE050000}"/>
    <cellStyle name="Normal 47" xfId="1032" xr:uid="{00000000-0005-0000-0000-0000BF050000}"/>
    <cellStyle name="Normal 48" xfId="1033" xr:uid="{00000000-0005-0000-0000-0000C0050000}"/>
    <cellStyle name="Normal 49" xfId="1034" xr:uid="{00000000-0005-0000-0000-0000C1050000}"/>
    <cellStyle name="Normal 5" xfId="43" xr:uid="{00000000-0005-0000-0000-0000C2050000}"/>
    <cellStyle name="Normal 5 2" xfId="44" xr:uid="{00000000-0005-0000-0000-0000C3050000}"/>
    <cellStyle name="Normal 5 2 2" xfId="1035" xr:uid="{00000000-0005-0000-0000-0000C4050000}"/>
    <cellStyle name="Normal 5 2 2 2" xfId="1357" xr:uid="{00000000-0005-0000-0000-0000C5050000}"/>
    <cellStyle name="Normal 5 2 2 3" xfId="1789" xr:uid="{00000000-0005-0000-0000-0000C6050000}"/>
    <cellStyle name="Normal 5 2 3" xfId="1358" xr:uid="{00000000-0005-0000-0000-0000C7050000}"/>
    <cellStyle name="Normal 5 2 3 2" xfId="1359" xr:uid="{00000000-0005-0000-0000-0000C8050000}"/>
    <cellStyle name="Normal 5 2 4" xfId="1360" xr:uid="{00000000-0005-0000-0000-0000C9050000}"/>
    <cellStyle name="Normal 5 2_LINE DPR  ANUMARLAPUDI" xfId="1790" xr:uid="{00000000-0005-0000-0000-0000CA050000}"/>
    <cellStyle name="Normal 5 3" xfId="45" xr:uid="{00000000-0005-0000-0000-0000CB050000}"/>
    <cellStyle name="Normal 5 3 2" xfId="1036" xr:uid="{00000000-0005-0000-0000-0000CC050000}"/>
    <cellStyle name="Normal 5 3 3" xfId="1037" xr:uid="{00000000-0005-0000-0000-0000CD050000}"/>
    <cellStyle name="Normal 5 3 3 2" xfId="1038" xr:uid="{00000000-0005-0000-0000-0000CE050000}"/>
    <cellStyle name="Normal 5 3 4" xfId="1039" xr:uid="{00000000-0005-0000-0000-0000CF050000}"/>
    <cellStyle name="Normal 5 3_Girls Hostel at Ibrahimnagar SSR 2014-15 _Full(1)" xfId="1040" xr:uid="{00000000-0005-0000-0000-0000D0050000}"/>
    <cellStyle name="Normal 5 4" xfId="46" xr:uid="{00000000-0005-0000-0000-0000D1050000}"/>
    <cellStyle name="Normal 5 4 2" xfId="47" xr:uid="{00000000-0005-0000-0000-0000D2050000}"/>
    <cellStyle name="Normal 5 4 2 2" xfId="1041" xr:uid="{00000000-0005-0000-0000-0000D3050000}"/>
    <cellStyle name="Normal 5 4 3" xfId="1042" xr:uid="{00000000-0005-0000-0000-0000D4050000}"/>
    <cellStyle name="Normal 5 4 4" xfId="1361" xr:uid="{00000000-0005-0000-0000-0000D5050000}"/>
    <cellStyle name="Normal 5 4 5" xfId="1362" xr:uid="{00000000-0005-0000-0000-0000D6050000}"/>
    <cellStyle name="Normal 5 5" xfId="48" xr:uid="{00000000-0005-0000-0000-0000D7050000}"/>
    <cellStyle name="Normal 5 5 2" xfId="1043" xr:uid="{00000000-0005-0000-0000-0000D8050000}"/>
    <cellStyle name="Normal 5 5 3" xfId="1363" xr:uid="{00000000-0005-0000-0000-0000D9050000}"/>
    <cellStyle name="Normal 5 5 4" xfId="1364" xr:uid="{00000000-0005-0000-0000-0000DA050000}"/>
    <cellStyle name="Normal 5 6" xfId="1044" xr:uid="{00000000-0005-0000-0000-0000DB050000}"/>
    <cellStyle name="Normal 5 6 2" xfId="1365" xr:uid="{00000000-0005-0000-0000-0000DC050000}"/>
    <cellStyle name="Normal 5 7" xfId="1045" xr:uid="{00000000-0005-0000-0000-0000DD050000}"/>
    <cellStyle name="Normal 5 7 2" xfId="1366" xr:uid="{00000000-0005-0000-0000-0000DE050000}"/>
    <cellStyle name="Normal 5 8" xfId="1367" xr:uid="{00000000-0005-0000-0000-0000DF050000}"/>
    <cellStyle name="Normal 5_2_AP02X016 - KP Kunta" xfId="1046" xr:uid="{00000000-0005-0000-0000-0000E0050000}"/>
    <cellStyle name="Normal 50" xfId="1047" xr:uid="{00000000-0005-0000-0000-0000E1050000}"/>
    <cellStyle name="Normal 50 2" xfId="1048" xr:uid="{00000000-0005-0000-0000-0000E2050000}"/>
    <cellStyle name="Normal 51" xfId="1049" xr:uid="{00000000-0005-0000-0000-0000E3050000}"/>
    <cellStyle name="Normal 51 2" xfId="1050" xr:uid="{00000000-0005-0000-0000-0000E4050000}"/>
    <cellStyle name="Normal 52" xfId="1368" xr:uid="{00000000-0005-0000-0000-0000E5050000}"/>
    <cellStyle name="Normal 53" xfId="1369" xr:uid="{00000000-0005-0000-0000-0000E6050000}"/>
    <cellStyle name="Normal 53 2" xfId="1370" xr:uid="{00000000-0005-0000-0000-0000E7050000}"/>
    <cellStyle name="Normal 53 3" xfId="1371" xr:uid="{00000000-0005-0000-0000-0000E8050000}"/>
    <cellStyle name="Normal 54" xfId="1372" xr:uid="{00000000-0005-0000-0000-0000E9050000}"/>
    <cellStyle name="Normal 6" xfId="49" xr:uid="{00000000-0005-0000-0000-0000EA050000}"/>
    <cellStyle name="Normal 6 10" xfId="1051" xr:uid="{00000000-0005-0000-0000-0000EB050000}"/>
    <cellStyle name="Normal 6 10 2" xfId="1791" xr:uid="{00000000-0005-0000-0000-0000EC050000}"/>
    <cellStyle name="Normal 6 11" xfId="1052" xr:uid="{00000000-0005-0000-0000-0000ED050000}"/>
    <cellStyle name="Normal 6 11 2" xfId="1792" xr:uid="{00000000-0005-0000-0000-0000EE050000}"/>
    <cellStyle name="Normal 6 12" xfId="1053" xr:uid="{00000000-0005-0000-0000-0000EF050000}"/>
    <cellStyle name="Normal 6 12 2" xfId="1793" xr:uid="{00000000-0005-0000-0000-0000F0050000}"/>
    <cellStyle name="Normal 6 13" xfId="1373" xr:uid="{00000000-0005-0000-0000-0000F1050000}"/>
    <cellStyle name="Normal 6 14" xfId="1794" xr:uid="{00000000-0005-0000-0000-0000F2050000}"/>
    <cellStyle name="Normal 6 2" xfId="50" xr:uid="{00000000-0005-0000-0000-0000F3050000}"/>
    <cellStyle name="Normal 6 2 2" xfId="51" xr:uid="{00000000-0005-0000-0000-0000F4050000}"/>
    <cellStyle name="Normal 6 2 2 2" xfId="1054" xr:uid="{00000000-0005-0000-0000-0000F5050000}"/>
    <cellStyle name="Normal 6 2 3" xfId="73" xr:uid="{00000000-0005-0000-0000-0000F6050000}"/>
    <cellStyle name="Normal 6 2 3 2" xfId="145" xr:uid="{00000000-0005-0000-0000-0000F7050000}"/>
    <cellStyle name="Normal 6 2 3 3" xfId="1242" xr:uid="{00000000-0005-0000-0000-0000F8050000}"/>
    <cellStyle name="Normal 6 2 4" xfId="1055" xr:uid="{00000000-0005-0000-0000-0000F9050000}"/>
    <cellStyle name="Normal 6 2 5" xfId="1374" xr:uid="{00000000-0005-0000-0000-0000FA050000}"/>
    <cellStyle name="Normal 6 3" xfId="52" xr:uid="{00000000-0005-0000-0000-0000FB050000}"/>
    <cellStyle name="Normal 6 3 2" xfId="1056" xr:uid="{00000000-0005-0000-0000-0000FC050000}"/>
    <cellStyle name="Normal 6 3 3" xfId="1795" xr:uid="{00000000-0005-0000-0000-0000FD050000}"/>
    <cellStyle name="Normal 6 3_Bhamanagar 5.2 - Copy" xfId="1057" xr:uid="{00000000-0005-0000-0000-0000FE050000}"/>
    <cellStyle name="Normal 6 4" xfId="53" xr:uid="{00000000-0005-0000-0000-0000FF050000}"/>
    <cellStyle name="Normal 6 4 2" xfId="146" xr:uid="{00000000-0005-0000-0000-000000060000}"/>
    <cellStyle name="Normal 6 4 3" xfId="1375" xr:uid="{00000000-0005-0000-0000-000001060000}"/>
    <cellStyle name="Normal 6 4 4" xfId="1376" xr:uid="{00000000-0005-0000-0000-000002060000}"/>
    <cellStyle name="Normal 6 4 5" xfId="1377" xr:uid="{00000000-0005-0000-0000-000003060000}"/>
    <cellStyle name="Normal 6 5" xfId="1058" xr:uid="{00000000-0005-0000-0000-000004060000}"/>
    <cellStyle name="Normal 6 5 2" xfId="1059" xr:uid="{00000000-0005-0000-0000-000005060000}"/>
    <cellStyle name="Normal 6 5 3" xfId="1796" xr:uid="{00000000-0005-0000-0000-000006060000}"/>
    <cellStyle name="Normal 6 6" xfId="1060" xr:uid="{00000000-0005-0000-0000-000007060000}"/>
    <cellStyle name="Normal 6 6 2" xfId="1797" xr:uid="{00000000-0005-0000-0000-000008060000}"/>
    <cellStyle name="Normal 6 6 3" xfId="1798" xr:uid="{00000000-0005-0000-0000-000009060000}"/>
    <cellStyle name="Normal 6 7" xfId="1061" xr:uid="{00000000-0005-0000-0000-00000A060000}"/>
    <cellStyle name="Normal 6 7 2" xfId="1799" xr:uid="{00000000-0005-0000-0000-00000B060000}"/>
    <cellStyle name="Normal 6 7 3" xfId="1800" xr:uid="{00000000-0005-0000-0000-00000C060000}"/>
    <cellStyle name="Normal 6 8" xfId="1062" xr:uid="{00000000-0005-0000-0000-00000D060000}"/>
    <cellStyle name="Normal 6 8 2" xfId="1801" xr:uid="{00000000-0005-0000-0000-00000E060000}"/>
    <cellStyle name="Normal 6 8 3" xfId="1802" xr:uid="{00000000-0005-0000-0000-00000F060000}"/>
    <cellStyle name="Normal 6 9" xfId="1063" xr:uid="{00000000-0005-0000-0000-000010060000}"/>
    <cellStyle name="Normal 6 9 2" xfId="1803" xr:uid="{00000000-0005-0000-0000-000011060000}"/>
    <cellStyle name="Normal 6_Bhamanagar 5.2" xfId="1064" xr:uid="{00000000-0005-0000-0000-000012060000}"/>
    <cellStyle name="Normal 7" xfId="54" xr:uid="{00000000-0005-0000-0000-000013060000}"/>
    <cellStyle name="Normal 7 10" xfId="1065" xr:uid="{00000000-0005-0000-0000-000014060000}"/>
    <cellStyle name="Normal 7 10 2" xfId="1804" xr:uid="{00000000-0005-0000-0000-000015060000}"/>
    <cellStyle name="Normal 7 11" xfId="1066" xr:uid="{00000000-0005-0000-0000-000016060000}"/>
    <cellStyle name="Normal 7 11 2" xfId="1805" xr:uid="{00000000-0005-0000-0000-000017060000}"/>
    <cellStyle name="Normal 7 12" xfId="1067" xr:uid="{00000000-0005-0000-0000-000018060000}"/>
    <cellStyle name="Normal 7 12 2" xfId="1068" xr:uid="{00000000-0005-0000-0000-000019060000}"/>
    <cellStyle name="Normal 7 13" xfId="1806" xr:uid="{00000000-0005-0000-0000-00001A060000}"/>
    <cellStyle name="Normal 7 2" xfId="1069" xr:uid="{00000000-0005-0000-0000-00001B060000}"/>
    <cellStyle name="Normal 7 2 2" xfId="1070" xr:uid="{00000000-0005-0000-0000-00001C060000}"/>
    <cellStyle name="Normal 7 2 2 2" xfId="1807" xr:uid="{00000000-0005-0000-0000-00001D060000}"/>
    <cellStyle name="Normal 7 2 3" xfId="1378" xr:uid="{00000000-0005-0000-0000-00001E060000}"/>
    <cellStyle name="Normal 7 2 3 2" xfId="1808" xr:uid="{00000000-0005-0000-0000-00001F060000}"/>
    <cellStyle name="Normal 7 2 4" xfId="1379" xr:uid="{00000000-0005-0000-0000-000020060000}"/>
    <cellStyle name="Normal 7 2 5" xfId="1809" xr:uid="{00000000-0005-0000-0000-000021060000}"/>
    <cellStyle name="Normal 7 2 6" xfId="1810" xr:uid="{00000000-0005-0000-0000-000022060000}"/>
    <cellStyle name="Normal 7 3" xfId="1071" xr:uid="{00000000-0005-0000-0000-000023060000}"/>
    <cellStyle name="Normal 7 3 2" xfId="1380" xr:uid="{00000000-0005-0000-0000-000024060000}"/>
    <cellStyle name="Normal 7 3 3" xfId="1811" xr:uid="{00000000-0005-0000-0000-000025060000}"/>
    <cellStyle name="Normal 7 4" xfId="1072" xr:uid="{00000000-0005-0000-0000-000026060000}"/>
    <cellStyle name="Normal 7 4 2" xfId="1812" xr:uid="{00000000-0005-0000-0000-000027060000}"/>
    <cellStyle name="Normal 7 4 3" xfId="1813" xr:uid="{00000000-0005-0000-0000-000028060000}"/>
    <cellStyle name="Normal 7 5" xfId="1073" xr:uid="{00000000-0005-0000-0000-000029060000}"/>
    <cellStyle name="Normal 7 5 2" xfId="1814" xr:uid="{00000000-0005-0000-0000-00002A060000}"/>
    <cellStyle name="Normal 7 5 3" xfId="1815" xr:uid="{00000000-0005-0000-0000-00002B060000}"/>
    <cellStyle name="Normal 7 6" xfId="1074" xr:uid="{00000000-0005-0000-0000-00002C060000}"/>
    <cellStyle name="Normal 7 6 2" xfId="1816" xr:uid="{00000000-0005-0000-0000-00002D060000}"/>
    <cellStyle name="Normal 7 6 3" xfId="1817" xr:uid="{00000000-0005-0000-0000-00002E060000}"/>
    <cellStyle name="Normal 7 7" xfId="1075" xr:uid="{00000000-0005-0000-0000-00002F060000}"/>
    <cellStyle name="Normal 7 7 2" xfId="1818" xr:uid="{00000000-0005-0000-0000-000030060000}"/>
    <cellStyle name="Normal 7 7 3" xfId="1819" xr:uid="{00000000-0005-0000-0000-000031060000}"/>
    <cellStyle name="Normal 7 8" xfId="1076" xr:uid="{00000000-0005-0000-0000-000032060000}"/>
    <cellStyle name="Normal 7 8 2" xfId="1820" xr:uid="{00000000-0005-0000-0000-000033060000}"/>
    <cellStyle name="Normal 7 9" xfId="1077" xr:uid="{00000000-0005-0000-0000-000034060000}"/>
    <cellStyle name="Normal 7 9 2" xfId="1821" xr:uid="{00000000-0005-0000-0000-000035060000}"/>
    <cellStyle name="Normal 7_2_AP02X016 - KP Kunta" xfId="1078" xr:uid="{00000000-0005-0000-0000-000036060000}"/>
    <cellStyle name="Normal 8" xfId="55" xr:uid="{00000000-0005-0000-0000-000037060000}"/>
    <cellStyle name="Normal 8 2" xfId="1079" xr:uid="{00000000-0005-0000-0000-000038060000}"/>
    <cellStyle name="Normal 8 2 2" xfId="1080" xr:uid="{00000000-0005-0000-0000-000039060000}"/>
    <cellStyle name="Normal 8 2 2 2" xfId="1822" xr:uid="{00000000-0005-0000-0000-00003A060000}"/>
    <cellStyle name="Normal 8 2 3" xfId="1823" xr:uid="{00000000-0005-0000-0000-00003B060000}"/>
    <cellStyle name="Normal 8 2_LINE DPR  ANUMARLAPUDI" xfId="1824" xr:uid="{00000000-0005-0000-0000-00003C060000}"/>
    <cellStyle name="Normal 8 3" xfId="1081" xr:uid="{00000000-0005-0000-0000-00003D060000}"/>
    <cellStyle name="Normal 8 3 2" xfId="1825" xr:uid="{00000000-0005-0000-0000-00003E060000}"/>
    <cellStyle name="Normal 8 3 3" xfId="1826" xr:uid="{00000000-0005-0000-0000-00003F060000}"/>
    <cellStyle name="Normal 8 4" xfId="1082" xr:uid="{00000000-0005-0000-0000-000040060000}"/>
    <cellStyle name="Normal 8 4 2" xfId="1827" xr:uid="{00000000-0005-0000-0000-000041060000}"/>
    <cellStyle name="Normal 8 4 2 2" xfId="1828" xr:uid="{00000000-0005-0000-0000-000042060000}"/>
    <cellStyle name="Normal 8 4 3" xfId="1829" xr:uid="{00000000-0005-0000-0000-000043060000}"/>
    <cellStyle name="Normal 8 5" xfId="1830" xr:uid="{00000000-0005-0000-0000-000044060000}"/>
    <cellStyle name="Normal 8 5 2" xfId="1831" xr:uid="{00000000-0005-0000-0000-000045060000}"/>
    <cellStyle name="Normal 8 6" xfId="1832" xr:uid="{00000000-0005-0000-0000-000046060000}"/>
    <cellStyle name="Normal 8_13th Fin Ponnugupadu 22.00 Lakhs" xfId="1083" xr:uid="{00000000-0005-0000-0000-000047060000}"/>
    <cellStyle name="Normal 9" xfId="84" xr:uid="{00000000-0005-0000-0000-000048060000}"/>
    <cellStyle name="Normal 9 2" xfId="147" xr:uid="{00000000-0005-0000-0000-000049060000}"/>
    <cellStyle name="Normal 9 2 2" xfId="159" xr:uid="{00000000-0005-0000-0000-00004A060000}"/>
    <cellStyle name="Normal 9 3" xfId="160" xr:uid="{00000000-0005-0000-0000-00004B060000}"/>
    <cellStyle name="Normal 9 3 2" xfId="1237" xr:uid="{00000000-0005-0000-0000-00004C060000}"/>
    <cellStyle name="Normal 9 4" xfId="1833" xr:uid="{00000000-0005-0000-0000-00004D060000}"/>
    <cellStyle name="Normal 9_EastpalemSC Colony.xls;SC SP200 (Autosaved)" xfId="1834" xr:uid="{00000000-0005-0000-0000-00004E060000}"/>
    <cellStyle name="Normal_DATAS WITH MORD -07-08 -4(1).3.08" xfId="1233" xr:uid="{00000000-0005-0000-0000-00004F060000}"/>
    <cellStyle name="Normal_lead_Kondepi" xfId="68" xr:uid="{00000000-0005-0000-0000-000050060000}"/>
    <cellStyle name="Normal_MODEL_ESTIMATE_PMGSY_27_08_CUMBUM 2" xfId="1232" xr:uid="{00000000-0005-0000-0000-000051060000}"/>
    <cellStyle name="Normal_NCRMP_cd works" xfId="1418" xr:uid="{00000000-0005-0000-0000-000052060000}"/>
    <cellStyle name="Normal_phaseVI_CC_" xfId="1417" xr:uid="{00000000-0005-0000-0000-000053060000}"/>
    <cellStyle name="Normal_Vaddemukkala wet mix RIDF XII 4.9.08_ROAD FROM MC ROAD TO SUBBARAYADU SATRAM 2" xfId="161" xr:uid="{00000000-0005-0000-0000-000054060000}"/>
    <cellStyle name="Note 10" xfId="1084" xr:uid="{00000000-0005-0000-0000-000055060000}"/>
    <cellStyle name="Note 10 2" xfId="1835" xr:uid="{00000000-0005-0000-0000-000056060000}"/>
    <cellStyle name="Note 10 3" xfId="1836" xr:uid="{00000000-0005-0000-0000-000057060000}"/>
    <cellStyle name="Note 11" xfId="1085" xr:uid="{00000000-0005-0000-0000-000058060000}"/>
    <cellStyle name="Note 11 2" xfId="1837" xr:uid="{00000000-0005-0000-0000-000059060000}"/>
    <cellStyle name="Note 11 3" xfId="1838" xr:uid="{00000000-0005-0000-0000-00005A060000}"/>
    <cellStyle name="Note 12" xfId="1086" xr:uid="{00000000-0005-0000-0000-00005B060000}"/>
    <cellStyle name="Note 13" xfId="1087" xr:uid="{00000000-0005-0000-0000-00005C060000}"/>
    <cellStyle name="Note 14" xfId="1088" xr:uid="{00000000-0005-0000-0000-00005D060000}"/>
    <cellStyle name="Note 15" xfId="1089" xr:uid="{00000000-0005-0000-0000-00005E060000}"/>
    <cellStyle name="Note 16" xfId="1090" xr:uid="{00000000-0005-0000-0000-00005F060000}"/>
    <cellStyle name="Note 2" xfId="1091" xr:uid="{00000000-0005-0000-0000-000060060000}"/>
    <cellStyle name="Note 2 2" xfId="1092" xr:uid="{00000000-0005-0000-0000-000061060000}"/>
    <cellStyle name="Note 2 2 2" xfId="1839" xr:uid="{00000000-0005-0000-0000-000062060000}"/>
    <cellStyle name="Note 2 3" xfId="1093" xr:uid="{00000000-0005-0000-0000-000063060000}"/>
    <cellStyle name="Note 2 3 2" xfId="1840" xr:uid="{00000000-0005-0000-0000-000064060000}"/>
    <cellStyle name="Note 2 4" xfId="1841" xr:uid="{00000000-0005-0000-0000-000065060000}"/>
    <cellStyle name="Note 2 4 2" xfId="1842" xr:uid="{00000000-0005-0000-0000-000066060000}"/>
    <cellStyle name="Note 2 5" xfId="1843" xr:uid="{00000000-0005-0000-0000-000067060000}"/>
    <cellStyle name="Note 2 6" xfId="1844" xr:uid="{00000000-0005-0000-0000-000068060000}"/>
    <cellStyle name="Note 3" xfId="1094" xr:uid="{00000000-0005-0000-0000-000069060000}"/>
    <cellStyle name="Note 3 2" xfId="1095" xr:uid="{00000000-0005-0000-0000-00006A060000}"/>
    <cellStyle name="Note 3 3" xfId="1845" xr:uid="{00000000-0005-0000-0000-00006B060000}"/>
    <cellStyle name="Note 4" xfId="1096" xr:uid="{00000000-0005-0000-0000-00006C060000}"/>
    <cellStyle name="Note 4 2" xfId="1846" xr:uid="{00000000-0005-0000-0000-00006D060000}"/>
    <cellStyle name="Note 4 3" xfId="1847" xr:uid="{00000000-0005-0000-0000-00006E060000}"/>
    <cellStyle name="Note 5" xfId="1097" xr:uid="{00000000-0005-0000-0000-00006F060000}"/>
    <cellStyle name="Note 5 2" xfId="1848" xr:uid="{00000000-0005-0000-0000-000070060000}"/>
    <cellStyle name="Note 5 3" xfId="1849" xr:uid="{00000000-0005-0000-0000-000071060000}"/>
    <cellStyle name="Note 6" xfId="1098" xr:uid="{00000000-0005-0000-0000-000072060000}"/>
    <cellStyle name="Note 6 2" xfId="1850" xr:uid="{00000000-0005-0000-0000-000073060000}"/>
    <cellStyle name="Note 6 3" xfId="1851" xr:uid="{00000000-0005-0000-0000-000074060000}"/>
    <cellStyle name="Note 7" xfId="1099" xr:uid="{00000000-0005-0000-0000-000075060000}"/>
    <cellStyle name="Note 7 2" xfId="1852" xr:uid="{00000000-0005-0000-0000-000076060000}"/>
    <cellStyle name="Note 7 3" xfId="1853" xr:uid="{00000000-0005-0000-0000-000077060000}"/>
    <cellStyle name="Note 8" xfId="1100" xr:uid="{00000000-0005-0000-0000-000078060000}"/>
    <cellStyle name="Note 8 2" xfId="1854" xr:uid="{00000000-0005-0000-0000-000079060000}"/>
    <cellStyle name="Note 8 3" xfId="1855" xr:uid="{00000000-0005-0000-0000-00007A060000}"/>
    <cellStyle name="Note 9" xfId="1101" xr:uid="{00000000-0005-0000-0000-00007B060000}"/>
    <cellStyle name="Note 9 2" xfId="1856" xr:uid="{00000000-0005-0000-0000-00007C060000}"/>
    <cellStyle name="Note 9 3" xfId="1857" xr:uid="{00000000-0005-0000-0000-00007D060000}"/>
    <cellStyle name="Output 10" xfId="1102" xr:uid="{00000000-0005-0000-0000-00007E060000}"/>
    <cellStyle name="Output 10 2" xfId="1858" xr:uid="{00000000-0005-0000-0000-00007F060000}"/>
    <cellStyle name="Output 11" xfId="1103" xr:uid="{00000000-0005-0000-0000-000080060000}"/>
    <cellStyle name="Output 11 2" xfId="1859" xr:uid="{00000000-0005-0000-0000-000081060000}"/>
    <cellStyle name="Output 12" xfId="1104" xr:uid="{00000000-0005-0000-0000-000082060000}"/>
    <cellStyle name="Output 13" xfId="1105" xr:uid="{00000000-0005-0000-0000-000083060000}"/>
    <cellStyle name="Output 14" xfId="1106" xr:uid="{00000000-0005-0000-0000-000084060000}"/>
    <cellStyle name="Output 15" xfId="1107" xr:uid="{00000000-0005-0000-0000-000085060000}"/>
    <cellStyle name="Output 16" xfId="1108" xr:uid="{00000000-0005-0000-0000-000086060000}"/>
    <cellStyle name="Output 2" xfId="1109" xr:uid="{00000000-0005-0000-0000-000087060000}"/>
    <cellStyle name="Output 2 2" xfId="1110" xr:uid="{00000000-0005-0000-0000-000088060000}"/>
    <cellStyle name="Output 2 3" xfId="1111" xr:uid="{00000000-0005-0000-0000-000089060000}"/>
    <cellStyle name="Output 2 4" xfId="1860" xr:uid="{00000000-0005-0000-0000-00008A060000}"/>
    <cellStyle name="Output 2 5" xfId="1861" xr:uid="{00000000-0005-0000-0000-00008B060000}"/>
    <cellStyle name="Output 3" xfId="1112" xr:uid="{00000000-0005-0000-0000-00008C060000}"/>
    <cellStyle name="Output 3 2" xfId="1113" xr:uid="{00000000-0005-0000-0000-00008D060000}"/>
    <cellStyle name="Output 4" xfId="1114" xr:uid="{00000000-0005-0000-0000-00008E060000}"/>
    <cellStyle name="Output 4 2" xfId="1862" xr:uid="{00000000-0005-0000-0000-00008F060000}"/>
    <cellStyle name="Output 5" xfId="1115" xr:uid="{00000000-0005-0000-0000-000090060000}"/>
    <cellStyle name="Output 5 2" xfId="1863" xr:uid="{00000000-0005-0000-0000-000091060000}"/>
    <cellStyle name="Output 6" xfId="1116" xr:uid="{00000000-0005-0000-0000-000092060000}"/>
    <cellStyle name="Output 6 2" xfId="1864" xr:uid="{00000000-0005-0000-0000-000093060000}"/>
    <cellStyle name="Output 7" xfId="1117" xr:uid="{00000000-0005-0000-0000-000094060000}"/>
    <cellStyle name="Output 7 2" xfId="1865" xr:uid="{00000000-0005-0000-0000-000095060000}"/>
    <cellStyle name="Output 8" xfId="1118" xr:uid="{00000000-0005-0000-0000-000096060000}"/>
    <cellStyle name="Output 8 2" xfId="1866" xr:uid="{00000000-0005-0000-0000-000097060000}"/>
    <cellStyle name="Output 9" xfId="1119" xr:uid="{00000000-0005-0000-0000-000098060000}"/>
    <cellStyle name="Output 9 2" xfId="1867" xr:uid="{00000000-0005-0000-0000-000099060000}"/>
    <cellStyle name="Percent [2]" xfId="56" xr:uid="{00000000-0005-0000-0000-00009A060000}"/>
    <cellStyle name="Percent [2] 2" xfId="85" xr:uid="{00000000-0005-0000-0000-00009B060000}"/>
    <cellStyle name="Percent [2] 2 2" xfId="1868" xr:uid="{00000000-0005-0000-0000-00009C060000}"/>
    <cellStyle name="Percent [2] 3" xfId="86" xr:uid="{00000000-0005-0000-0000-00009D060000}"/>
    <cellStyle name="Percent [2] 3 2" xfId="1869" xr:uid="{00000000-0005-0000-0000-00009E060000}"/>
    <cellStyle name="Percent [2] 4" xfId="87" xr:uid="{00000000-0005-0000-0000-00009F060000}"/>
    <cellStyle name="Percent [2] 5" xfId="1120" xr:uid="{00000000-0005-0000-0000-0000A0060000}"/>
    <cellStyle name="Percent [2] 6" xfId="1121" xr:uid="{00000000-0005-0000-0000-0000A1060000}"/>
    <cellStyle name="Percent 15" xfId="1122" xr:uid="{00000000-0005-0000-0000-0000A2060000}"/>
    <cellStyle name="Percent 15 2" xfId="1381" xr:uid="{00000000-0005-0000-0000-0000A3060000}"/>
    <cellStyle name="Percent 2" xfId="57" xr:uid="{00000000-0005-0000-0000-0000A4060000}"/>
    <cellStyle name="Percent 2 10" xfId="1123" xr:uid="{00000000-0005-0000-0000-0000A5060000}"/>
    <cellStyle name="Percent 2 11" xfId="1124" xr:uid="{00000000-0005-0000-0000-0000A6060000}"/>
    <cellStyle name="Percent 2 12" xfId="1125" xr:uid="{00000000-0005-0000-0000-0000A7060000}"/>
    <cellStyle name="Percent 2 12 2" xfId="1870" xr:uid="{00000000-0005-0000-0000-0000A8060000}"/>
    <cellStyle name="Percent 2 13" xfId="1126" xr:uid="{00000000-0005-0000-0000-0000A9060000}"/>
    <cellStyle name="Percent 2 14" xfId="1127" xr:uid="{00000000-0005-0000-0000-0000AA060000}"/>
    <cellStyle name="Percent 2 15" xfId="1382" xr:uid="{00000000-0005-0000-0000-0000AB060000}"/>
    <cellStyle name="Percent 2 16" xfId="1383" xr:uid="{00000000-0005-0000-0000-0000AC060000}"/>
    <cellStyle name="Percent 2 17" xfId="1384" xr:uid="{00000000-0005-0000-0000-0000AD060000}"/>
    <cellStyle name="Percent 2 18" xfId="1385" xr:uid="{00000000-0005-0000-0000-0000AE060000}"/>
    <cellStyle name="Percent 2 19" xfId="1386" xr:uid="{00000000-0005-0000-0000-0000AF060000}"/>
    <cellStyle name="Percent 2 2" xfId="148" xr:uid="{00000000-0005-0000-0000-0000B0060000}"/>
    <cellStyle name="Percent 2 2 10" xfId="1387" xr:uid="{00000000-0005-0000-0000-0000B1060000}"/>
    <cellStyle name="Percent 2 2 11" xfId="1388" xr:uid="{00000000-0005-0000-0000-0000B2060000}"/>
    <cellStyle name="Percent 2 2 12" xfId="1389" xr:uid="{00000000-0005-0000-0000-0000B3060000}"/>
    <cellStyle name="Percent 2 2 13" xfId="1390" xr:uid="{00000000-0005-0000-0000-0000B4060000}"/>
    <cellStyle name="Percent 2 2 14" xfId="1391" xr:uid="{00000000-0005-0000-0000-0000B5060000}"/>
    <cellStyle name="Percent 2 2 2" xfId="1392" xr:uid="{00000000-0005-0000-0000-0000B6060000}"/>
    <cellStyle name="Percent 2 2 2 2" xfId="1393" xr:uid="{00000000-0005-0000-0000-0000B7060000}"/>
    <cellStyle name="Percent 2 2 2 3" xfId="1394" xr:uid="{00000000-0005-0000-0000-0000B8060000}"/>
    <cellStyle name="Percent 2 2 2 4" xfId="1395" xr:uid="{00000000-0005-0000-0000-0000B9060000}"/>
    <cellStyle name="Percent 2 2 2 5" xfId="1396" xr:uid="{00000000-0005-0000-0000-0000BA060000}"/>
    <cellStyle name="Percent 2 2 2 6" xfId="1397" xr:uid="{00000000-0005-0000-0000-0000BB060000}"/>
    <cellStyle name="Percent 2 2 2 7" xfId="1398" xr:uid="{00000000-0005-0000-0000-0000BC060000}"/>
    <cellStyle name="Percent 2 2 2 8" xfId="1399" xr:uid="{00000000-0005-0000-0000-0000BD060000}"/>
    <cellStyle name="Percent 2 2 2 9" xfId="1400" xr:uid="{00000000-0005-0000-0000-0000BE060000}"/>
    <cellStyle name="Percent 2 2 3" xfId="1401" xr:uid="{00000000-0005-0000-0000-0000BF060000}"/>
    <cellStyle name="Percent 2 2 3 2" xfId="1402" xr:uid="{00000000-0005-0000-0000-0000C0060000}"/>
    <cellStyle name="Percent 2 2 3 3" xfId="1403" xr:uid="{00000000-0005-0000-0000-0000C1060000}"/>
    <cellStyle name="Percent 2 2 4" xfId="1404" xr:uid="{00000000-0005-0000-0000-0000C2060000}"/>
    <cellStyle name="Percent 2 2 4 2" xfId="1405" xr:uid="{00000000-0005-0000-0000-0000C3060000}"/>
    <cellStyle name="Percent 2 2 5" xfId="1406" xr:uid="{00000000-0005-0000-0000-0000C4060000}"/>
    <cellStyle name="Percent 2 2 6" xfId="1407" xr:uid="{00000000-0005-0000-0000-0000C5060000}"/>
    <cellStyle name="Percent 2 2 7" xfId="1408" xr:uid="{00000000-0005-0000-0000-0000C6060000}"/>
    <cellStyle name="Percent 2 2 8" xfId="1409" xr:uid="{00000000-0005-0000-0000-0000C7060000}"/>
    <cellStyle name="Percent 2 2 9" xfId="1410" xr:uid="{00000000-0005-0000-0000-0000C8060000}"/>
    <cellStyle name="Percent 2 3" xfId="1128" xr:uid="{00000000-0005-0000-0000-0000C9060000}"/>
    <cellStyle name="Percent 2 3 2" xfId="1129" xr:uid="{00000000-0005-0000-0000-0000CA060000}"/>
    <cellStyle name="Percent 2 4" xfId="1130" xr:uid="{00000000-0005-0000-0000-0000CB060000}"/>
    <cellStyle name="Percent 2 4 2" xfId="1871" xr:uid="{00000000-0005-0000-0000-0000CC060000}"/>
    <cellStyle name="Percent 2 5" xfId="1131" xr:uid="{00000000-0005-0000-0000-0000CD060000}"/>
    <cellStyle name="Percent 2 5 2" xfId="1872" xr:uid="{00000000-0005-0000-0000-0000CE060000}"/>
    <cellStyle name="Percent 2 6" xfId="1132" xr:uid="{00000000-0005-0000-0000-0000CF060000}"/>
    <cellStyle name="Percent 2 7" xfId="1133" xr:uid="{00000000-0005-0000-0000-0000D0060000}"/>
    <cellStyle name="Percent 2 8" xfId="1134" xr:uid="{00000000-0005-0000-0000-0000D1060000}"/>
    <cellStyle name="Percent 2 9" xfId="1135" xr:uid="{00000000-0005-0000-0000-0000D2060000}"/>
    <cellStyle name="Percent 2_WE" xfId="1411" xr:uid="{00000000-0005-0000-0000-0000D3060000}"/>
    <cellStyle name="Percent 3" xfId="58" xr:uid="{00000000-0005-0000-0000-0000D4060000}"/>
    <cellStyle name="Percent 3 10" xfId="1136" xr:uid="{00000000-0005-0000-0000-0000D5060000}"/>
    <cellStyle name="Percent 3 10 2" xfId="1873" xr:uid="{00000000-0005-0000-0000-0000D6060000}"/>
    <cellStyle name="Percent 3 11" xfId="1137" xr:uid="{00000000-0005-0000-0000-0000D7060000}"/>
    <cellStyle name="Percent 3 11 2" xfId="1874" xr:uid="{00000000-0005-0000-0000-0000D8060000}"/>
    <cellStyle name="Percent 3 12" xfId="1875" xr:uid="{00000000-0005-0000-0000-0000D9060000}"/>
    <cellStyle name="Percent 3 2" xfId="59" xr:uid="{00000000-0005-0000-0000-0000DA060000}"/>
    <cellStyle name="Percent 3 2 2" xfId="1138" xr:uid="{00000000-0005-0000-0000-0000DB060000}"/>
    <cellStyle name="Percent 3 3" xfId="1139" xr:uid="{00000000-0005-0000-0000-0000DC060000}"/>
    <cellStyle name="Percent 3 3 2" xfId="1876" xr:uid="{00000000-0005-0000-0000-0000DD060000}"/>
    <cellStyle name="Percent 3 3 3" xfId="1877" xr:uid="{00000000-0005-0000-0000-0000DE060000}"/>
    <cellStyle name="Percent 3 4" xfId="1140" xr:uid="{00000000-0005-0000-0000-0000DF060000}"/>
    <cellStyle name="Percent 3 4 2" xfId="1878" xr:uid="{00000000-0005-0000-0000-0000E0060000}"/>
    <cellStyle name="Percent 3 4 3" xfId="1879" xr:uid="{00000000-0005-0000-0000-0000E1060000}"/>
    <cellStyle name="Percent 3 5" xfId="1141" xr:uid="{00000000-0005-0000-0000-0000E2060000}"/>
    <cellStyle name="Percent 3 5 2" xfId="1880" xr:uid="{00000000-0005-0000-0000-0000E3060000}"/>
    <cellStyle name="Percent 3 5 3" xfId="1881" xr:uid="{00000000-0005-0000-0000-0000E4060000}"/>
    <cellStyle name="Percent 3 6" xfId="1142" xr:uid="{00000000-0005-0000-0000-0000E5060000}"/>
    <cellStyle name="Percent 3 6 2" xfId="1882" xr:uid="{00000000-0005-0000-0000-0000E6060000}"/>
    <cellStyle name="Percent 3 6 3" xfId="1883" xr:uid="{00000000-0005-0000-0000-0000E7060000}"/>
    <cellStyle name="Percent 3 7" xfId="1143" xr:uid="{00000000-0005-0000-0000-0000E8060000}"/>
    <cellStyle name="Percent 3 7 2" xfId="1884" xr:uid="{00000000-0005-0000-0000-0000E9060000}"/>
    <cellStyle name="Percent 3 7 3" xfId="1885" xr:uid="{00000000-0005-0000-0000-0000EA060000}"/>
    <cellStyle name="Percent 3 8" xfId="1144" xr:uid="{00000000-0005-0000-0000-0000EB060000}"/>
    <cellStyle name="Percent 3 8 2" xfId="1886" xr:uid="{00000000-0005-0000-0000-0000EC060000}"/>
    <cellStyle name="Percent 3 8 3" xfId="1887" xr:uid="{00000000-0005-0000-0000-0000ED060000}"/>
    <cellStyle name="Percent 3 9" xfId="1145" xr:uid="{00000000-0005-0000-0000-0000EE060000}"/>
    <cellStyle name="Percent 3 9 2" xfId="1888" xr:uid="{00000000-0005-0000-0000-0000EF060000}"/>
    <cellStyle name="Percent 4" xfId="149" xr:uid="{00000000-0005-0000-0000-0000F0060000}"/>
    <cellStyle name="Percent 4 2" xfId="1146" xr:uid="{00000000-0005-0000-0000-0000F1060000}"/>
    <cellStyle name="Percent 4 3" xfId="1889" xr:uid="{00000000-0005-0000-0000-0000F2060000}"/>
    <cellStyle name="Percent 5" xfId="1147" xr:uid="{00000000-0005-0000-0000-0000F3060000}"/>
    <cellStyle name="Percent 5 2" xfId="1148" xr:uid="{00000000-0005-0000-0000-0000F4060000}"/>
    <cellStyle name="Percent 6" xfId="1149" xr:uid="{00000000-0005-0000-0000-0000F5060000}"/>
    <cellStyle name="Percent 7" xfId="1150" xr:uid="{00000000-0005-0000-0000-0000F6060000}"/>
    <cellStyle name="Percent 8" xfId="1151" xr:uid="{00000000-0005-0000-0000-0000F7060000}"/>
    <cellStyle name="prabhakar" xfId="1152" xr:uid="{00000000-0005-0000-0000-0000F8060000}"/>
    <cellStyle name="RevList" xfId="60" xr:uid="{00000000-0005-0000-0000-0000F9060000}"/>
    <cellStyle name="RevList 2" xfId="1153" xr:uid="{00000000-0005-0000-0000-0000FA060000}"/>
    <cellStyle name="RowLevel_0" xfId="1890" xr:uid="{00000000-0005-0000-0000-0000FB060000}"/>
    <cellStyle name="Sheet Title" xfId="150" xr:uid="{00000000-0005-0000-0000-0000FC060000}"/>
    <cellStyle name="style" xfId="61" xr:uid="{00000000-0005-0000-0000-0000FD060000}"/>
    <cellStyle name="Style 1" xfId="62" xr:uid="{00000000-0005-0000-0000-0000FE060000}"/>
    <cellStyle name="Style 1 2" xfId="151" xr:uid="{00000000-0005-0000-0000-0000FF060000}"/>
    <cellStyle name="Style 1 2 2" xfId="1154" xr:uid="{00000000-0005-0000-0000-000000070000}"/>
    <cellStyle name="Style 1 3" xfId="1155" xr:uid="{00000000-0005-0000-0000-000001070000}"/>
    <cellStyle name="Style 1_ALGUNOOR,THIMMAPURTWO CLASS ROOMS 12-13(2+0)" xfId="1156" xr:uid="{00000000-0005-0000-0000-000002070000}"/>
    <cellStyle name="Style 2" xfId="1157" xr:uid="{00000000-0005-0000-0000-000003070000}"/>
    <cellStyle name="style 2 2" xfId="1891" xr:uid="{00000000-0005-0000-0000-000004070000}"/>
    <cellStyle name="style 3" xfId="1158" xr:uid="{00000000-0005-0000-0000-000005070000}"/>
    <cellStyle name="style 3 2" xfId="1892" xr:uid="{00000000-0005-0000-0000-000006070000}"/>
    <cellStyle name="style 4" xfId="1159" xr:uid="{00000000-0005-0000-0000-000007070000}"/>
    <cellStyle name="style 5" xfId="1160" xr:uid="{00000000-0005-0000-0000-000008070000}"/>
    <cellStyle name="style 6" xfId="1161" xr:uid="{00000000-0005-0000-0000-000009070000}"/>
    <cellStyle name="style_1_Pattapupalem_road estt-NCRMP" xfId="1162" xr:uid="{00000000-0005-0000-0000-00000A070000}"/>
    <cellStyle name="style1" xfId="63" xr:uid="{00000000-0005-0000-0000-00000B070000}"/>
    <cellStyle name="style1 2" xfId="1163" xr:uid="{00000000-0005-0000-0000-00000C070000}"/>
    <cellStyle name="style1 2 2" xfId="1893" xr:uid="{00000000-0005-0000-0000-00000D070000}"/>
    <cellStyle name="style1 3" xfId="1164" xr:uid="{00000000-0005-0000-0000-00000E070000}"/>
    <cellStyle name="style1 3 2" xfId="1894" xr:uid="{00000000-0005-0000-0000-00000F070000}"/>
    <cellStyle name="style1 4" xfId="1165" xr:uid="{00000000-0005-0000-0000-000010070000}"/>
    <cellStyle name="style1 5" xfId="1166" xr:uid="{00000000-0005-0000-0000-000011070000}"/>
    <cellStyle name="style1 6" xfId="1167" xr:uid="{00000000-0005-0000-0000-000012070000}"/>
    <cellStyle name="style1_3 - ZP  BHAIRAVANAGAR 45.00L." xfId="1168" xr:uid="{00000000-0005-0000-0000-000013070000}"/>
    <cellStyle name="style2" xfId="64" xr:uid="{00000000-0005-0000-0000-000014070000}"/>
    <cellStyle name="style2 2" xfId="1169" xr:uid="{00000000-0005-0000-0000-000015070000}"/>
    <cellStyle name="style2 2 2" xfId="1895" xr:uid="{00000000-0005-0000-0000-000016070000}"/>
    <cellStyle name="style2 3" xfId="1170" xr:uid="{00000000-0005-0000-0000-000017070000}"/>
    <cellStyle name="style2 3 2" xfId="1896" xr:uid="{00000000-0005-0000-0000-000018070000}"/>
    <cellStyle name="style2 4" xfId="1171" xr:uid="{00000000-0005-0000-0000-000019070000}"/>
    <cellStyle name="style2 5" xfId="1172" xr:uid="{00000000-0005-0000-0000-00001A070000}"/>
    <cellStyle name="style2 6" xfId="1173" xr:uid="{00000000-0005-0000-0000-00001B070000}"/>
    <cellStyle name="style2_3 - ZP  BHAIRAVANAGAR 45.00L." xfId="1174" xr:uid="{00000000-0005-0000-0000-00001C070000}"/>
    <cellStyle name="Sub Head" xfId="65" xr:uid="{00000000-0005-0000-0000-00001D070000}"/>
    <cellStyle name="Subtotal" xfId="66" xr:uid="{00000000-0005-0000-0000-00001E070000}"/>
    <cellStyle name="text" xfId="1175" xr:uid="{00000000-0005-0000-0000-00001F070000}"/>
    <cellStyle name="þ_x001d_ð &amp;ý&amp;†ýG_x0008_ X_x000a__x0007__x0001__x0001_" xfId="1235" xr:uid="{00000000-0005-0000-0000-000020070000}"/>
    <cellStyle name="þ_x001d_ð &amp;ý&amp;†ýG_x0008_ X_x000a__x0007__x0001__x0001_ 2" xfId="88" xr:uid="{00000000-0005-0000-0000-000021070000}"/>
    <cellStyle name="þ_x001d_ð &amp;ý&amp;†ýG_x0008_ X_x000a__x0007__x0001__x0001_ 2 2" xfId="1897" xr:uid="{00000000-0005-0000-0000-000022070000}"/>
    <cellStyle name="þ_x001d_ð &amp;ý&amp;†ýG_x0008_ X_x000a__x0007__x0001__x0001_ 3" xfId="89" xr:uid="{00000000-0005-0000-0000-000023070000}"/>
    <cellStyle name="þ_x001d_ð &amp;ý&amp;†ýG_x0008_ X_x000a__x0007__x0001__x0001_ 3 2" xfId="1898" xr:uid="{00000000-0005-0000-0000-000024070000}"/>
    <cellStyle name="þ_x001d_ð &amp;ý&amp;†ýG_x0008_ X_x000a__x0007__x0001__x0001_ 4" xfId="90" xr:uid="{00000000-0005-0000-0000-000025070000}"/>
    <cellStyle name="þ_x001d_ð &amp;ý&amp;†ýG_x0008_ X_x000a__x0007__x0001__x0001_ 5" xfId="1176" xr:uid="{00000000-0005-0000-0000-000026070000}"/>
    <cellStyle name="þ_x001d_ð &amp;ý&amp;†ýG_x0008_ X_x000a__x0007__x0001__x0001_ 6" xfId="1177" xr:uid="{00000000-0005-0000-0000-000027070000}"/>
    <cellStyle name="þ_x001d_ð&quot;_x000c_Býò_x000c_5ýU_x0001_e_x0005_¹,_x0007__x0001__x0001_" xfId="67" xr:uid="{00000000-0005-0000-0000-000028070000}"/>
    <cellStyle name="þ_x001d_ð&quot;_x000c_Býò_x000c_5ýU_x0001_e_x0005_¹,_x0007__x0001__x0001_ 2" xfId="91" xr:uid="{00000000-0005-0000-0000-000029070000}"/>
    <cellStyle name="þ_x001d_ð&quot;_x000c_Býò_x000c_5ýU_x0001_e_x0005_¹,_x0007__x0001__x0001_ 2 2" xfId="1899" xr:uid="{00000000-0005-0000-0000-00002A070000}"/>
    <cellStyle name="þ_x001d_ð&quot;_x000c_Býò_x000c_5ýU_x0001_e_x0005_¹,_x0007__x0001__x0001_ 3" xfId="92" xr:uid="{00000000-0005-0000-0000-00002B070000}"/>
    <cellStyle name="þ_x001d_ð&quot;_x000c_Býò_x000c_5ýU_x0001_e_x0005_¹,_x0007__x0001__x0001_ 3 2" xfId="1900" xr:uid="{00000000-0005-0000-0000-00002C070000}"/>
    <cellStyle name="þ_x001d_ð&quot;_x000c_Býò_x000c_5ýU_x0001_e_x0005_¹,_x0007__x0001__x0001_ 4" xfId="93" xr:uid="{00000000-0005-0000-0000-00002D070000}"/>
    <cellStyle name="þ_x001d_ð&quot;_x000c_Býò_x000c_5ýU_x0001_e_x0005_¹,_x0007__x0001__x0001_ 5" xfId="1178" xr:uid="{00000000-0005-0000-0000-00002E070000}"/>
    <cellStyle name="þ_x001d_ð&quot;_x000c_Býò_x000c_5ýU_x0001_e_x0005_¹,_x0007__x0001__x0001_ 6" xfId="1179" xr:uid="{00000000-0005-0000-0000-00002F070000}"/>
    <cellStyle name="þ_x001d_ð&quot;_x000c_Býò_x000c_5ýU_x0001_e_x0005_¹,_x0007__x0001__x0001__chamarru 02.09.10" xfId="1901" xr:uid="{00000000-0005-0000-0000-000030070000}"/>
    <cellStyle name="Times New Roman" xfId="94" xr:uid="{00000000-0005-0000-0000-000031070000}"/>
    <cellStyle name="Title 10" xfId="1180" xr:uid="{00000000-0005-0000-0000-000032070000}"/>
    <cellStyle name="Title 11" xfId="1181" xr:uid="{00000000-0005-0000-0000-000033070000}"/>
    <cellStyle name="Title 2" xfId="1182" xr:uid="{00000000-0005-0000-0000-000034070000}"/>
    <cellStyle name="Title 2 2" xfId="1902" xr:uid="{00000000-0005-0000-0000-000035070000}"/>
    <cellStyle name="Title 2 3" xfId="1903" xr:uid="{00000000-0005-0000-0000-000036070000}"/>
    <cellStyle name="Title 2 4" xfId="1904" xr:uid="{00000000-0005-0000-0000-000037070000}"/>
    <cellStyle name="Title 3" xfId="1183" xr:uid="{00000000-0005-0000-0000-000038070000}"/>
    <cellStyle name="Title 4" xfId="1184" xr:uid="{00000000-0005-0000-0000-000039070000}"/>
    <cellStyle name="Title 5" xfId="1185" xr:uid="{00000000-0005-0000-0000-00003A070000}"/>
    <cellStyle name="Title 6" xfId="1186" xr:uid="{00000000-0005-0000-0000-00003B070000}"/>
    <cellStyle name="Title 7" xfId="1187" xr:uid="{00000000-0005-0000-0000-00003C070000}"/>
    <cellStyle name="Title 8" xfId="1188" xr:uid="{00000000-0005-0000-0000-00003D070000}"/>
    <cellStyle name="Title 9" xfId="1189" xr:uid="{00000000-0005-0000-0000-00003E070000}"/>
    <cellStyle name="Total 10" xfId="1190" xr:uid="{00000000-0005-0000-0000-00003F070000}"/>
    <cellStyle name="Total 10 2" xfId="1905" xr:uid="{00000000-0005-0000-0000-000040070000}"/>
    <cellStyle name="Total 11" xfId="1191" xr:uid="{00000000-0005-0000-0000-000041070000}"/>
    <cellStyle name="Total 11 2" xfId="1906" xr:uid="{00000000-0005-0000-0000-000042070000}"/>
    <cellStyle name="Total 12" xfId="1192" xr:uid="{00000000-0005-0000-0000-000043070000}"/>
    <cellStyle name="Total 13" xfId="1193" xr:uid="{00000000-0005-0000-0000-000044070000}"/>
    <cellStyle name="Total 14" xfId="1194" xr:uid="{00000000-0005-0000-0000-000045070000}"/>
    <cellStyle name="Total 15" xfId="1195" xr:uid="{00000000-0005-0000-0000-000046070000}"/>
    <cellStyle name="Total 16" xfId="1196" xr:uid="{00000000-0005-0000-0000-000047070000}"/>
    <cellStyle name="Total 2" xfId="1197" xr:uid="{00000000-0005-0000-0000-000048070000}"/>
    <cellStyle name="Total 2 2" xfId="1198" xr:uid="{00000000-0005-0000-0000-000049070000}"/>
    <cellStyle name="Total 2 3" xfId="1199" xr:uid="{00000000-0005-0000-0000-00004A070000}"/>
    <cellStyle name="Total 2 4" xfId="1907" xr:uid="{00000000-0005-0000-0000-00004B070000}"/>
    <cellStyle name="Total 2 5" xfId="1908" xr:uid="{00000000-0005-0000-0000-00004C070000}"/>
    <cellStyle name="Total 3" xfId="1200" xr:uid="{00000000-0005-0000-0000-00004D070000}"/>
    <cellStyle name="Total 3 2" xfId="1201" xr:uid="{00000000-0005-0000-0000-00004E070000}"/>
    <cellStyle name="Total 4" xfId="1202" xr:uid="{00000000-0005-0000-0000-00004F070000}"/>
    <cellStyle name="Total 4 2" xfId="1909" xr:uid="{00000000-0005-0000-0000-000050070000}"/>
    <cellStyle name="Total 5" xfId="1203" xr:uid="{00000000-0005-0000-0000-000051070000}"/>
    <cellStyle name="Total 5 2" xfId="1910" xr:uid="{00000000-0005-0000-0000-000052070000}"/>
    <cellStyle name="Total 6" xfId="1204" xr:uid="{00000000-0005-0000-0000-000053070000}"/>
    <cellStyle name="Total 6 2" xfId="1911" xr:uid="{00000000-0005-0000-0000-000054070000}"/>
    <cellStyle name="Total 7" xfId="1205" xr:uid="{00000000-0005-0000-0000-000055070000}"/>
    <cellStyle name="Total 7 2" xfId="1912" xr:uid="{00000000-0005-0000-0000-000056070000}"/>
    <cellStyle name="Total 8" xfId="1206" xr:uid="{00000000-0005-0000-0000-000057070000}"/>
    <cellStyle name="Total 8 2" xfId="1913" xr:uid="{00000000-0005-0000-0000-000058070000}"/>
    <cellStyle name="Total 9" xfId="1207" xr:uid="{00000000-0005-0000-0000-000059070000}"/>
    <cellStyle name="Total 9 2" xfId="1914" xr:uid="{00000000-0005-0000-0000-00005A070000}"/>
    <cellStyle name="v" xfId="152" xr:uid="{00000000-0005-0000-0000-00005B070000}"/>
    <cellStyle name="v_25-8-2010  ABS &amp; Det" xfId="153" xr:uid="{00000000-0005-0000-0000-00005C070000}"/>
    <cellStyle name="v_25-8-2010  ABS &amp; Det_Est.-DFSD&amp;GTC-Atp 01.09.14" xfId="1208" xr:uid="{00000000-0005-0000-0000-00005D070000}"/>
    <cellStyle name="v_25-8-2010  ABS &amp; Det_revised  Estimation-1" xfId="1209" xr:uid="{00000000-0005-0000-0000-00005E070000}"/>
    <cellStyle name="v_25-8-2010  ABS &amp; Det_TIRUPATI  ELEC" xfId="1210" xr:uid="{00000000-0005-0000-0000-00005F070000}"/>
    <cellStyle name="v_Est.-DFSD&amp;GTC-Atp 01.09.14" xfId="1211" xr:uid="{00000000-0005-0000-0000-000060070000}"/>
    <cellStyle name="v_revised  Estimation-1" xfId="1212" xr:uid="{00000000-0005-0000-0000-000061070000}"/>
    <cellStyle name="v_TIRUPATI  ELEC" xfId="1213" xr:uid="{00000000-0005-0000-0000-000062070000}"/>
    <cellStyle name="Value" xfId="95" xr:uid="{00000000-0005-0000-0000-000063070000}"/>
    <cellStyle name="Value 2" xfId="1214" xr:uid="{00000000-0005-0000-0000-000064070000}"/>
    <cellStyle name="Value 3" xfId="1215" xr:uid="{00000000-0005-0000-0000-000065070000}"/>
    <cellStyle name="Value 4" xfId="1412" xr:uid="{00000000-0005-0000-0000-000066070000}"/>
    <cellStyle name="Value 5" xfId="1413" xr:uid="{00000000-0005-0000-0000-000067070000}"/>
    <cellStyle name="Value 6" xfId="1414" xr:uid="{00000000-0005-0000-0000-000068070000}"/>
    <cellStyle name="Value_Estimate" xfId="1415" xr:uid="{00000000-0005-0000-0000-000069070000}"/>
    <cellStyle name="Warning Text 10" xfId="1216" xr:uid="{00000000-0005-0000-0000-00006A070000}"/>
    <cellStyle name="Warning Text 11" xfId="1217" xr:uid="{00000000-0005-0000-0000-00006B070000}"/>
    <cellStyle name="Warning Text 12" xfId="1218" xr:uid="{00000000-0005-0000-0000-00006C070000}"/>
    <cellStyle name="Warning Text 13" xfId="1219" xr:uid="{00000000-0005-0000-0000-00006D070000}"/>
    <cellStyle name="Warning Text 14" xfId="1220" xr:uid="{00000000-0005-0000-0000-00006E070000}"/>
    <cellStyle name="Warning Text 15" xfId="1221" xr:uid="{00000000-0005-0000-0000-00006F070000}"/>
    <cellStyle name="Warning Text 16" xfId="1222" xr:uid="{00000000-0005-0000-0000-000070070000}"/>
    <cellStyle name="Warning Text 2" xfId="1223" xr:uid="{00000000-0005-0000-0000-000071070000}"/>
    <cellStyle name="Warning Text 2 2" xfId="1224" xr:uid="{00000000-0005-0000-0000-000072070000}"/>
    <cellStyle name="Warning Text 2 3" xfId="1915" xr:uid="{00000000-0005-0000-0000-000073070000}"/>
    <cellStyle name="Warning Text 2 4" xfId="1916" xr:uid="{00000000-0005-0000-0000-000074070000}"/>
    <cellStyle name="Warning Text 3" xfId="1225" xr:uid="{00000000-0005-0000-0000-000075070000}"/>
    <cellStyle name="Warning Text 4" xfId="1226" xr:uid="{00000000-0005-0000-0000-000076070000}"/>
    <cellStyle name="Warning Text 5" xfId="1227" xr:uid="{00000000-0005-0000-0000-000077070000}"/>
    <cellStyle name="Warning Text 6" xfId="1228" xr:uid="{00000000-0005-0000-0000-000078070000}"/>
    <cellStyle name="Warning Text 7" xfId="1229" xr:uid="{00000000-0005-0000-0000-000079070000}"/>
    <cellStyle name="Warning Text 8" xfId="1230" xr:uid="{00000000-0005-0000-0000-00007A070000}"/>
    <cellStyle name="Warning Text 9" xfId="1231" xr:uid="{00000000-0005-0000-0000-00007B070000}"/>
    <cellStyle name="సాధారణ_Copy of Model estimate-Basnapally--07-05-06-Final" xfId="96" xr:uid="{00000000-0005-0000-0000-00007C0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externalLink" Target="externalLinks/externalLink2.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4</xdr:col>
      <xdr:colOff>617444</xdr:colOff>
      <xdr:row>11</xdr:row>
      <xdr:rowOff>68285</xdr:rowOff>
    </xdr:from>
    <xdr:to>
      <xdr:col>7</xdr:col>
      <xdr:colOff>88526</xdr:colOff>
      <xdr:row>19</xdr:row>
      <xdr:rowOff>144485</xdr:rowOff>
    </xdr:to>
    <xdr:sp macro="" textlink="">
      <xdr:nvSpPr>
        <xdr:cNvPr id="25399" name="Rectangle 2" descr="4_8252">
          <a:extLst>
            <a:ext uri="{FF2B5EF4-FFF2-40B4-BE49-F238E27FC236}">
              <a16:creationId xmlns:a16="http://schemas.microsoft.com/office/drawing/2014/main" id="{00000000-0008-0000-0000-000037630000}"/>
            </a:ext>
          </a:extLst>
        </xdr:cNvPr>
        <xdr:cNvSpPr>
          <a:spLocks noChangeArrowheads="1"/>
        </xdr:cNvSpPr>
      </xdr:nvSpPr>
      <xdr:spPr bwMode="auto">
        <a:xfrm>
          <a:off x="2992741" y="1889941"/>
          <a:ext cx="1286785" cy="1362075"/>
        </a:xfrm>
        <a:prstGeom prst="rect">
          <a:avLst/>
        </a:prstGeom>
        <a:blipFill dpi="0" rotWithShape="0">
          <a:blip xmlns:r="http://schemas.openxmlformats.org/officeDocument/2006/relationships" r:embed="rId1"/>
          <a:srcRect/>
          <a:stretch>
            <a:fillRect/>
          </a:stretch>
        </a:blipFill>
        <a:ln w="9525">
          <a:noFill/>
          <a:miter lim="800000"/>
          <a:headEnd/>
          <a:tailEnd/>
        </a:ln>
      </xdr:spPr>
    </xdr:sp>
    <xdr:clientData/>
  </xdr:twoCellAnchor>
  <xdr:twoCellAnchor>
    <xdr:from>
      <xdr:col>1</xdr:col>
      <xdr:colOff>266700</xdr:colOff>
      <xdr:row>6</xdr:row>
      <xdr:rowOff>21292</xdr:rowOff>
    </xdr:from>
    <xdr:to>
      <xdr:col>9</xdr:col>
      <xdr:colOff>142875</xdr:colOff>
      <xdr:row>39</xdr:row>
      <xdr:rowOff>44824</xdr:rowOff>
    </xdr:to>
    <xdr:sp macro="" textlink="">
      <xdr:nvSpPr>
        <xdr:cNvPr id="24590" name="WordArt 3">
          <a:extLst>
            <a:ext uri="{FF2B5EF4-FFF2-40B4-BE49-F238E27FC236}">
              <a16:creationId xmlns:a16="http://schemas.microsoft.com/office/drawing/2014/main" id="{00000000-0008-0000-0000-00000E600000}"/>
            </a:ext>
          </a:extLst>
        </xdr:cNvPr>
        <xdr:cNvSpPr>
          <a:spLocks noChangeArrowheads="1" noChangeShapeType="1" noTextEdit="1"/>
        </xdr:cNvSpPr>
      </xdr:nvSpPr>
      <xdr:spPr bwMode="auto">
        <a:xfrm>
          <a:off x="591671" y="984998"/>
          <a:ext cx="5916145" cy="6197973"/>
        </a:xfrm>
        <a:prstGeom prst="rect">
          <a:avLst/>
        </a:prstGeom>
      </xdr:spPr>
      <xdr:txBody>
        <a:bodyPr vertOverflow="clip" wrap="none" lIns="91440" tIns="45720" rIns="91440" bIns="45720" fromWordArt="1" anchor="t" upright="1">
          <a:prstTxWarp prst="textArchUp">
            <a:avLst>
              <a:gd name="adj" fmla="val 11207988"/>
            </a:avLst>
          </a:prstTxWarp>
        </a:bodyPr>
        <a:lstStyle/>
        <a:p>
          <a:pPr algn="ctr" rtl="0"/>
          <a:r>
            <a:rPr lang="en-US" sz="3000" u="sng" strike="noStrike" kern="10" cap="small" spc="0" baseline="0">
              <a:ln w="9525">
                <a:solidFill>
                  <a:srgbClr val="000000"/>
                </a:solidFill>
                <a:round/>
                <a:headEnd/>
                <a:tailEnd/>
              </a:ln>
              <a:solidFill>
                <a:srgbClr val="000000"/>
              </a:solidFill>
              <a:latin typeface="Times New Roman"/>
              <a:cs typeface="Times New Roman"/>
            </a:rPr>
            <a:t>GOVERNMENT OF ANDHRA PRADESH</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0</xdr:colOff>
      <xdr:row>99</xdr:row>
      <xdr:rowOff>0</xdr:rowOff>
    </xdr:from>
    <xdr:to>
      <xdr:col>4</xdr:col>
      <xdr:colOff>76200</xdr:colOff>
      <xdr:row>100</xdr:row>
      <xdr:rowOff>38101</xdr:rowOff>
    </xdr:to>
    <xdr:sp macro="" textlink="">
      <xdr:nvSpPr>
        <xdr:cNvPr id="2" name="Text Box 1">
          <a:extLst>
            <a:ext uri="{FF2B5EF4-FFF2-40B4-BE49-F238E27FC236}">
              <a16:creationId xmlns:a16="http://schemas.microsoft.com/office/drawing/2014/main" id="{00000000-0008-0000-0E00-00000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 name="Text Box 2">
          <a:extLst>
            <a:ext uri="{FF2B5EF4-FFF2-40B4-BE49-F238E27FC236}">
              <a16:creationId xmlns:a16="http://schemas.microsoft.com/office/drawing/2014/main" id="{00000000-0008-0000-0E00-00000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 name="Text Box 3">
          <a:extLst>
            <a:ext uri="{FF2B5EF4-FFF2-40B4-BE49-F238E27FC236}">
              <a16:creationId xmlns:a16="http://schemas.microsoft.com/office/drawing/2014/main" id="{00000000-0008-0000-0E00-00000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 name="Text Box 4">
          <a:extLst>
            <a:ext uri="{FF2B5EF4-FFF2-40B4-BE49-F238E27FC236}">
              <a16:creationId xmlns:a16="http://schemas.microsoft.com/office/drawing/2014/main" id="{00000000-0008-0000-0E00-00000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 name="Text Box 5">
          <a:extLst>
            <a:ext uri="{FF2B5EF4-FFF2-40B4-BE49-F238E27FC236}">
              <a16:creationId xmlns:a16="http://schemas.microsoft.com/office/drawing/2014/main" id="{00000000-0008-0000-0E00-00000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 name="Text Box 6">
          <a:extLst>
            <a:ext uri="{FF2B5EF4-FFF2-40B4-BE49-F238E27FC236}">
              <a16:creationId xmlns:a16="http://schemas.microsoft.com/office/drawing/2014/main" id="{00000000-0008-0000-0E00-00000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 name="Text Box 7">
          <a:extLst>
            <a:ext uri="{FF2B5EF4-FFF2-40B4-BE49-F238E27FC236}">
              <a16:creationId xmlns:a16="http://schemas.microsoft.com/office/drawing/2014/main" id="{00000000-0008-0000-0E00-00000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 name="Text Box 8">
          <a:extLst>
            <a:ext uri="{FF2B5EF4-FFF2-40B4-BE49-F238E27FC236}">
              <a16:creationId xmlns:a16="http://schemas.microsoft.com/office/drawing/2014/main" id="{00000000-0008-0000-0E00-00000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 name="Text Box 9">
          <a:extLst>
            <a:ext uri="{FF2B5EF4-FFF2-40B4-BE49-F238E27FC236}">
              <a16:creationId xmlns:a16="http://schemas.microsoft.com/office/drawing/2014/main" id="{00000000-0008-0000-0E00-00000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 name="Text Box 10">
          <a:extLst>
            <a:ext uri="{FF2B5EF4-FFF2-40B4-BE49-F238E27FC236}">
              <a16:creationId xmlns:a16="http://schemas.microsoft.com/office/drawing/2014/main" id="{00000000-0008-0000-0E00-00000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 name="Text Box 11">
          <a:extLst>
            <a:ext uri="{FF2B5EF4-FFF2-40B4-BE49-F238E27FC236}">
              <a16:creationId xmlns:a16="http://schemas.microsoft.com/office/drawing/2014/main" id="{00000000-0008-0000-0E00-00000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 name="Text Box 12">
          <a:extLst>
            <a:ext uri="{FF2B5EF4-FFF2-40B4-BE49-F238E27FC236}">
              <a16:creationId xmlns:a16="http://schemas.microsoft.com/office/drawing/2014/main" id="{00000000-0008-0000-0E00-00000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 name="Text Box 13">
          <a:extLst>
            <a:ext uri="{FF2B5EF4-FFF2-40B4-BE49-F238E27FC236}">
              <a16:creationId xmlns:a16="http://schemas.microsoft.com/office/drawing/2014/main" id="{00000000-0008-0000-0E00-00000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 name="Text Box 14">
          <a:extLst>
            <a:ext uri="{FF2B5EF4-FFF2-40B4-BE49-F238E27FC236}">
              <a16:creationId xmlns:a16="http://schemas.microsoft.com/office/drawing/2014/main" id="{00000000-0008-0000-0E00-00000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 name="Text Box 15">
          <a:extLst>
            <a:ext uri="{FF2B5EF4-FFF2-40B4-BE49-F238E27FC236}">
              <a16:creationId xmlns:a16="http://schemas.microsoft.com/office/drawing/2014/main" id="{00000000-0008-0000-0E00-00001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 name="Text Box 16">
          <a:extLst>
            <a:ext uri="{FF2B5EF4-FFF2-40B4-BE49-F238E27FC236}">
              <a16:creationId xmlns:a16="http://schemas.microsoft.com/office/drawing/2014/main" id="{00000000-0008-0000-0E00-00001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 name="Text Box 17">
          <a:extLst>
            <a:ext uri="{FF2B5EF4-FFF2-40B4-BE49-F238E27FC236}">
              <a16:creationId xmlns:a16="http://schemas.microsoft.com/office/drawing/2014/main" id="{00000000-0008-0000-0E00-00001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 name="Text Box 18">
          <a:extLst>
            <a:ext uri="{FF2B5EF4-FFF2-40B4-BE49-F238E27FC236}">
              <a16:creationId xmlns:a16="http://schemas.microsoft.com/office/drawing/2014/main" id="{00000000-0008-0000-0E00-00001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 name="Text Box 19">
          <a:extLst>
            <a:ext uri="{FF2B5EF4-FFF2-40B4-BE49-F238E27FC236}">
              <a16:creationId xmlns:a16="http://schemas.microsoft.com/office/drawing/2014/main" id="{00000000-0008-0000-0E00-00001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 name="Text Box 20">
          <a:extLst>
            <a:ext uri="{FF2B5EF4-FFF2-40B4-BE49-F238E27FC236}">
              <a16:creationId xmlns:a16="http://schemas.microsoft.com/office/drawing/2014/main" id="{00000000-0008-0000-0E00-00001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 name="Text Box 21">
          <a:extLst>
            <a:ext uri="{FF2B5EF4-FFF2-40B4-BE49-F238E27FC236}">
              <a16:creationId xmlns:a16="http://schemas.microsoft.com/office/drawing/2014/main" id="{00000000-0008-0000-0E00-00001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 name="Text Box 22">
          <a:extLst>
            <a:ext uri="{FF2B5EF4-FFF2-40B4-BE49-F238E27FC236}">
              <a16:creationId xmlns:a16="http://schemas.microsoft.com/office/drawing/2014/main" id="{00000000-0008-0000-0E00-00001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 name="Text Box 23">
          <a:extLst>
            <a:ext uri="{FF2B5EF4-FFF2-40B4-BE49-F238E27FC236}">
              <a16:creationId xmlns:a16="http://schemas.microsoft.com/office/drawing/2014/main" id="{00000000-0008-0000-0E00-00001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 name="Text Box 24">
          <a:extLst>
            <a:ext uri="{FF2B5EF4-FFF2-40B4-BE49-F238E27FC236}">
              <a16:creationId xmlns:a16="http://schemas.microsoft.com/office/drawing/2014/main" id="{00000000-0008-0000-0E00-00001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 name="Text Box 25">
          <a:extLst>
            <a:ext uri="{FF2B5EF4-FFF2-40B4-BE49-F238E27FC236}">
              <a16:creationId xmlns:a16="http://schemas.microsoft.com/office/drawing/2014/main" id="{00000000-0008-0000-0E00-00001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 name="Text Box 26">
          <a:extLst>
            <a:ext uri="{FF2B5EF4-FFF2-40B4-BE49-F238E27FC236}">
              <a16:creationId xmlns:a16="http://schemas.microsoft.com/office/drawing/2014/main" id="{00000000-0008-0000-0E00-00001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 name="Text Box 27">
          <a:extLst>
            <a:ext uri="{FF2B5EF4-FFF2-40B4-BE49-F238E27FC236}">
              <a16:creationId xmlns:a16="http://schemas.microsoft.com/office/drawing/2014/main" id="{00000000-0008-0000-0E00-00001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 name="Text Box 28">
          <a:extLst>
            <a:ext uri="{FF2B5EF4-FFF2-40B4-BE49-F238E27FC236}">
              <a16:creationId xmlns:a16="http://schemas.microsoft.com/office/drawing/2014/main" id="{00000000-0008-0000-0E00-00001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 name="Text Box 29">
          <a:extLst>
            <a:ext uri="{FF2B5EF4-FFF2-40B4-BE49-F238E27FC236}">
              <a16:creationId xmlns:a16="http://schemas.microsoft.com/office/drawing/2014/main" id="{00000000-0008-0000-0E00-00001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 name="Text Box 30">
          <a:extLst>
            <a:ext uri="{FF2B5EF4-FFF2-40B4-BE49-F238E27FC236}">
              <a16:creationId xmlns:a16="http://schemas.microsoft.com/office/drawing/2014/main" id="{00000000-0008-0000-0E00-00001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 name="Text Box 31">
          <a:extLst>
            <a:ext uri="{FF2B5EF4-FFF2-40B4-BE49-F238E27FC236}">
              <a16:creationId xmlns:a16="http://schemas.microsoft.com/office/drawing/2014/main" id="{00000000-0008-0000-0E00-00002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 name="Text Box 32">
          <a:extLst>
            <a:ext uri="{FF2B5EF4-FFF2-40B4-BE49-F238E27FC236}">
              <a16:creationId xmlns:a16="http://schemas.microsoft.com/office/drawing/2014/main" id="{00000000-0008-0000-0E00-00002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 name="Text Box 33">
          <a:extLst>
            <a:ext uri="{FF2B5EF4-FFF2-40B4-BE49-F238E27FC236}">
              <a16:creationId xmlns:a16="http://schemas.microsoft.com/office/drawing/2014/main" id="{00000000-0008-0000-0E00-00002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 name="Text Box 34">
          <a:extLst>
            <a:ext uri="{FF2B5EF4-FFF2-40B4-BE49-F238E27FC236}">
              <a16:creationId xmlns:a16="http://schemas.microsoft.com/office/drawing/2014/main" id="{00000000-0008-0000-0E00-00002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 name="Text Box 35">
          <a:extLst>
            <a:ext uri="{FF2B5EF4-FFF2-40B4-BE49-F238E27FC236}">
              <a16:creationId xmlns:a16="http://schemas.microsoft.com/office/drawing/2014/main" id="{00000000-0008-0000-0E00-00002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 name="Text Box 36">
          <a:extLst>
            <a:ext uri="{FF2B5EF4-FFF2-40B4-BE49-F238E27FC236}">
              <a16:creationId xmlns:a16="http://schemas.microsoft.com/office/drawing/2014/main" id="{00000000-0008-0000-0E00-00002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 name="Text Box 37">
          <a:extLst>
            <a:ext uri="{FF2B5EF4-FFF2-40B4-BE49-F238E27FC236}">
              <a16:creationId xmlns:a16="http://schemas.microsoft.com/office/drawing/2014/main" id="{00000000-0008-0000-0E00-00002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 name="Text Box 38">
          <a:extLst>
            <a:ext uri="{FF2B5EF4-FFF2-40B4-BE49-F238E27FC236}">
              <a16:creationId xmlns:a16="http://schemas.microsoft.com/office/drawing/2014/main" id="{00000000-0008-0000-0E00-00002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 name="Text Box 39">
          <a:extLst>
            <a:ext uri="{FF2B5EF4-FFF2-40B4-BE49-F238E27FC236}">
              <a16:creationId xmlns:a16="http://schemas.microsoft.com/office/drawing/2014/main" id="{00000000-0008-0000-0E00-00002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 name="Text Box 40">
          <a:extLst>
            <a:ext uri="{FF2B5EF4-FFF2-40B4-BE49-F238E27FC236}">
              <a16:creationId xmlns:a16="http://schemas.microsoft.com/office/drawing/2014/main" id="{00000000-0008-0000-0E00-00002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 name="Text Box 41">
          <a:extLst>
            <a:ext uri="{FF2B5EF4-FFF2-40B4-BE49-F238E27FC236}">
              <a16:creationId xmlns:a16="http://schemas.microsoft.com/office/drawing/2014/main" id="{00000000-0008-0000-0E00-00002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 name="Text Box 42">
          <a:extLst>
            <a:ext uri="{FF2B5EF4-FFF2-40B4-BE49-F238E27FC236}">
              <a16:creationId xmlns:a16="http://schemas.microsoft.com/office/drawing/2014/main" id="{00000000-0008-0000-0E00-00002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 name="Text Box 43">
          <a:extLst>
            <a:ext uri="{FF2B5EF4-FFF2-40B4-BE49-F238E27FC236}">
              <a16:creationId xmlns:a16="http://schemas.microsoft.com/office/drawing/2014/main" id="{00000000-0008-0000-0E00-00002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 name="Text Box 44">
          <a:extLst>
            <a:ext uri="{FF2B5EF4-FFF2-40B4-BE49-F238E27FC236}">
              <a16:creationId xmlns:a16="http://schemas.microsoft.com/office/drawing/2014/main" id="{00000000-0008-0000-0E00-00002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 name="Text Box 45">
          <a:extLst>
            <a:ext uri="{FF2B5EF4-FFF2-40B4-BE49-F238E27FC236}">
              <a16:creationId xmlns:a16="http://schemas.microsoft.com/office/drawing/2014/main" id="{00000000-0008-0000-0E00-00002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 name="Text Box 46">
          <a:extLst>
            <a:ext uri="{FF2B5EF4-FFF2-40B4-BE49-F238E27FC236}">
              <a16:creationId xmlns:a16="http://schemas.microsoft.com/office/drawing/2014/main" id="{00000000-0008-0000-0E00-00002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 name="Text Box 47">
          <a:extLst>
            <a:ext uri="{FF2B5EF4-FFF2-40B4-BE49-F238E27FC236}">
              <a16:creationId xmlns:a16="http://schemas.microsoft.com/office/drawing/2014/main" id="{00000000-0008-0000-0E00-00003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 name="Text Box 48">
          <a:extLst>
            <a:ext uri="{FF2B5EF4-FFF2-40B4-BE49-F238E27FC236}">
              <a16:creationId xmlns:a16="http://schemas.microsoft.com/office/drawing/2014/main" id="{00000000-0008-0000-0E00-00003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 name="Text Box 49">
          <a:extLst>
            <a:ext uri="{FF2B5EF4-FFF2-40B4-BE49-F238E27FC236}">
              <a16:creationId xmlns:a16="http://schemas.microsoft.com/office/drawing/2014/main" id="{00000000-0008-0000-0E00-00003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 name="Text Box 50">
          <a:extLst>
            <a:ext uri="{FF2B5EF4-FFF2-40B4-BE49-F238E27FC236}">
              <a16:creationId xmlns:a16="http://schemas.microsoft.com/office/drawing/2014/main" id="{00000000-0008-0000-0E00-00003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 name="Text Box 51">
          <a:extLst>
            <a:ext uri="{FF2B5EF4-FFF2-40B4-BE49-F238E27FC236}">
              <a16:creationId xmlns:a16="http://schemas.microsoft.com/office/drawing/2014/main" id="{00000000-0008-0000-0E00-00003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 name="Text Box 52">
          <a:extLst>
            <a:ext uri="{FF2B5EF4-FFF2-40B4-BE49-F238E27FC236}">
              <a16:creationId xmlns:a16="http://schemas.microsoft.com/office/drawing/2014/main" id="{00000000-0008-0000-0E00-00003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 name="Text Box 53">
          <a:extLst>
            <a:ext uri="{FF2B5EF4-FFF2-40B4-BE49-F238E27FC236}">
              <a16:creationId xmlns:a16="http://schemas.microsoft.com/office/drawing/2014/main" id="{00000000-0008-0000-0E00-00003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 name="Text Box 54">
          <a:extLst>
            <a:ext uri="{FF2B5EF4-FFF2-40B4-BE49-F238E27FC236}">
              <a16:creationId xmlns:a16="http://schemas.microsoft.com/office/drawing/2014/main" id="{00000000-0008-0000-0E00-00003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 name="Text Box 55">
          <a:extLst>
            <a:ext uri="{FF2B5EF4-FFF2-40B4-BE49-F238E27FC236}">
              <a16:creationId xmlns:a16="http://schemas.microsoft.com/office/drawing/2014/main" id="{00000000-0008-0000-0E00-00003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 name="Text Box 56">
          <a:extLst>
            <a:ext uri="{FF2B5EF4-FFF2-40B4-BE49-F238E27FC236}">
              <a16:creationId xmlns:a16="http://schemas.microsoft.com/office/drawing/2014/main" id="{00000000-0008-0000-0E00-00003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 name="Text Box 57">
          <a:extLst>
            <a:ext uri="{FF2B5EF4-FFF2-40B4-BE49-F238E27FC236}">
              <a16:creationId xmlns:a16="http://schemas.microsoft.com/office/drawing/2014/main" id="{00000000-0008-0000-0E00-00003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 name="Text Box 58">
          <a:extLst>
            <a:ext uri="{FF2B5EF4-FFF2-40B4-BE49-F238E27FC236}">
              <a16:creationId xmlns:a16="http://schemas.microsoft.com/office/drawing/2014/main" id="{00000000-0008-0000-0E00-00003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 name="Text Box 59">
          <a:extLst>
            <a:ext uri="{FF2B5EF4-FFF2-40B4-BE49-F238E27FC236}">
              <a16:creationId xmlns:a16="http://schemas.microsoft.com/office/drawing/2014/main" id="{00000000-0008-0000-0E00-00003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 name="Text Box 60">
          <a:extLst>
            <a:ext uri="{FF2B5EF4-FFF2-40B4-BE49-F238E27FC236}">
              <a16:creationId xmlns:a16="http://schemas.microsoft.com/office/drawing/2014/main" id="{00000000-0008-0000-0E00-00003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 name="Text Box 61">
          <a:extLst>
            <a:ext uri="{FF2B5EF4-FFF2-40B4-BE49-F238E27FC236}">
              <a16:creationId xmlns:a16="http://schemas.microsoft.com/office/drawing/2014/main" id="{00000000-0008-0000-0E00-00003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 name="Text Box 62">
          <a:extLst>
            <a:ext uri="{FF2B5EF4-FFF2-40B4-BE49-F238E27FC236}">
              <a16:creationId xmlns:a16="http://schemas.microsoft.com/office/drawing/2014/main" id="{00000000-0008-0000-0E00-00003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 name="Text Box 63">
          <a:extLst>
            <a:ext uri="{FF2B5EF4-FFF2-40B4-BE49-F238E27FC236}">
              <a16:creationId xmlns:a16="http://schemas.microsoft.com/office/drawing/2014/main" id="{00000000-0008-0000-0E00-00004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 name="Text Box 64">
          <a:extLst>
            <a:ext uri="{FF2B5EF4-FFF2-40B4-BE49-F238E27FC236}">
              <a16:creationId xmlns:a16="http://schemas.microsoft.com/office/drawing/2014/main" id="{00000000-0008-0000-0E00-00004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 name="Text Box 65">
          <a:extLst>
            <a:ext uri="{FF2B5EF4-FFF2-40B4-BE49-F238E27FC236}">
              <a16:creationId xmlns:a16="http://schemas.microsoft.com/office/drawing/2014/main" id="{00000000-0008-0000-0E00-00004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 name="Text Box 66">
          <a:extLst>
            <a:ext uri="{FF2B5EF4-FFF2-40B4-BE49-F238E27FC236}">
              <a16:creationId xmlns:a16="http://schemas.microsoft.com/office/drawing/2014/main" id="{00000000-0008-0000-0E00-00004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 name="Text Box 67">
          <a:extLst>
            <a:ext uri="{FF2B5EF4-FFF2-40B4-BE49-F238E27FC236}">
              <a16:creationId xmlns:a16="http://schemas.microsoft.com/office/drawing/2014/main" id="{00000000-0008-0000-0E00-00004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 name="Text Box 68">
          <a:extLst>
            <a:ext uri="{FF2B5EF4-FFF2-40B4-BE49-F238E27FC236}">
              <a16:creationId xmlns:a16="http://schemas.microsoft.com/office/drawing/2014/main" id="{00000000-0008-0000-0E00-00004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 name="Text Box 69">
          <a:extLst>
            <a:ext uri="{FF2B5EF4-FFF2-40B4-BE49-F238E27FC236}">
              <a16:creationId xmlns:a16="http://schemas.microsoft.com/office/drawing/2014/main" id="{00000000-0008-0000-0E00-00004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 name="Text Box 70">
          <a:extLst>
            <a:ext uri="{FF2B5EF4-FFF2-40B4-BE49-F238E27FC236}">
              <a16:creationId xmlns:a16="http://schemas.microsoft.com/office/drawing/2014/main" id="{00000000-0008-0000-0E00-00004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 name="Text Box 71">
          <a:extLst>
            <a:ext uri="{FF2B5EF4-FFF2-40B4-BE49-F238E27FC236}">
              <a16:creationId xmlns:a16="http://schemas.microsoft.com/office/drawing/2014/main" id="{00000000-0008-0000-0E00-00004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 name="Text Box 72">
          <a:extLst>
            <a:ext uri="{FF2B5EF4-FFF2-40B4-BE49-F238E27FC236}">
              <a16:creationId xmlns:a16="http://schemas.microsoft.com/office/drawing/2014/main" id="{00000000-0008-0000-0E00-00004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 name="Text Box 73">
          <a:extLst>
            <a:ext uri="{FF2B5EF4-FFF2-40B4-BE49-F238E27FC236}">
              <a16:creationId xmlns:a16="http://schemas.microsoft.com/office/drawing/2014/main" id="{00000000-0008-0000-0E00-00004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 name="Text Box 74">
          <a:extLst>
            <a:ext uri="{FF2B5EF4-FFF2-40B4-BE49-F238E27FC236}">
              <a16:creationId xmlns:a16="http://schemas.microsoft.com/office/drawing/2014/main" id="{00000000-0008-0000-0E00-00004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 name="Text Box 75">
          <a:extLst>
            <a:ext uri="{FF2B5EF4-FFF2-40B4-BE49-F238E27FC236}">
              <a16:creationId xmlns:a16="http://schemas.microsoft.com/office/drawing/2014/main" id="{00000000-0008-0000-0E00-00004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 name="Text Box 76">
          <a:extLst>
            <a:ext uri="{FF2B5EF4-FFF2-40B4-BE49-F238E27FC236}">
              <a16:creationId xmlns:a16="http://schemas.microsoft.com/office/drawing/2014/main" id="{00000000-0008-0000-0E00-00004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 name="Text Box 77">
          <a:extLst>
            <a:ext uri="{FF2B5EF4-FFF2-40B4-BE49-F238E27FC236}">
              <a16:creationId xmlns:a16="http://schemas.microsoft.com/office/drawing/2014/main" id="{00000000-0008-0000-0E00-00004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 name="Text Box 78">
          <a:extLst>
            <a:ext uri="{FF2B5EF4-FFF2-40B4-BE49-F238E27FC236}">
              <a16:creationId xmlns:a16="http://schemas.microsoft.com/office/drawing/2014/main" id="{00000000-0008-0000-0E00-00004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 name="Text Box 79">
          <a:extLst>
            <a:ext uri="{FF2B5EF4-FFF2-40B4-BE49-F238E27FC236}">
              <a16:creationId xmlns:a16="http://schemas.microsoft.com/office/drawing/2014/main" id="{00000000-0008-0000-0E00-00005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 name="Text Box 80">
          <a:extLst>
            <a:ext uri="{FF2B5EF4-FFF2-40B4-BE49-F238E27FC236}">
              <a16:creationId xmlns:a16="http://schemas.microsoft.com/office/drawing/2014/main" id="{00000000-0008-0000-0E00-00005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 name="Text Box 81">
          <a:extLst>
            <a:ext uri="{FF2B5EF4-FFF2-40B4-BE49-F238E27FC236}">
              <a16:creationId xmlns:a16="http://schemas.microsoft.com/office/drawing/2014/main" id="{00000000-0008-0000-0E00-00005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 name="Text Box 82">
          <a:extLst>
            <a:ext uri="{FF2B5EF4-FFF2-40B4-BE49-F238E27FC236}">
              <a16:creationId xmlns:a16="http://schemas.microsoft.com/office/drawing/2014/main" id="{00000000-0008-0000-0E00-00005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 name="Text Box 83">
          <a:extLst>
            <a:ext uri="{FF2B5EF4-FFF2-40B4-BE49-F238E27FC236}">
              <a16:creationId xmlns:a16="http://schemas.microsoft.com/office/drawing/2014/main" id="{00000000-0008-0000-0E00-00005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 name="Text Box 84">
          <a:extLst>
            <a:ext uri="{FF2B5EF4-FFF2-40B4-BE49-F238E27FC236}">
              <a16:creationId xmlns:a16="http://schemas.microsoft.com/office/drawing/2014/main" id="{00000000-0008-0000-0E00-00005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 name="Text Box 85">
          <a:extLst>
            <a:ext uri="{FF2B5EF4-FFF2-40B4-BE49-F238E27FC236}">
              <a16:creationId xmlns:a16="http://schemas.microsoft.com/office/drawing/2014/main" id="{00000000-0008-0000-0E00-00005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 name="Text Box 86">
          <a:extLst>
            <a:ext uri="{FF2B5EF4-FFF2-40B4-BE49-F238E27FC236}">
              <a16:creationId xmlns:a16="http://schemas.microsoft.com/office/drawing/2014/main" id="{00000000-0008-0000-0E00-00005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 name="Text Box 87">
          <a:extLst>
            <a:ext uri="{FF2B5EF4-FFF2-40B4-BE49-F238E27FC236}">
              <a16:creationId xmlns:a16="http://schemas.microsoft.com/office/drawing/2014/main" id="{00000000-0008-0000-0E00-00005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 name="Text Box 88">
          <a:extLst>
            <a:ext uri="{FF2B5EF4-FFF2-40B4-BE49-F238E27FC236}">
              <a16:creationId xmlns:a16="http://schemas.microsoft.com/office/drawing/2014/main" id="{00000000-0008-0000-0E00-00005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0" name="Text Box 89">
          <a:extLst>
            <a:ext uri="{FF2B5EF4-FFF2-40B4-BE49-F238E27FC236}">
              <a16:creationId xmlns:a16="http://schemas.microsoft.com/office/drawing/2014/main" id="{00000000-0008-0000-0E00-00005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1" name="Text Box 90">
          <a:extLst>
            <a:ext uri="{FF2B5EF4-FFF2-40B4-BE49-F238E27FC236}">
              <a16:creationId xmlns:a16="http://schemas.microsoft.com/office/drawing/2014/main" id="{00000000-0008-0000-0E00-00005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2" name="Text Box 91">
          <a:extLst>
            <a:ext uri="{FF2B5EF4-FFF2-40B4-BE49-F238E27FC236}">
              <a16:creationId xmlns:a16="http://schemas.microsoft.com/office/drawing/2014/main" id="{00000000-0008-0000-0E00-00005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3" name="Text Box 92">
          <a:extLst>
            <a:ext uri="{FF2B5EF4-FFF2-40B4-BE49-F238E27FC236}">
              <a16:creationId xmlns:a16="http://schemas.microsoft.com/office/drawing/2014/main" id="{00000000-0008-0000-0E00-00005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4" name="Text Box 93">
          <a:extLst>
            <a:ext uri="{FF2B5EF4-FFF2-40B4-BE49-F238E27FC236}">
              <a16:creationId xmlns:a16="http://schemas.microsoft.com/office/drawing/2014/main" id="{00000000-0008-0000-0E00-00005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5" name="Text Box 94">
          <a:extLst>
            <a:ext uri="{FF2B5EF4-FFF2-40B4-BE49-F238E27FC236}">
              <a16:creationId xmlns:a16="http://schemas.microsoft.com/office/drawing/2014/main" id="{00000000-0008-0000-0E00-00005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6" name="Text Box 95">
          <a:extLst>
            <a:ext uri="{FF2B5EF4-FFF2-40B4-BE49-F238E27FC236}">
              <a16:creationId xmlns:a16="http://schemas.microsoft.com/office/drawing/2014/main" id="{00000000-0008-0000-0E00-00006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7" name="Text Box 96">
          <a:extLst>
            <a:ext uri="{FF2B5EF4-FFF2-40B4-BE49-F238E27FC236}">
              <a16:creationId xmlns:a16="http://schemas.microsoft.com/office/drawing/2014/main" id="{00000000-0008-0000-0E00-00006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8" name="Text Box 97">
          <a:extLst>
            <a:ext uri="{FF2B5EF4-FFF2-40B4-BE49-F238E27FC236}">
              <a16:creationId xmlns:a16="http://schemas.microsoft.com/office/drawing/2014/main" id="{00000000-0008-0000-0E00-00006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9" name="Text Box 98">
          <a:extLst>
            <a:ext uri="{FF2B5EF4-FFF2-40B4-BE49-F238E27FC236}">
              <a16:creationId xmlns:a16="http://schemas.microsoft.com/office/drawing/2014/main" id="{00000000-0008-0000-0E00-00006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0" name="Text Box 99">
          <a:extLst>
            <a:ext uri="{FF2B5EF4-FFF2-40B4-BE49-F238E27FC236}">
              <a16:creationId xmlns:a16="http://schemas.microsoft.com/office/drawing/2014/main" id="{00000000-0008-0000-0E00-00006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1" name="Text Box 100">
          <a:extLst>
            <a:ext uri="{FF2B5EF4-FFF2-40B4-BE49-F238E27FC236}">
              <a16:creationId xmlns:a16="http://schemas.microsoft.com/office/drawing/2014/main" id="{00000000-0008-0000-0E00-00006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2" name="Text Box 101">
          <a:extLst>
            <a:ext uri="{FF2B5EF4-FFF2-40B4-BE49-F238E27FC236}">
              <a16:creationId xmlns:a16="http://schemas.microsoft.com/office/drawing/2014/main" id="{00000000-0008-0000-0E00-00006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3" name="Text Box 102">
          <a:extLst>
            <a:ext uri="{FF2B5EF4-FFF2-40B4-BE49-F238E27FC236}">
              <a16:creationId xmlns:a16="http://schemas.microsoft.com/office/drawing/2014/main" id="{00000000-0008-0000-0E00-00006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4" name="Text Box 103">
          <a:extLst>
            <a:ext uri="{FF2B5EF4-FFF2-40B4-BE49-F238E27FC236}">
              <a16:creationId xmlns:a16="http://schemas.microsoft.com/office/drawing/2014/main" id="{00000000-0008-0000-0E00-00006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5" name="Text Box 104">
          <a:extLst>
            <a:ext uri="{FF2B5EF4-FFF2-40B4-BE49-F238E27FC236}">
              <a16:creationId xmlns:a16="http://schemas.microsoft.com/office/drawing/2014/main" id="{00000000-0008-0000-0E00-00006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6" name="Text Box 105">
          <a:extLst>
            <a:ext uri="{FF2B5EF4-FFF2-40B4-BE49-F238E27FC236}">
              <a16:creationId xmlns:a16="http://schemas.microsoft.com/office/drawing/2014/main" id="{00000000-0008-0000-0E00-00006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7" name="Text Box 106">
          <a:extLst>
            <a:ext uri="{FF2B5EF4-FFF2-40B4-BE49-F238E27FC236}">
              <a16:creationId xmlns:a16="http://schemas.microsoft.com/office/drawing/2014/main" id="{00000000-0008-0000-0E00-00006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8" name="Text Box 107">
          <a:extLst>
            <a:ext uri="{FF2B5EF4-FFF2-40B4-BE49-F238E27FC236}">
              <a16:creationId xmlns:a16="http://schemas.microsoft.com/office/drawing/2014/main" id="{00000000-0008-0000-0E00-00006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09" name="Text Box 108">
          <a:extLst>
            <a:ext uri="{FF2B5EF4-FFF2-40B4-BE49-F238E27FC236}">
              <a16:creationId xmlns:a16="http://schemas.microsoft.com/office/drawing/2014/main" id="{00000000-0008-0000-0E00-00006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0" name="Text Box 109">
          <a:extLst>
            <a:ext uri="{FF2B5EF4-FFF2-40B4-BE49-F238E27FC236}">
              <a16:creationId xmlns:a16="http://schemas.microsoft.com/office/drawing/2014/main" id="{00000000-0008-0000-0E00-00006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1" name="Text Box 110">
          <a:extLst>
            <a:ext uri="{FF2B5EF4-FFF2-40B4-BE49-F238E27FC236}">
              <a16:creationId xmlns:a16="http://schemas.microsoft.com/office/drawing/2014/main" id="{00000000-0008-0000-0E00-00006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2" name="Text Box 111">
          <a:extLst>
            <a:ext uri="{FF2B5EF4-FFF2-40B4-BE49-F238E27FC236}">
              <a16:creationId xmlns:a16="http://schemas.microsoft.com/office/drawing/2014/main" id="{00000000-0008-0000-0E00-00007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3" name="Text Box 112">
          <a:extLst>
            <a:ext uri="{FF2B5EF4-FFF2-40B4-BE49-F238E27FC236}">
              <a16:creationId xmlns:a16="http://schemas.microsoft.com/office/drawing/2014/main" id="{00000000-0008-0000-0E00-00007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4" name="Text Box 113">
          <a:extLst>
            <a:ext uri="{FF2B5EF4-FFF2-40B4-BE49-F238E27FC236}">
              <a16:creationId xmlns:a16="http://schemas.microsoft.com/office/drawing/2014/main" id="{00000000-0008-0000-0E00-00007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5" name="Text Box 114">
          <a:extLst>
            <a:ext uri="{FF2B5EF4-FFF2-40B4-BE49-F238E27FC236}">
              <a16:creationId xmlns:a16="http://schemas.microsoft.com/office/drawing/2014/main" id="{00000000-0008-0000-0E00-00007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6" name="Text Box 115">
          <a:extLst>
            <a:ext uri="{FF2B5EF4-FFF2-40B4-BE49-F238E27FC236}">
              <a16:creationId xmlns:a16="http://schemas.microsoft.com/office/drawing/2014/main" id="{00000000-0008-0000-0E00-00007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7" name="Text Box 116">
          <a:extLst>
            <a:ext uri="{FF2B5EF4-FFF2-40B4-BE49-F238E27FC236}">
              <a16:creationId xmlns:a16="http://schemas.microsoft.com/office/drawing/2014/main" id="{00000000-0008-0000-0E00-00007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8" name="Text Box 117">
          <a:extLst>
            <a:ext uri="{FF2B5EF4-FFF2-40B4-BE49-F238E27FC236}">
              <a16:creationId xmlns:a16="http://schemas.microsoft.com/office/drawing/2014/main" id="{00000000-0008-0000-0E00-00007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19" name="Text Box 118">
          <a:extLst>
            <a:ext uri="{FF2B5EF4-FFF2-40B4-BE49-F238E27FC236}">
              <a16:creationId xmlns:a16="http://schemas.microsoft.com/office/drawing/2014/main" id="{00000000-0008-0000-0E00-00007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0" name="Text Box 119">
          <a:extLst>
            <a:ext uri="{FF2B5EF4-FFF2-40B4-BE49-F238E27FC236}">
              <a16:creationId xmlns:a16="http://schemas.microsoft.com/office/drawing/2014/main" id="{00000000-0008-0000-0E00-00007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1" name="Text Box 120">
          <a:extLst>
            <a:ext uri="{FF2B5EF4-FFF2-40B4-BE49-F238E27FC236}">
              <a16:creationId xmlns:a16="http://schemas.microsoft.com/office/drawing/2014/main" id="{00000000-0008-0000-0E00-00007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2" name="Text Box 121">
          <a:extLst>
            <a:ext uri="{FF2B5EF4-FFF2-40B4-BE49-F238E27FC236}">
              <a16:creationId xmlns:a16="http://schemas.microsoft.com/office/drawing/2014/main" id="{00000000-0008-0000-0E00-00007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3" name="Text Box 122">
          <a:extLst>
            <a:ext uri="{FF2B5EF4-FFF2-40B4-BE49-F238E27FC236}">
              <a16:creationId xmlns:a16="http://schemas.microsoft.com/office/drawing/2014/main" id="{00000000-0008-0000-0E00-00007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4" name="Text Box 123">
          <a:extLst>
            <a:ext uri="{FF2B5EF4-FFF2-40B4-BE49-F238E27FC236}">
              <a16:creationId xmlns:a16="http://schemas.microsoft.com/office/drawing/2014/main" id="{00000000-0008-0000-0E00-00007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5" name="Text Box 124">
          <a:extLst>
            <a:ext uri="{FF2B5EF4-FFF2-40B4-BE49-F238E27FC236}">
              <a16:creationId xmlns:a16="http://schemas.microsoft.com/office/drawing/2014/main" id="{00000000-0008-0000-0E00-00007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6" name="Text Box 125">
          <a:extLst>
            <a:ext uri="{FF2B5EF4-FFF2-40B4-BE49-F238E27FC236}">
              <a16:creationId xmlns:a16="http://schemas.microsoft.com/office/drawing/2014/main" id="{00000000-0008-0000-0E00-00007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7" name="Text Box 126">
          <a:extLst>
            <a:ext uri="{FF2B5EF4-FFF2-40B4-BE49-F238E27FC236}">
              <a16:creationId xmlns:a16="http://schemas.microsoft.com/office/drawing/2014/main" id="{00000000-0008-0000-0E00-00007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8" name="Text Box 127">
          <a:extLst>
            <a:ext uri="{FF2B5EF4-FFF2-40B4-BE49-F238E27FC236}">
              <a16:creationId xmlns:a16="http://schemas.microsoft.com/office/drawing/2014/main" id="{00000000-0008-0000-0E00-00008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29" name="Text Box 128">
          <a:extLst>
            <a:ext uri="{FF2B5EF4-FFF2-40B4-BE49-F238E27FC236}">
              <a16:creationId xmlns:a16="http://schemas.microsoft.com/office/drawing/2014/main" id="{00000000-0008-0000-0E00-00008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0" name="Text Box 129">
          <a:extLst>
            <a:ext uri="{FF2B5EF4-FFF2-40B4-BE49-F238E27FC236}">
              <a16:creationId xmlns:a16="http://schemas.microsoft.com/office/drawing/2014/main" id="{00000000-0008-0000-0E00-00008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1" name="Text Box 130">
          <a:extLst>
            <a:ext uri="{FF2B5EF4-FFF2-40B4-BE49-F238E27FC236}">
              <a16:creationId xmlns:a16="http://schemas.microsoft.com/office/drawing/2014/main" id="{00000000-0008-0000-0E00-00008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2" name="Text Box 131">
          <a:extLst>
            <a:ext uri="{FF2B5EF4-FFF2-40B4-BE49-F238E27FC236}">
              <a16:creationId xmlns:a16="http://schemas.microsoft.com/office/drawing/2014/main" id="{00000000-0008-0000-0E00-00008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3" name="Text Box 132">
          <a:extLst>
            <a:ext uri="{FF2B5EF4-FFF2-40B4-BE49-F238E27FC236}">
              <a16:creationId xmlns:a16="http://schemas.microsoft.com/office/drawing/2014/main" id="{00000000-0008-0000-0E00-00008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4" name="Text Box 133">
          <a:extLst>
            <a:ext uri="{FF2B5EF4-FFF2-40B4-BE49-F238E27FC236}">
              <a16:creationId xmlns:a16="http://schemas.microsoft.com/office/drawing/2014/main" id="{00000000-0008-0000-0E00-00008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5" name="Text Box 134">
          <a:extLst>
            <a:ext uri="{FF2B5EF4-FFF2-40B4-BE49-F238E27FC236}">
              <a16:creationId xmlns:a16="http://schemas.microsoft.com/office/drawing/2014/main" id="{00000000-0008-0000-0E00-00008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6" name="Text Box 135">
          <a:extLst>
            <a:ext uri="{FF2B5EF4-FFF2-40B4-BE49-F238E27FC236}">
              <a16:creationId xmlns:a16="http://schemas.microsoft.com/office/drawing/2014/main" id="{00000000-0008-0000-0E00-00008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7" name="Text Box 136">
          <a:extLst>
            <a:ext uri="{FF2B5EF4-FFF2-40B4-BE49-F238E27FC236}">
              <a16:creationId xmlns:a16="http://schemas.microsoft.com/office/drawing/2014/main" id="{00000000-0008-0000-0E00-00008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8" name="Text Box 137">
          <a:extLst>
            <a:ext uri="{FF2B5EF4-FFF2-40B4-BE49-F238E27FC236}">
              <a16:creationId xmlns:a16="http://schemas.microsoft.com/office/drawing/2014/main" id="{00000000-0008-0000-0E00-00008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39" name="Text Box 138">
          <a:extLst>
            <a:ext uri="{FF2B5EF4-FFF2-40B4-BE49-F238E27FC236}">
              <a16:creationId xmlns:a16="http://schemas.microsoft.com/office/drawing/2014/main" id="{00000000-0008-0000-0E00-00008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0" name="Text Box 139">
          <a:extLst>
            <a:ext uri="{FF2B5EF4-FFF2-40B4-BE49-F238E27FC236}">
              <a16:creationId xmlns:a16="http://schemas.microsoft.com/office/drawing/2014/main" id="{00000000-0008-0000-0E00-00008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1" name="Text Box 140">
          <a:extLst>
            <a:ext uri="{FF2B5EF4-FFF2-40B4-BE49-F238E27FC236}">
              <a16:creationId xmlns:a16="http://schemas.microsoft.com/office/drawing/2014/main" id="{00000000-0008-0000-0E00-00008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2" name="Text Box 141">
          <a:extLst>
            <a:ext uri="{FF2B5EF4-FFF2-40B4-BE49-F238E27FC236}">
              <a16:creationId xmlns:a16="http://schemas.microsoft.com/office/drawing/2014/main" id="{00000000-0008-0000-0E00-00008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3" name="Text Box 142">
          <a:extLst>
            <a:ext uri="{FF2B5EF4-FFF2-40B4-BE49-F238E27FC236}">
              <a16:creationId xmlns:a16="http://schemas.microsoft.com/office/drawing/2014/main" id="{00000000-0008-0000-0E00-00008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4" name="Text Box 143">
          <a:extLst>
            <a:ext uri="{FF2B5EF4-FFF2-40B4-BE49-F238E27FC236}">
              <a16:creationId xmlns:a16="http://schemas.microsoft.com/office/drawing/2014/main" id="{00000000-0008-0000-0E00-00009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5" name="Text Box 144">
          <a:extLst>
            <a:ext uri="{FF2B5EF4-FFF2-40B4-BE49-F238E27FC236}">
              <a16:creationId xmlns:a16="http://schemas.microsoft.com/office/drawing/2014/main" id="{00000000-0008-0000-0E00-00009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6" name="Text Box 145">
          <a:extLst>
            <a:ext uri="{FF2B5EF4-FFF2-40B4-BE49-F238E27FC236}">
              <a16:creationId xmlns:a16="http://schemas.microsoft.com/office/drawing/2014/main" id="{00000000-0008-0000-0E00-00009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7" name="Text Box 146">
          <a:extLst>
            <a:ext uri="{FF2B5EF4-FFF2-40B4-BE49-F238E27FC236}">
              <a16:creationId xmlns:a16="http://schemas.microsoft.com/office/drawing/2014/main" id="{00000000-0008-0000-0E00-00009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8" name="Text Box 147">
          <a:extLst>
            <a:ext uri="{FF2B5EF4-FFF2-40B4-BE49-F238E27FC236}">
              <a16:creationId xmlns:a16="http://schemas.microsoft.com/office/drawing/2014/main" id="{00000000-0008-0000-0E00-00009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49" name="Text Box 148">
          <a:extLst>
            <a:ext uri="{FF2B5EF4-FFF2-40B4-BE49-F238E27FC236}">
              <a16:creationId xmlns:a16="http://schemas.microsoft.com/office/drawing/2014/main" id="{00000000-0008-0000-0E00-00009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0" name="Text Box 149">
          <a:extLst>
            <a:ext uri="{FF2B5EF4-FFF2-40B4-BE49-F238E27FC236}">
              <a16:creationId xmlns:a16="http://schemas.microsoft.com/office/drawing/2014/main" id="{00000000-0008-0000-0E00-00009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1" name="Text Box 150">
          <a:extLst>
            <a:ext uri="{FF2B5EF4-FFF2-40B4-BE49-F238E27FC236}">
              <a16:creationId xmlns:a16="http://schemas.microsoft.com/office/drawing/2014/main" id="{00000000-0008-0000-0E00-00009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2" name="Text Box 151">
          <a:extLst>
            <a:ext uri="{FF2B5EF4-FFF2-40B4-BE49-F238E27FC236}">
              <a16:creationId xmlns:a16="http://schemas.microsoft.com/office/drawing/2014/main" id="{00000000-0008-0000-0E00-00009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3" name="Text Box 152">
          <a:extLst>
            <a:ext uri="{FF2B5EF4-FFF2-40B4-BE49-F238E27FC236}">
              <a16:creationId xmlns:a16="http://schemas.microsoft.com/office/drawing/2014/main" id="{00000000-0008-0000-0E00-00009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4" name="Text Box 153">
          <a:extLst>
            <a:ext uri="{FF2B5EF4-FFF2-40B4-BE49-F238E27FC236}">
              <a16:creationId xmlns:a16="http://schemas.microsoft.com/office/drawing/2014/main" id="{00000000-0008-0000-0E00-00009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5" name="Text Box 154">
          <a:extLst>
            <a:ext uri="{FF2B5EF4-FFF2-40B4-BE49-F238E27FC236}">
              <a16:creationId xmlns:a16="http://schemas.microsoft.com/office/drawing/2014/main" id="{00000000-0008-0000-0E00-00009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6" name="Text Box 155">
          <a:extLst>
            <a:ext uri="{FF2B5EF4-FFF2-40B4-BE49-F238E27FC236}">
              <a16:creationId xmlns:a16="http://schemas.microsoft.com/office/drawing/2014/main" id="{00000000-0008-0000-0E00-00009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7" name="Text Box 156">
          <a:extLst>
            <a:ext uri="{FF2B5EF4-FFF2-40B4-BE49-F238E27FC236}">
              <a16:creationId xmlns:a16="http://schemas.microsoft.com/office/drawing/2014/main" id="{00000000-0008-0000-0E00-00009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8" name="Text Box 157">
          <a:extLst>
            <a:ext uri="{FF2B5EF4-FFF2-40B4-BE49-F238E27FC236}">
              <a16:creationId xmlns:a16="http://schemas.microsoft.com/office/drawing/2014/main" id="{00000000-0008-0000-0E00-00009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59" name="Text Box 158">
          <a:extLst>
            <a:ext uri="{FF2B5EF4-FFF2-40B4-BE49-F238E27FC236}">
              <a16:creationId xmlns:a16="http://schemas.microsoft.com/office/drawing/2014/main" id="{00000000-0008-0000-0E00-00009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0" name="Text Box 159">
          <a:extLst>
            <a:ext uri="{FF2B5EF4-FFF2-40B4-BE49-F238E27FC236}">
              <a16:creationId xmlns:a16="http://schemas.microsoft.com/office/drawing/2014/main" id="{00000000-0008-0000-0E00-0000A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1" name="Text Box 160">
          <a:extLst>
            <a:ext uri="{FF2B5EF4-FFF2-40B4-BE49-F238E27FC236}">
              <a16:creationId xmlns:a16="http://schemas.microsoft.com/office/drawing/2014/main" id="{00000000-0008-0000-0E00-0000A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2" name="Text Box 161">
          <a:extLst>
            <a:ext uri="{FF2B5EF4-FFF2-40B4-BE49-F238E27FC236}">
              <a16:creationId xmlns:a16="http://schemas.microsoft.com/office/drawing/2014/main" id="{00000000-0008-0000-0E00-0000A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3" name="Text Box 162">
          <a:extLst>
            <a:ext uri="{FF2B5EF4-FFF2-40B4-BE49-F238E27FC236}">
              <a16:creationId xmlns:a16="http://schemas.microsoft.com/office/drawing/2014/main" id="{00000000-0008-0000-0E00-0000A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4" name="Text Box 163">
          <a:extLst>
            <a:ext uri="{FF2B5EF4-FFF2-40B4-BE49-F238E27FC236}">
              <a16:creationId xmlns:a16="http://schemas.microsoft.com/office/drawing/2014/main" id="{00000000-0008-0000-0E00-0000A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5" name="Text Box 164">
          <a:extLst>
            <a:ext uri="{FF2B5EF4-FFF2-40B4-BE49-F238E27FC236}">
              <a16:creationId xmlns:a16="http://schemas.microsoft.com/office/drawing/2014/main" id="{00000000-0008-0000-0E00-0000A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6" name="Text Box 165">
          <a:extLst>
            <a:ext uri="{FF2B5EF4-FFF2-40B4-BE49-F238E27FC236}">
              <a16:creationId xmlns:a16="http://schemas.microsoft.com/office/drawing/2014/main" id="{00000000-0008-0000-0E00-0000A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7" name="Text Box 166">
          <a:extLst>
            <a:ext uri="{FF2B5EF4-FFF2-40B4-BE49-F238E27FC236}">
              <a16:creationId xmlns:a16="http://schemas.microsoft.com/office/drawing/2014/main" id="{00000000-0008-0000-0E00-0000A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8" name="Text Box 167">
          <a:extLst>
            <a:ext uri="{FF2B5EF4-FFF2-40B4-BE49-F238E27FC236}">
              <a16:creationId xmlns:a16="http://schemas.microsoft.com/office/drawing/2014/main" id="{00000000-0008-0000-0E00-0000A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69" name="Text Box 168">
          <a:extLst>
            <a:ext uri="{FF2B5EF4-FFF2-40B4-BE49-F238E27FC236}">
              <a16:creationId xmlns:a16="http://schemas.microsoft.com/office/drawing/2014/main" id="{00000000-0008-0000-0E00-0000A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0" name="Text Box 169">
          <a:extLst>
            <a:ext uri="{FF2B5EF4-FFF2-40B4-BE49-F238E27FC236}">
              <a16:creationId xmlns:a16="http://schemas.microsoft.com/office/drawing/2014/main" id="{00000000-0008-0000-0E00-0000A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1" name="Text Box 170">
          <a:extLst>
            <a:ext uri="{FF2B5EF4-FFF2-40B4-BE49-F238E27FC236}">
              <a16:creationId xmlns:a16="http://schemas.microsoft.com/office/drawing/2014/main" id="{00000000-0008-0000-0E00-0000A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2" name="Text Box 171">
          <a:extLst>
            <a:ext uri="{FF2B5EF4-FFF2-40B4-BE49-F238E27FC236}">
              <a16:creationId xmlns:a16="http://schemas.microsoft.com/office/drawing/2014/main" id="{00000000-0008-0000-0E00-0000A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3" name="Text Box 172">
          <a:extLst>
            <a:ext uri="{FF2B5EF4-FFF2-40B4-BE49-F238E27FC236}">
              <a16:creationId xmlns:a16="http://schemas.microsoft.com/office/drawing/2014/main" id="{00000000-0008-0000-0E00-0000A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4" name="Text Box 173">
          <a:extLst>
            <a:ext uri="{FF2B5EF4-FFF2-40B4-BE49-F238E27FC236}">
              <a16:creationId xmlns:a16="http://schemas.microsoft.com/office/drawing/2014/main" id="{00000000-0008-0000-0E00-0000A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5" name="Text Box 174">
          <a:extLst>
            <a:ext uri="{FF2B5EF4-FFF2-40B4-BE49-F238E27FC236}">
              <a16:creationId xmlns:a16="http://schemas.microsoft.com/office/drawing/2014/main" id="{00000000-0008-0000-0E00-0000A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6" name="Text Box 175">
          <a:extLst>
            <a:ext uri="{FF2B5EF4-FFF2-40B4-BE49-F238E27FC236}">
              <a16:creationId xmlns:a16="http://schemas.microsoft.com/office/drawing/2014/main" id="{00000000-0008-0000-0E00-0000B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7" name="Text Box 176">
          <a:extLst>
            <a:ext uri="{FF2B5EF4-FFF2-40B4-BE49-F238E27FC236}">
              <a16:creationId xmlns:a16="http://schemas.microsoft.com/office/drawing/2014/main" id="{00000000-0008-0000-0E00-0000B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8" name="Text Box 177">
          <a:extLst>
            <a:ext uri="{FF2B5EF4-FFF2-40B4-BE49-F238E27FC236}">
              <a16:creationId xmlns:a16="http://schemas.microsoft.com/office/drawing/2014/main" id="{00000000-0008-0000-0E00-0000B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79" name="Text Box 178">
          <a:extLst>
            <a:ext uri="{FF2B5EF4-FFF2-40B4-BE49-F238E27FC236}">
              <a16:creationId xmlns:a16="http://schemas.microsoft.com/office/drawing/2014/main" id="{00000000-0008-0000-0E00-0000B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0" name="Text Box 179">
          <a:extLst>
            <a:ext uri="{FF2B5EF4-FFF2-40B4-BE49-F238E27FC236}">
              <a16:creationId xmlns:a16="http://schemas.microsoft.com/office/drawing/2014/main" id="{00000000-0008-0000-0E00-0000B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1" name="Text Box 180">
          <a:extLst>
            <a:ext uri="{FF2B5EF4-FFF2-40B4-BE49-F238E27FC236}">
              <a16:creationId xmlns:a16="http://schemas.microsoft.com/office/drawing/2014/main" id="{00000000-0008-0000-0E00-0000B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2" name="Text Box 181">
          <a:extLst>
            <a:ext uri="{FF2B5EF4-FFF2-40B4-BE49-F238E27FC236}">
              <a16:creationId xmlns:a16="http://schemas.microsoft.com/office/drawing/2014/main" id="{00000000-0008-0000-0E00-0000B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3" name="Text Box 182">
          <a:extLst>
            <a:ext uri="{FF2B5EF4-FFF2-40B4-BE49-F238E27FC236}">
              <a16:creationId xmlns:a16="http://schemas.microsoft.com/office/drawing/2014/main" id="{00000000-0008-0000-0E00-0000B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4" name="Text Box 183">
          <a:extLst>
            <a:ext uri="{FF2B5EF4-FFF2-40B4-BE49-F238E27FC236}">
              <a16:creationId xmlns:a16="http://schemas.microsoft.com/office/drawing/2014/main" id="{00000000-0008-0000-0E00-0000B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5" name="Text Box 184">
          <a:extLst>
            <a:ext uri="{FF2B5EF4-FFF2-40B4-BE49-F238E27FC236}">
              <a16:creationId xmlns:a16="http://schemas.microsoft.com/office/drawing/2014/main" id="{00000000-0008-0000-0E00-0000B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6" name="Text Box 185">
          <a:extLst>
            <a:ext uri="{FF2B5EF4-FFF2-40B4-BE49-F238E27FC236}">
              <a16:creationId xmlns:a16="http://schemas.microsoft.com/office/drawing/2014/main" id="{00000000-0008-0000-0E00-0000B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7" name="Text Box 186">
          <a:extLst>
            <a:ext uri="{FF2B5EF4-FFF2-40B4-BE49-F238E27FC236}">
              <a16:creationId xmlns:a16="http://schemas.microsoft.com/office/drawing/2014/main" id="{00000000-0008-0000-0E00-0000B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8" name="Text Box 187">
          <a:extLst>
            <a:ext uri="{FF2B5EF4-FFF2-40B4-BE49-F238E27FC236}">
              <a16:creationId xmlns:a16="http://schemas.microsoft.com/office/drawing/2014/main" id="{00000000-0008-0000-0E00-0000B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89" name="Text Box 188">
          <a:extLst>
            <a:ext uri="{FF2B5EF4-FFF2-40B4-BE49-F238E27FC236}">
              <a16:creationId xmlns:a16="http://schemas.microsoft.com/office/drawing/2014/main" id="{00000000-0008-0000-0E00-0000B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0" name="Text Box 189">
          <a:extLst>
            <a:ext uri="{FF2B5EF4-FFF2-40B4-BE49-F238E27FC236}">
              <a16:creationId xmlns:a16="http://schemas.microsoft.com/office/drawing/2014/main" id="{00000000-0008-0000-0E00-0000B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1" name="Text Box 190">
          <a:extLst>
            <a:ext uri="{FF2B5EF4-FFF2-40B4-BE49-F238E27FC236}">
              <a16:creationId xmlns:a16="http://schemas.microsoft.com/office/drawing/2014/main" id="{00000000-0008-0000-0E00-0000B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2" name="Text Box 191">
          <a:extLst>
            <a:ext uri="{FF2B5EF4-FFF2-40B4-BE49-F238E27FC236}">
              <a16:creationId xmlns:a16="http://schemas.microsoft.com/office/drawing/2014/main" id="{00000000-0008-0000-0E00-0000C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3" name="Text Box 192">
          <a:extLst>
            <a:ext uri="{FF2B5EF4-FFF2-40B4-BE49-F238E27FC236}">
              <a16:creationId xmlns:a16="http://schemas.microsoft.com/office/drawing/2014/main" id="{00000000-0008-0000-0E00-0000C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4" name="Text Box 193">
          <a:extLst>
            <a:ext uri="{FF2B5EF4-FFF2-40B4-BE49-F238E27FC236}">
              <a16:creationId xmlns:a16="http://schemas.microsoft.com/office/drawing/2014/main" id="{00000000-0008-0000-0E00-0000C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5" name="Text Box 194">
          <a:extLst>
            <a:ext uri="{FF2B5EF4-FFF2-40B4-BE49-F238E27FC236}">
              <a16:creationId xmlns:a16="http://schemas.microsoft.com/office/drawing/2014/main" id="{00000000-0008-0000-0E00-0000C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6" name="Text Box 195">
          <a:extLst>
            <a:ext uri="{FF2B5EF4-FFF2-40B4-BE49-F238E27FC236}">
              <a16:creationId xmlns:a16="http://schemas.microsoft.com/office/drawing/2014/main" id="{00000000-0008-0000-0E00-0000C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7" name="Text Box 196">
          <a:extLst>
            <a:ext uri="{FF2B5EF4-FFF2-40B4-BE49-F238E27FC236}">
              <a16:creationId xmlns:a16="http://schemas.microsoft.com/office/drawing/2014/main" id="{00000000-0008-0000-0E00-0000C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8" name="Text Box 197">
          <a:extLst>
            <a:ext uri="{FF2B5EF4-FFF2-40B4-BE49-F238E27FC236}">
              <a16:creationId xmlns:a16="http://schemas.microsoft.com/office/drawing/2014/main" id="{00000000-0008-0000-0E00-0000C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199" name="Text Box 198">
          <a:extLst>
            <a:ext uri="{FF2B5EF4-FFF2-40B4-BE49-F238E27FC236}">
              <a16:creationId xmlns:a16="http://schemas.microsoft.com/office/drawing/2014/main" id="{00000000-0008-0000-0E00-0000C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0" name="Text Box 199">
          <a:extLst>
            <a:ext uri="{FF2B5EF4-FFF2-40B4-BE49-F238E27FC236}">
              <a16:creationId xmlns:a16="http://schemas.microsoft.com/office/drawing/2014/main" id="{00000000-0008-0000-0E00-0000C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1" name="Text Box 200">
          <a:extLst>
            <a:ext uri="{FF2B5EF4-FFF2-40B4-BE49-F238E27FC236}">
              <a16:creationId xmlns:a16="http://schemas.microsoft.com/office/drawing/2014/main" id="{00000000-0008-0000-0E00-0000C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2" name="Text Box 201">
          <a:extLst>
            <a:ext uri="{FF2B5EF4-FFF2-40B4-BE49-F238E27FC236}">
              <a16:creationId xmlns:a16="http://schemas.microsoft.com/office/drawing/2014/main" id="{00000000-0008-0000-0E00-0000C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3" name="Text Box 202">
          <a:extLst>
            <a:ext uri="{FF2B5EF4-FFF2-40B4-BE49-F238E27FC236}">
              <a16:creationId xmlns:a16="http://schemas.microsoft.com/office/drawing/2014/main" id="{00000000-0008-0000-0E00-0000C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4" name="Text Box 203">
          <a:extLst>
            <a:ext uri="{FF2B5EF4-FFF2-40B4-BE49-F238E27FC236}">
              <a16:creationId xmlns:a16="http://schemas.microsoft.com/office/drawing/2014/main" id="{00000000-0008-0000-0E00-0000C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5" name="Text Box 204">
          <a:extLst>
            <a:ext uri="{FF2B5EF4-FFF2-40B4-BE49-F238E27FC236}">
              <a16:creationId xmlns:a16="http://schemas.microsoft.com/office/drawing/2014/main" id="{00000000-0008-0000-0E00-0000C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6" name="Text Box 205">
          <a:extLst>
            <a:ext uri="{FF2B5EF4-FFF2-40B4-BE49-F238E27FC236}">
              <a16:creationId xmlns:a16="http://schemas.microsoft.com/office/drawing/2014/main" id="{00000000-0008-0000-0E00-0000C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7" name="Text Box 206">
          <a:extLst>
            <a:ext uri="{FF2B5EF4-FFF2-40B4-BE49-F238E27FC236}">
              <a16:creationId xmlns:a16="http://schemas.microsoft.com/office/drawing/2014/main" id="{00000000-0008-0000-0E00-0000C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8" name="Text Box 207">
          <a:extLst>
            <a:ext uri="{FF2B5EF4-FFF2-40B4-BE49-F238E27FC236}">
              <a16:creationId xmlns:a16="http://schemas.microsoft.com/office/drawing/2014/main" id="{00000000-0008-0000-0E00-0000D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09" name="Text Box 208">
          <a:extLst>
            <a:ext uri="{FF2B5EF4-FFF2-40B4-BE49-F238E27FC236}">
              <a16:creationId xmlns:a16="http://schemas.microsoft.com/office/drawing/2014/main" id="{00000000-0008-0000-0E00-0000D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0" name="Text Box 209">
          <a:extLst>
            <a:ext uri="{FF2B5EF4-FFF2-40B4-BE49-F238E27FC236}">
              <a16:creationId xmlns:a16="http://schemas.microsoft.com/office/drawing/2014/main" id="{00000000-0008-0000-0E00-0000D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1" name="Text Box 210">
          <a:extLst>
            <a:ext uri="{FF2B5EF4-FFF2-40B4-BE49-F238E27FC236}">
              <a16:creationId xmlns:a16="http://schemas.microsoft.com/office/drawing/2014/main" id="{00000000-0008-0000-0E00-0000D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2" name="Text Box 211">
          <a:extLst>
            <a:ext uri="{FF2B5EF4-FFF2-40B4-BE49-F238E27FC236}">
              <a16:creationId xmlns:a16="http://schemas.microsoft.com/office/drawing/2014/main" id="{00000000-0008-0000-0E00-0000D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3" name="Text Box 212">
          <a:extLst>
            <a:ext uri="{FF2B5EF4-FFF2-40B4-BE49-F238E27FC236}">
              <a16:creationId xmlns:a16="http://schemas.microsoft.com/office/drawing/2014/main" id="{00000000-0008-0000-0E00-0000D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4" name="Text Box 213">
          <a:extLst>
            <a:ext uri="{FF2B5EF4-FFF2-40B4-BE49-F238E27FC236}">
              <a16:creationId xmlns:a16="http://schemas.microsoft.com/office/drawing/2014/main" id="{00000000-0008-0000-0E00-0000D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5" name="Text Box 214">
          <a:extLst>
            <a:ext uri="{FF2B5EF4-FFF2-40B4-BE49-F238E27FC236}">
              <a16:creationId xmlns:a16="http://schemas.microsoft.com/office/drawing/2014/main" id="{00000000-0008-0000-0E00-0000D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6" name="Text Box 215">
          <a:extLst>
            <a:ext uri="{FF2B5EF4-FFF2-40B4-BE49-F238E27FC236}">
              <a16:creationId xmlns:a16="http://schemas.microsoft.com/office/drawing/2014/main" id="{00000000-0008-0000-0E00-0000D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7" name="Text Box 216">
          <a:extLst>
            <a:ext uri="{FF2B5EF4-FFF2-40B4-BE49-F238E27FC236}">
              <a16:creationId xmlns:a16="http://schemas.microsoft.com/office/drawing/2014/main" id="{00000000-0008-0000-0E00-0000D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8" name="Text Box 217">
          <a:extLst>
            <a:ext uri="{FF2B5EF4-FFF2-40B4-BE49-F238E27FC236}">
              <a16:creationId xmlns:a16="http://schemas.microsoft.com/office/drawing/2014/main" id="{00000000-0008-0000-0E00-0000D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19" name="Text Box 218">
          <a:extLst>
            <a:ext uri="{FF2B5EF4-FFF2-40B4-BE49-F238E27FC236}">
              <a16:creationId xmlns:a16="http://schemas.microsoft.com/office/drawing/2014/main" id="{00000000-0008-0000-0E00-0000D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0" name="Text Box 219">
          <a:extLst>
            <a:ext uri="{FF2B5EF4-FFF2-40B4-BE49-F238E27FC236}">
              <a16:creationId xmlns:a16="http://schemas.microsoft.com/office/drawing/2014/main" id="{00000000-0008-0000-0E00-0000D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1" name="Text Box 220">
          <a:extLst>
            <a:ext uri="{FF2B5EF4-FFF2-40B4-BE49-F238E27FC236}">
              <a16:creationId xmlns:a16="http://schemas.microsoft.com/office/drawing/2014/main" id="{00000000-0008-0000-0E00-0000D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2" name="Text Box 221">
          <a:extLst>
            <a:ext uri="{FF2B5EF4-FFF2-40B4-BE49-F238E27FC236}">
              <a16:creationId xmlns:a16="http://schemas.microsoft.com/office/drawing/2014/main" id="{00000000-0008-0000-0E00-0000D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3" name="Text Box 222">
          <a:extLst>
            <a:ext uri="{FF2B5EF4-FFF2-40B4-BE49-F238E27FC236}">
              <a16:creationId xmlns:a16="http://schemas.microsoft.com/office/drawing/2014/main" id="{00000000-0008-0000-0E00-0000D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4" name="Text Box 223">
          <a:extLst>
            <a:ext uri="{FF2B5EF4-FFF2-40B4-BE49-F238E27FC236}">
              <a16:creationId xmlns:a16="http://schemas.microsoft.com/office/drawing/2014/main" id="{00000000-0008-0000-0E00-0000E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5" name="Text Box 224">
          <a:extLst>
            <a:ext uri="{FF2B5EF4-FFF2-40B4-BE49-F238E27FC236}">
              <a16:creationId xmlns:a16="http://schemas.microsoft.com/office/drawing/2014/main" id="{00000000-0008-0000-0E00-0000E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6" name="Text Box 225">
          <a:extLst>
            <a:ext uri="{FF2B5EF4-FFF2-40B4-BE49-F238E27FC236}">
              <a16:creationId xmlns:a16="http://schemas.microsoft.com/office/drawing/2014/main" id="{00000000-0008-0000-0E00-0000E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7" name="Text Box 226">
          <a:extLst>
            <a:ext uri="{FF2B5EF4-FFF2-40B4-BE49-F238E27FC236}">
              <a16:creationId xmlns:a16="http://schemas.microsoft.com/office/drawing/2014/main" id="{00000000-0008-0000-0E00-0000E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8" name="Text Box 227">
          <a:extLst>
            <a:ext uri="{FF2B5EF4-FFF2-40B4-BE49-F238E27FC236}">
              <a16:creationId xmlns:a16="http://schemas.microsoft.com/office/drawing/2014/main" id="{00000000-0008-0000-0E00-0000E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29" name="Text Box 228">
          <a:extLst>
            <a:ext uri="{FF2B5EF4-FFF2-40B4-BE49-F238E27FC236}">
              <a16:creationId xmlns:a16="http://schemas.microsoft.com/office/drawing/2014/main" id="{00000000-0008-0000-0E00-0000E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0" name="Text Box 229">
          <a:extLst>
            <a:ext uri="{FF2B5EF4-FFF2-40B4-BE49-F238E27FC236}">
              <a16:creationId xmlns:a16="http://schemas.microsoft.com/office/drawing/2014/main" id="{00000000-0008-0000-0E00-0000E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1" name="Text Box 230">
          <a:extLst>
            <a:ext uri="{FF2B5EF4-FFF2-40B4-BE49-F238E27FC236}">
              <a16:creationId xmlns:a16="http://schemas.microsoft.com/office/drawing/2014/main" id="{00000000-0008-0000-0E00-0000E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2" name="Text Box 231">
          <a:extLst>
            <a:ext uri="{FF2B5EF4-FFF2-40B4-BE49-F238E27FC236}">
              <a16:creationId xmlns:a16="http://schemas.microsoft.com/office/drawing/2014/main" id="{00000000-0008-0000-0E00-0000E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3" name="Text Box 232">
          <a:extLst>
            <a:ext uri="{FF2B5EF4-FFF2-40B4-BE49-F238E27FC236}">
              <a16:creationId xmlns:a16="http://schemas.microsoft.com/office/drawing/2014/main" id="{00000000-0008-0000-0E00-0000E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4" name="Text Box 233">
          <a:extLst>
            <a:ext uri="{FF2B5EF4-FFF2-40B4-BE49-F238E27FC236}">
              <a16:creationId xmlns:a16="http://schemas.microsoft.com/office/drawing/2014/main" id="{00000000-0008-0000-0E00-0000E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5" name="Text Box 234">
          <a:extLst>
            <a:ext uri="{FF2B5EF4-FFF2-40B4-BE49-F238E27FC236}">
              <a16:creationId xmlns:a16="http://schemas.microsoft.com/office/drawing/2014/main" id="{00000000-0008-0000-0E00-0000E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6" name="Text Box 235">
          <a:extLst>
            <a:ext uri="{FF2B5EF4-FFF2-40B4-BE49-F238E27FC236}">
              <a16:creationId xmlns:a16="http://schemas.microsoft.com/office/drawing/2014/main" id="{00000000-0008-0000-0E00-0000E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7" name="Text Box 236">
          <a:extLst>
            <a:ext uri="{FF2B5EF4-FFF2-40B4-BE49-F238E27FC236}">
              <a16:creationId xmlns:a16="http://schemas.microsoft.com/office/drawing/2014/main" id="{00000000-0008-0000-0E00-0000E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8" name="Text Box 237">
          <a:extLst>
            <a:ext uri="{FF2B5EF4-FFF2-40B4-BE49-F238E27FC236}">
              <a16:creationId xmlns:a16="http://schemas.microsoft.com/office/drawing/2014/main" id="{00000000-0008-0000-0E00-0000E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39" name="Text Box 238">
          <a:extLst>
            <a:ext uri="{FF2B5EF4-FFF2-40B4-BE49-F238E27FC236}">
              <a16:creationId xmlns:a16="http://schemas.microsoft.com/office/drawing/2014/main" id="{00000000-0008-0000-0E00-0000E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0" name="Text Box 239">
          <a:extLst>
            <a:ext uri="{FF2B5EF4-FFF2-40B4-BE49-F238E27FC236}">
              <a16:creationId xmlns:a16="http://schemas.microsoft.com/office/drawing/2014/main" id="{00000000-0008-0000-0E00-0000F0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1" name="Text Box 240">
          <a:extLst>
            <a:ext uri="{FF2B5EF4-FFF2-40B4-BE49-F238E27FC236}">
              <a16:creationId xmlns:a16="http://schemas.microsoft.com/office/drawing/2014/main" id="{00000000-0008-0000-0E00-0000F1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2" name="Text Box 241">
          <a:extLst>
            <a:ext uri="{FF2B5EF4-FFF2-40B4-BE49-F238E27FC236}">
              <a16:creationId xmlns:a16="http://schemas.microsoft.com/office/drawing/2014/main" id="{00000000-0008-0000-0E00-0000F2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3" name="Text Box 242">
          <a:extLst>
            <a:ext uri="{FF2B5EF4-FFF2-40B4-BE49-F238E27FC236}">
              <a16:creationId xmlns:a16="http://schemas.microsoft.com/office/drawing/2014/main" id="{00000000-0008-0000-0E00-0000F3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4" name="Text Box 243">
          <a:extLst>
            <a:ext uri="{FF2B5EF4-FFF2-40B4-BE49-F238E27FC236}">
              <a16:creationId xmlns:a16="http://schemas.microsoft.com/office/drawing/2014/main" id="{00000000-0008-0000-0E00-0000F4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5" name="Text Box 244">
          <a:extLst>
            <a:ext uri="{FF2B5EF4-FFF2-40B4-BE49-F238E27FC236}">
              <a16:creationId xmlns:a16="http://schemas.microsoft.com/office/drawing/2014/main" id="{00000000-0008-0000-0E00-0000F5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6" name="Text Box 245">
          <a:extLst>
            <a:ext uri="{FF2B5EF4-FFF2-40B4-BE49-F238E27FC236}">
              <a16:creationId xmlns:a16="http://schemas.microsoft.com/office/drawing/2014/main" id="{00000000-0008-0000-0E00-0000F6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7" name="Text Box 246">
          <a:extLst>
            <a:ext uri="{FF2B5EF4-FFF2-40B4-BE49-F238E27FC236}">
              <a16:creationId xmlns:a16="http://schemas.microsoft.com/office/drawing/2014/main" id="{00000000-0008-0000-0E00-0000F7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8" name="Text Box 247">
          <a:extLst>
            <a:ext uri="{FF2B5EF4-FFF2-40B4-BE49-F238E27FC236}">
              <a16:creationId xmlns:a16="http://schemas.microsoft.com/office/drawing/2014/main" id="{00000000-0008-0000-0E00-0000F8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49" name="Text Box 248">
          <a:extLst>
            <a:ext uri="{FF2B5EF4-FFF2-40B4-BE49-F238E27FC236}">
              <a16:creationId xmlns:a16="http://schemas.microsoft.com/office/drawing/2014/main" id="{00000000-0008-0000-0E00-0000F9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0" name="Text Box 249">
          <a:extLst>
            <a:ext uri="{FF2B5EF4-FFF2-40B4-BE49-F238E27FC236}">
              <a16:creationId xmlns:a16="http://schemas.microsoft.com/office/drawing/2014/main" id="{00000000-0008-0000-0E00-0000FA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1" name="Text Box 250">
          <a:extLst>
            <a:ext uri="{FF2B5EF4-FFF2-40B4-BE49-F238E27FC236}">
              <a16:creationId xmlns:a16="http://schemas.microsoft.com/office/drawing/2014/main" id="{00000000-0008-0000-0E00-0000FB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2" name="Text Box 251">
          <a:extLst>
            <a:ext uri="{FF2B5EF4-FFF2-40B4-BE49-F238E27FC236}">
              <a16:creationId xmlns:a16="http://schemas.microsoft.com/office/drawing/2014/main" id="{00000000-0008-0000-0E00-0000FC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3" name="Text Box 252">
          <a:extLst>
            <a:ext uri="{FF2B5EF4-FFF2-40B4-BE49-F238E27FC236}">
              <a16:creationId xmlns:a16="http://schemas.microsoft.com/office/drawing/2014/main" id="{00000000-0008-0000-0E00-0000FD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4" name="Text Box 253">
          <a:extLst>
            <a:ext uri="{FF2B5EF4-FFF2-40B4-BE49-F238E27FC236}">
              <a16:creationId xmlns:a16="http://schemas.microsoft.com/office/drawing/2014/main" id="{00000000-0008-0000-0E00-0000FE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5" name="Text Box 254">
          <a:extLst>
            <a:ext uri="{FF2B5EF4-FFF2-40B4-BE49-F238E27FC236}">
              <a16:creationId xmlns:a16="http://schemas.microsoft.com/office/drawing/2014/main" id="{00000000-0008-0000-0E00-0000FF00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6" name="Text Box 255">
          <a:extLst>
            <a:ext uri="{FF2B5EF4-FFF2-40B4-BE49-F238E27FC236}">
              <a16:creationId xmlns:a16="http://schemas.microsoft.com/office/drawing/2014/main" id="{00000000-0008-0000-0E00-00000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7" name="Text Box 256">
          <a:extLst>
            <a:ext uri="{FF2B5EF4-FFF2-40B4-BE49-F238E27FC236}">
              <a16:creationId xmlns:a16="http://schemas.microsoft.com/office/drawing/2014/main" id="{00000000-0008-0000-0E00-00000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8" name="Text Box 257">
          <a:extLst>
            <a:ext uri="{FF2B5EF4-FFF2-40B4-BE49-F238E27FC236}">
              <a16:creationId xmlns:a16="http://schemas.microsoft.com/office/drawing/2014/main" id="{00000000-0008-0000-0E00-00000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59" name="Text Box 258">
          <a:extLst>
            <a:ext uri="{FF2B5EF4-FFF2-40B4-BE49-F238E27FC236}">
              <a16:creationId xmlns:a16="http://schemas.microsoft.com/office/drawing/2014/main" id="{00000000-0008-0000-0E00-00000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0" name="Text Box 259">
          <a:extLst>
            <a:ext uri="{FF2B5EF4-FFF2-40B4-BE49-F238E27FC236}">
              <a16:creationId xmlns:a16="http://schemas.microsoft.com/office/drawing/2014/main" id="{00000000-0008-0000-0E00-00000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1" name="Text Box 260">
          <a:extLst>
            <a:ext uri="{FF2B5EF4-FFF2-40B4-BE49-F238E27FC236}">
              <a16:creationId xmlns:a16="http://schemas.microsoft.com/office/drawing/2014/main" id="{00000000-0008-0000-0E00-00000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2" name="Text Box 261">
          <a:extLst>
            <a:ext uri="{FF2B5EF4-FFF2-40B4-BE49-F238E27FC236}">
              <a16:creationId xmlns:a16="http://schemas.microsoft.com/office/drawing/2014/main" id="{00000000-0008-0000-0E00-00000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3" name="Text Box 262">
          <a:extLst>
            <a:ext uri="{FF2B5EF4-FFF2-40B4-BE49-F238E27FC236}">
              <a16:creationId xmlns:a16="http://schemas.microsoft.com/office/drawing/2014/main" id="{00000000-0008-0000-0E00-00000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4" name="Text Box 263">
          <a:extLst>
            <a:ext uri="{FF2B5EF4-FFF2-40B4-BE49-F238E27FC236}">
              <a16:creationId xmlns:a16="http://schemas.microsoft.com/office/drawing/2014/main" id="{00000000-0008-0000-0E00-00000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5" name="Text Box 264">
          <a:extLst>
            <a:ext uri="{FF2B5EF4-FFF2-40B4-BE49-F238E27FC236}">
              <a16:creationId xmlns:a16="http://schemas.microsoft.com/office/drawing/2014/main" id="{00000000-0008-0000-0E00-00000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6" name="Text Box 265">
          <a:extLst>
            <a:ext uri="{FF2B5EF4-FFF2-40B4-BE49-F238E27FC236}">
              <a16:creationId xmlns:a16="http://schemas.microsoft.com/office/drawing/2014/main" id="{00000000-0008-0000-0E00-00000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7" name="Text Box 266">
          <a:extLst>
            <a:ext uri="{FF2B5EF4-FFF2-40B4-BE49-F238E27FC236}">
              <a16:creationId xmlns:a16="http://schemas.microsoft.com/office/drawing/2014/main" id="{00000000-0008-0000-0E00-00000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8" name="Text Box 267">
          <a:extLst>
            <a:ext uri="{FF2B5EF4-FFF2-40B4-BE49-F238E27FC236}">
              <a16:creationId xmlns:a16="http://schemas.microsoft.com/office/drawing/2014/main" id="{00000000-0008-0000-0E00-00000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69" name="Text Box 268">
          <a:extLst>
            <a:ext uri="{FF2B5EF4-FFF2-40B4-BE49-F238E27FC236}">
              <a16:creationId xmlns:a16="http://schemas.microsoft.com/office/drawing/2014/main" id="{00000000-0008-0000-0E00-00000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0" name="Text Box 269">
          <a:extLst>
            <a:ext uri="{FF2B5EF4-FFF2-40B4-BE49-F238E27FC236}">
              <a16:creationId xmlns:a16="http://schemas.microsoft.com/office/drawing/2014/main" id="{00000000-0008-0000-0E00-00000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1" name="Text Box 270">
          <a:extLst>
            <a:ext uri="{FF2B5EF4-FFF2-40B4-BE49-F238E27FC236}">
              <a16:creationId xmlns:a16="http://schemas.microsoft.com/office/drawing/2014/main" id="{00000000-0008-0000-0E00-00000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2" name="Text Box 271">
          <a:extLst>
            <a:ext uri="{FF2B5EF4-FFF2-40B4-BE49-F238E27FC236}">
              <a16:creationId xmlns:a16="http://schemas.microsoft.com/office/drawing/2014/main" id="{00000000-0008-0000-0E00-00001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3" name="Text Box 272">
          <a:extLst>
            <a:ext uri="{FF2B5EF4-FFF2-40B4-BE49-F238E27FC236}">
              <a16:creationId xmlns:a16="http://schemas.microsoft.com/office/drawing/2014/main" id="{00000000-0008-0000-0E00-00001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4" name="Text Box 273">
          <a:extLst>
            <a:ext uri="{FF2B5EF4-FFF2-40B4-BE49-F238E27FC236}">
              <a16:creationId xmlns:a16="http://schemas.microsoft.com/office/drawing/2014/main" id="{00000000-0008-0000-0E00-00001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5" name="Text Box 274">
          <a:extLst>
            <a:ext uri="{FF2B5EF4-FFF2-40B4-BE49-F238E27FC236}">
              <a16:creationId xmlns:a16="http://schemas.microsoft.com/office/drawing/2014/main" id="{00000000-0008-0000-0E00-00001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6" name="Text Box 275">
          <a:extLst>
            <a:ext uri="{FF2B5EF4-FFF2-40B4-BE49-F238E27FC236}">
              <a16:creationId xmlns:a16="http://schemas.microsoft.com/office/drawing/2014/main" id="{00000000-0008-0000-0E00-00001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7" name="Text Box 276">
          <a:extLst>
            <a:ext uri="{FF2B5EF4-FFF2-40B4-BE49-F238E27FC236}">
              <a16:creationId xmlns:a16="http://schemas.microsoft.com/office/drawing/2014/main" id="{00000000-0008-0000-0E00-00001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8" name="Text Box 277">
          <a:extLst>
            <a:ext uri="{FF2B5EF4-FFF2-40B4-BE49-F238E27FC236}">
              <a16:creationId xmlns:a16="http://schemas.microsoft.com/office/drawing/2014/main" id="{00000000-0008-0000-0E00-00001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79" name="Text Box 278">
          <a:extLst>
            <a:ext uri="{FF2B5EF4-FFF2-40B4-BE49-F238E27FC236}">
              <a16:creationId xmlns:a16="http://schemas.microsoft.com/office/drawing/2014/main" id="{00000000-0008-0000-0E00-00001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0" name="Text Box 279">
          <a:extLst>
            <a:ext uri="{FF2B5EF4-FFF2-40B4-BE49-F238E27FC236}">
              <a16:creationId xmlns:a16="http://schemas.microsoft.com/office/drawing/2014/main" id="{00000000-0008-0000-0E00-00001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1" name="Text Box 280">
          <a:extLst>
            <a:ext uri="{FF2B5EF4-FFF2-40B4-BE49-F238E27FC236}">
              <a16:creationId xmlns:a16="http://schemas.microsoft.com/office/drawing/2014/main" id="{00000000-0008-0000-0E00-00001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2" name="Text Box 281">
          <a:extLst>
            <a:ext uri="{FF2B5EF4-FFF2-40B4-BE49-F238E27FC236}">
              <a16:creationId xmlns:a16="http://schemas.microsoft.com/office/drawing/2014/main" id="{00000000-0008-0000-0E00-00001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3" name="Text Box 282">
          <a:extLst>
            <a:ext uri="{FF2B5EF4-FFF2-40B4-BE49-F238E27FC236}">
              <a16:creationId xmlns:a16="http://schemas.microsoft.com/office/drawing/2014/main" id="{00000000-0008-0000-0E00-00001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4" name="Text Box 283">
          <a:extLst>
            <a:ext uri="{FF2B5EF4-FFF2-40B4-BE49-F238E27FC236}">
              <a16:creationId xmlns:a16="http://schemas.microsoft.com/office/drawing/2014/main" id="{00000000-0008-0000-0E00-00001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5" name="Text Box 284">
          <a:extLst>
            <a:ext uri="{FF2B5EF4-FFF2-40B4-BE49-F238E27FC236}">
              <a16:creationId xmlns:a16="http://schemas.microsoft.com/office/drawing/2014/main" id="{00000000-0008-0000-0E00-00001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6" name="Text Box 285">
          <a:extLst>
            <a:ext uri="{FF2B5EF4-FFF2-40B4-BE49-F238E27FC236}">
              <a16:creationId xmlns:a16="http://schemas.microsoft.com/office/drawing/2014/main" id="{00000000-0008-0000-0E00-00001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7" name="Text Box 286">
          <a:extLst>
            <a:ext uri="{FF2B5EF4-FFF2-40B4-BE49-F238E27FC236}">
              <a16:creationId xmlns:a16="http://schemas.microsoft.com/office/drawing/2014/main" id="{00000000-0008-0000-0E00-00001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8" name="Text Box 287">
          <a:extLst>
            <a:ext uri="{FF2B5EF4-FFF2-40B4-BE49-F238E27FC236}">
              <a16:creationId xmlns:a16="http://schemas.microsoft.com/office/drawing/2014/main" id="{00000000-0008-0000-0E00-00002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89" name="Text Box 288">
          <a:extLst>
            <a:ext uri="{FF2B5EF4-FFF2-40B4-BE49-F238E27FC236}">
              <a16:creationId xmlns:a16="http://schemas.microsoft.com/office/drawing/2014/main" id="{00000000-0008-0000-0E00-00002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0" name="Text Box 289">
          <a:extLst>
            <a:ext uri="{FF2B5EF4-FFF2-40B4-BE49-F238E27FC236}">
              <a16:creationId xmlns:a16="http://schemas.microsoft.com/office/drawing/2014/main" id="{00000000-0008-0000-0E00-00002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1" name="Text Box 290">
          <a:extLst>
            <a:ext uri="{FF2B5EF4-FFF2-40B4-BE49-F238E27FC236}">
              <a16:creationId xmlns:a16="http://schemas.microsoft.com/office/drawing/2014/main" id="{00000000-0008-0000-0E00-00002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2" name="Text Box 291">
          <a:extLst>
            <a:ext uri="{FF2B5EF4-FFF2-40B4-BE49-F238E27FC236}">
              <a16:creationId xmlns:a16="http://schemas.microsoft.com/office/drawing/2014/main" id="{00000000-0008-0000-0E00-00002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3" name="Text Box 292">
          <a:extLst>
            <a:ext uri="{FF2B5EF4-FFF2-40B4-BE49-F238E27FC236}">
              <a16:creationId xmlns:a16="http://schemas.microsoft.com/office/drawing/2014/main" id="{00000000-0008-0000-0E00-00002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4" name="Text Box 293">
          <a:extLst>
            <a:ext uri="{FF2B5EF4-FFF2-40B4-BE49-F238E27FC236}">
              <a16:creationId xmlns:a16="http://schemas.microsoft.com/office/drawing/2014/main" id="{00000000-0008-0000-0E00-00002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5" name="Text Box 294">
          <a:extLst>
            <a:ext uri="{FF2B5EF4-FFF2-40B4-BE49-F238E27FC236}">
              <a16:creationId xmlns:a16="http://schemas.microsoft.com/office/drawing/2014/main" id="{00000000-0008-0000-0E00-00002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6" name="Text Box 295">
          <a:extLst>
            <a:ext uri="{FF2B5EF4-FFF2-40B4-BE49-F238E27FC236}">
              <a16:creationId xmlns:a16="http://schemas.microsoft.com/office/drawing/2014/main" id="{00000000-0008-0000-0E00-00002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7" name="Text Box 296">
          <a:extLst>
            <a:ext uri="{FF2B5EF4-FFF2-40B4-BE49-F238E27FC236}">
              <a16:creationId xmlns:a16="http://schemas.microsoft.com/office/drawing/2014/main" id="{00000000-0008-0000-0E00-00002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8" name="Text Box 297">
          <a:extLst>
            <a:ext uri="{FF2B5EF4-FFF2-40B4-BE49-F238E27FC236}">
              <a16:creationId xmlns:a16="http://schemas.microsoft.com/office/drawing/2014/main" id="{00000000-0008-0000-0E00-00002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299" name="Text Box 298">
          <a:extLst>
            <a:ext uri="{FF2B5EF4-FFF2-40B4-BE49-F238E27FC236}">
              <a16:creationId xmlns:a16="http://schemas.microsoft.com/office/drawing/2014/main" id="{00000000-0008-0000-0E00-00002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0" name="Text Box 299">
          <a:extLst>
            <a:ext uri="{FF2B5EF4-FFF2-40B4-BE49-F238E27FC236}">
              <a16:creationId xmlns:a16="http://schemas.microsoft.com/office/drawing/2014/main" id="{00000000-0008-0000-0E00-00002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1" name="Text Box 300">
          <a:extLst>
            <a:ext uri="{FF2B5EF4-FFF2-40B4-BE49-F238E27FC236}">
              <a16:creationId xmlns:a16="http://schemas.microsoft.com/office/drawing/2014/main" id="{00000000-0008-0000-0E00-00002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2" name="Text Box 301">
          <a:extLst>
            <a:ext uri="{FF2B5EF4-FFF2-40B4-BE49-F238E27FC236}">
              <a16:creationId xmlns:a16="http://schemas.microsoft.com/office/drawing/2014/main" id="{00000000-0008-0000-0E00-00002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3" name="Text Box 302">
          <a:extLst>
            <a:ext uri="{FF2B5EF4-FFF2-40B4-BE49-F238E27FC236}">
              <a16:creationId xmlns:a16="http://schemas.microsoft.com/office/drawing/2014/main" id="{00000000-0008-0000-0E00-00002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4" name="Text Box 303">
          <a:extLst>
            <a:ext uri="{FF2B5EF4-FFF2-40B4-BE49-F238E27FC236}">
              <a16:creationId xmlns:a16="http://schemas.microsoft.com/office/drawing/2014/main" id="{00000000-0008-0000-0E00-00003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5" name="Text Box 304">
          <a:extLst>
            <a:ext uri="{FF2B5EF4-FFF2-40B4-BE49-F238E27FC236}">
              <a16:creationId xmlns:a16="http://schemas.microsoft.com/office/drawing/2014/main" id="{00000000-0008-0000-0E00-00003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6" name="Text Box 305">
          <a:extLst>
            <a:ext uri="{FF2B5EF4-FFF2-40B4-BE49-F238E27FC236}">
              <a16:creationId xmlns:a16="http://schemas.microsoft.com/office/drawing/2014/main" id="{00000000-0008-0000-0E00-00003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7" name="Text Box 306">
          <a:extLst>
            <a:ext uri="{FF2B5EF4-FFF2-40B4-BE49-F238E27FC236}">
              <a16:creationId xmlns:a16="http://schemas.microsoft.com/office/drawing/2014/main" id="{00000000-0008-0000-0E00-00003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8" name="Text Box 307">
          <a:extLst>
            <a:ext uri="{FF2B5EF4-FFF2-40B4-BE49-F238E27FC236}">
              <a16:creationId xmlns:a16="http://schemas.microsoft.com/office/drawing/2014/main" id="{00000000-0008-0000-0E00-00003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09" name="Text Box 308">
          <a:extLst>
            <a:ext uri="{FF2B5EF4-FFF2-40B4-BE49-F238E27FC236}">
              <a16:creationId xmlns:a16="http://schemas.microsoft.com/office/drawing/2014/main" id="{00000000-0008-0000-0E00-00003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0" name="Text Box 309">
          <a:extLst>
            <a:ext uri="{FF2B5EF4-FFF2-40B4-BE49-F238E27FC236}">
              <a16:creationId xmlns:a16="http://schemas.microsoft.com/office/drawing/2014/main" id="{00000000-0008-0000-0E00-00003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1" name="Text Box 310">
          <a:extLst>
            <a:ext uri="{FF2B5EF4-FFF2-40B4-BE49-F238E27FC236}">
              <a16:creationId xmlns:a16="http://schemas.microsoft.com/office/drawing/2014/main" id="{00000000-0008-0000-0E00-00003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2" name="Text Box 311">
          <a:extLst>
            <a:ext uri="{FF2B5EF4-FFF2-40B4-BE49-F238E27FC236}">
              <a16:creationId xmlns:a16="http://schemas.microsoft.com/office/drawing/2014/main" id="{00000000-0008-0000-0E00-00003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3" name="Text Box 312">
          <a:extLst>
            <a:ext uri="{FF2B5EF4-FFF2-40B4-BE49-F238E27FC236}">
              <a16:creationId xmlns:a16="http://schemas.microsoft.com/office/drawing/2014/main" id="{00000000-0008-0000-0E00-00003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4" name="Text Box 313">
          <a:extLst>
            <a:ext uri="{FF2B5EF4-FFF2-40B4-BE49-F238E27FC236}">
              <a16:creationId xmlns:a16="http://schemas.microsoft.com/office/drawing/2014/main" id="{00000000-0008-0000-0E00-00003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5" name="Text Box 314">
          <a:extLst>
            <a:ext uri="{FF2B5EF4-FFF2-40B4-BE49-F238E27FC236}">
              <a16:creationId xmlns:a16="http://schemas.microsoft.com/office/drawing/2014/main" id="{00000000-0008-0000-0E00-00003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6" name="Text Box 315">
          <a:extLst>
            <a:ext uri="{FF2B5EF4-FFF2-40B4-BE49-F238E27FC236}">
              <a16:creationId xmlns:a16="http://schemas.microsoft.com/office/drawing/2014/main" id="{00000000-0008-0000-0E00-00003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7" name="Text Box 316">
          <a:extLst>
            <a:ext uri="{FF2B5EF4-FFF2-40B4-BE49-F238E27FC236}">
              <a16:creationId xmlns:a16="http://schemas.microsoft.com/office/drawing/2014/main" id="{00000000-0008-0000-0E00-00003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8" name="Text Box 317">
          <a:extLst>
            <a:ext uri="{FF2B5EF4-FFF2-40B4-BE49-F238E27FC236}">
              <a16:creationId xmlns:a16="http://schemas.microsoft.com/office/drawing/2014/main" id="{00000000-0008-0000-0E00-00003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19" name="Text Box 318">
          <a:extLst>
            <a:ext uri="{FF2B5EF4-FFF2-40B4-BE49-F238E27FC236}">
              <a16:creationId xmlns:a16="http://schemas.microsoft.com/office/drawing/2014/main" id="{00000000-0008-0000-0E00-00003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0" name="Text Box 319">
          <a:extLst>
            <a:ext uri="{FF2B5EF4-FFF2-40B4-BE49-F238E27FC236}">
              <a16:creationId xmlns:a16="http://schemas.microsoft.com/office/drawing/2014/main" id="{00000000-0008-0000-0E00-00004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1" name="Text Box 320">
          <a:extLst>
            <a:ext uri="{FF2B5EF4-FFF2-40B4-BE49-F238E27FC236}">
              <a16:creationId xmlns:a16="http://schemas.microsoft.com/office/drawing/2014/main" id="{00000000-0008-0000-0E00-00004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2" name="Text Box 321">
          <a:extLst>
            <a:ext uri="{FF2B5EF4-FFF2-40B4-BE49-F238E27FC236}">
              <a16:creationId xmlns:a16="http://schemas.microsoft.com/office/drawing/2014/main" id="{00000000-0008-0000-0E00-00004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3" name="Text Box 322">
          <a:extLst>
            <a:ext uri="{FF2B5EF4-FFF2-40B4-BE49-F238E27FC236}">
              <a16:creationId xmlns:a16="http://schemas.microsoft.com/office/drawing/2014/main" id="{00000000-0008-0000-0E00-00004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4" name="Text Box 323">
          <a:extLst>
            <a:ext uri="{FF2B5EF4-FFF2-40B4-BE49-F238E27FC236}">
              <a16:creationId xmlns:a16="http://schemas.microsoft.com/office/drawing/2014/main" id="{00000000-0008-0000-0E00-00004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5" name="Text Box 324">
          <a:extLst>
            <a:ext uri="{FF2B5EF4-FFF2-40B4-BE49-F238E27FC236}">
              <a16:creationId xmlns:a16="http://schemas.microsoft.com/office/drawing/2014/main" id="{00000000-0008-0000-0E00-00004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6" name="Text Box 325">
          <a:extLst>
            <a:ext uri="{FF2B5EF4-FFF2-40B4-BE49-F238E27FC236}">
              <a16:creationId xmlns:a16="http://schemas.microsoft.com/office/drawing/2014/main" id="{00000000-0008-0000-0E00-00004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7" name="Text Box 326">
          <a:extLst>
            <a:ext uri="{FF2B5EF4-FFF2-40B4-BE49-F238E27FC236}">
              <a16:creationId xmlns:a16="http://schemas.microsoft.com/office/drawing/2014/main" id="{00000000-0008-0000-0E00-00004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8" name="Text Box 327">
          <a:extLst>
            <a:ext uri="{FF2B5EF4-FFF2-40B4-BE49-F238E27FC236}">
              <a16:creationId xmlns:a16="http://schemas.microsoft.com/office/drawing/2014/main" id="{00000000-0008-0000-0E00-00004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29" name="Text Box 328">
          <a:extLst>
            <a:ext uri="{FF2B5EF4-FFF2-40B4-BE49-F238E27FC236}">
              <a16:creationId xmlns:a16="http://schemas.microsoft.com/office/drawing/2014/main" id="{00000000-0008-0000-0E00-00004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0" name="Text Box 329">
          <a:extLst>
            <a:ext uri="{FF2B5EF4-FFF2-40B4-BE49-F238E27FC236}">
              <a16:creationId xmlns:a16="http://schemas.microsoft.com/office/drawing/2014/main" id="{00000000-0008-0000-0E00-00004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1" name="Text Box 330">
          <a:extLst>
            <a:ext uri="{FF2B5EF4-FFF2-40B4-BE49-F238E27FC236}">
              <a16:creationId xmlns:a16="http://schemas.microsoft.com/office/drawing/2014/main" id="{00000000-0008-0000-0E00-00004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2" name="Text Box 331">
          <a:extLst>
            <a:ext uri="{FF2B5EF4-FFF2-40B4-BE49-F238E27FC236}">
              <a16:creationId xmlns:a16="http://schemas.microsoft.com/office/drawing/2014/main" id="{00000000-0008-0000-0E00-00004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3" name="Text Box 332">
          <a:extLst>
            <a:ext uri="{FF2B5EF4-FFF2-40B4-BE49-F238E27FC236}">
              <a16:creationId xmlns:a16="http://schemas.microsoft.com/office/drawing/2014/main" id="{00000000-0008-0000-0E00-00004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4" name="Text Box 333">
          <a:extLst>
            <a:ext uri="{FF2B5EF4-FFF2-40B4-BE49-F238E27FC236}">
              <a16:creationId xmlns:a16="http://schemas.microsoft.com/office/drawing/2014/main" id="{00000000-0008-0000-0E00-00004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5" name="Text Box 334">
          <a:extLst>
            <a:ext uri="{FF2B5EF4-FFF2-40B4-BE49-F238E27FC236}">
              <a16:creationId xmlns:a16="http://schemas.microsoft.com/office/drawing/2014/main" id="{00000000-0008-0000-0E00-00004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6" name="Text Box 335">
          <a:extLst>
            <a:ext uri="{FF2B5EF4-FFF2-40B4-BE49-F238E27FC236}">
              <a16:creationId xmlns:a16="http://schemas.microsoft.com/office/drawing/2014/main" id="{00000000-0008-0000-0E00-00005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7" name="Text Box 336">
          <a:extLst>
            <a:ext uri="{FF2B5EF4-FFF2-40B4-BE49-F238E27FC236}">
              <a16:creationId xmlns:a16="http://schemas.microsoft.com/office/drawing/2014/main" id="{00000000-0008-0000-0E00-00005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8" name="Text Box 337">
          <a:extLst>
            <a:ext uri="{FF2B5EF4-FFF2-40B4-BE49-F238E27FC236}">
              <a16:creationId xmlns:a16="http://schemas.microsoft.com/office/drawing/2014/main" id="{00000000-0008-0000-0E00-00005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39" name="Text Box 338">
          <a:extLst>
            <a:ext uri="{FF2B5EF4-FFF2-40B4-BE49-F238E27FC236}">
              <a16:creationId xmlns:a16="http://schemas.microsoft.com/office/drawing/2014/main" id="{00000000-0008-0000-0E00-00005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0" name="Text Box 339">
          <a:extLst>
            <a:ext uri="{FF2B5EF4-FFF2-40B4-BE49-F238E27FC236}">
              <a16:creationId xmlns:a16="http://schemas.microsoft.com/office/drawing/2014/main" id="{00000000-0008-0000-0E00-00005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1" name="Text Box 340">
          <a:extLst>
            <a:ext uri="{FF2B5EF4-FFF2-40B4-BE49-F238E27FC236}">
              <a16:creationId xmlns:a16="http://schemas.microsoft.com/office/drawing/2014/main" id="{00000000-0008-0000-0E00-00005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2" name="Text Box 341">
          <a:extLst>
            <a:ext uri="{FF2B5EF4-FFF2-40B4-BE49-F238E27FC236}">
              <a16:creationId xmlns:a16="http://schemas.microsoft.com/office/drawing/2014/main" id="{00000000-0008-0000-0E00-00005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3" name="Text Box 342">
          <a:extLst>
            <a:ext uri="{FF2B5EF4-FFF2-40B4-BE49-F238E27FC236}">
              <a16:creationId xmlns:a16="http://schemas.microsoft.com/office/drawing/2014/main" id="{00000000-0008-0000-0E00-00005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4" name="Text Box 343">
          <a:extLst>
            <a:ext uri="{FF2B5EF4-FFF2-40B4-BE49-F238E27FC236}">
              <a16:creationId xmlns:a16="http://schemas.microsoft.com/office/drawing/2014/main" id="{00000000-0008-0000-0E00-00005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5" name="Text Box 344">
          <a:extLst>
            <a:ext uri="{FF2B5EF4-FFF2-40B4-BE49-F238E27FC236}">
              <a16:creationId xmlns:a16="http://schemas.microsoft.com/office/drawing/2014/main" id="{00000000-0008-0000-0E00-00005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6" name="Text Box 345">
          <a:extLst>
            <a:ext uri="{FF2B5EF4-FFF2-40B4-BE49-F238E27FC236}">
              <a16:creationId xmlns:a16="http://schemas.microsoft.com/office/drawing/2014/main" id="{00000000-0008-0000-0E00-00005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7" name="Text Box 346">
          <a:extLst>
            <a:ext uri="{FF2B5EF4-FFF2-40B4-BE49-F238E27FC236}">
              <a16:creationId xmlns:a16="http://schemas.microsoft.com/office/drawing/2014/main" id="{00000000-0008-0000-0E00-00005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8" name="Text Box 347">
          <a:extLst>
            <a:ext uri="{FF2B5EF4-FFF2-40B4-BE49-F238E27FC236}">
              <a16:creationId xmlns:a16="http://schemas.microsoft.com/office/drawing/2014/main" id="{00000000-0008-0000-0E00-00005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49" name="Text Box 348">
          <a:extLst>
            <a:ext uri="{FF2B5EF4-FFF2-40B4-BE49-F238E27FC236}">
              <a16:creationId xmlns:a16="http://schemas.microsoft.com/office/drawing/2014/main" id="{00000000-0008-0000-0E00-00005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0" name="Text Box 349">
          <a:extLst>
            <a:ext uri="{FF2B5EF4-FFF2-40B4-BE49-F238E27FC236}">
              <a16:creationId xmlns:a16="http://schemas.microsoft.com/office/drawing/2014/main" id="{00000000-0008-0000-0E00-00005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1" name="Text Box 350">
          <a:extLst>
            <a:ext uri="{FF2B5EF4-FFF2-40B4-BE49-F238E27FC236}">
              <a16:creationId xmlns:a16="http://schemas.microsoft.com/office/drawing/2014/main" id="{00000000-0008-0000-0E00-00005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2" name="Text Box 351">
          <a:extLst>
            <a:ext uri="{FF2B5EF4-FFF2-40B4-BE49-F238E27FC236}">
              <a16:creationId xmlns:a16="http://schemas.microsoft.com/office/drawing/2014/main" id="{00000000-0008-0000-0E00-00006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3" name="Text Box 352">
          <a:extLst>
            <a:ext uri="{FF2B5EF4-FFF2-40B4-BE49-F238E27FC236}">
              <a16:creationId xmlns:a16="http://schemas.microsoft.com/office/drawing/2014/main" id="{00000000-0008-0000-0E00-00006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4" name="Text Box 353">
          <a:extLst>
            <a:ext uri="{FF2B5EF4-FFF2-40B4-BE49-F238E27FC236}">
              <a16:creationId xmlns:a16="http://schemas.microsoft.com/office/drawing/2014/main" id="{00000000-0008-0000-0E00-00006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5" name="Text Box 354">
          <a:extLst>
            <a:ext uri="{FF2B5EF4-FFF2-40B4-BE49-F238E27FC236}">
              <a16:creationId xmlns:a16="http://schemas.microsoft.com/office/drawing/2014/main" id="{00000000-0008-0000-0E00-00006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6" name="Text Box 355">
          <a:extLst>
            <a:ext uri="{FF2B5EF4-FFF2-40B4-BE49-F238E27FC236}">
              <a16:creationId xmlns:a16="http://schemas.microsoft.com/office/drawing/2014/main" id="{00000000-0008-0000-0E00-00006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7" name="Text Box 356">
          <a:extLst>
            <a:ext uri="{FF2B5EF4-FFF2-40B4-BE49-F238E27FC236}">
              <a16:creationId xmlns:a16="http://schemas.microsoft.com/office/drawing/2014/main" id="{00000000-0008-0000-0E00-00006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8" name="Text Box 357">
          <a:extLst>
            <a:ext uri="{FF2B5EF4-FFF2-40B4-BE49-F238E27FC236}">
              <a16:creationId xmlns:a16="http://schemas.microsoft.com/office/drawing/2014/main" id="{00000000-0008-0000-0E00-00006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59" name="Text Box 358">
          <a:extLst>
            <a:ext uri="{FF2B5EF4-FFF2-40B4-BE49-F238E27FC236}">
              <a16:creationId xmlns:a16="http://schemas.microsoft.com/office/drawing/2014/main" id="{00000000-0008-0000-0E00-00006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0" name="Text Box 359">
          <a:extLst>
            <a:ext uri="{FF2B5EF4-FFF2-40B4-BE49-F238E27FC236}">
              <a16:creationId xmlns:a16="http://schemas.microsoft.com/office/drawing/2014/main" id="{00000000-0008-0000-0E00-00006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1" name="Text Box 360">
          <a:extLst>
            <a:ext uri="{FF2B5EF4-FFF2-40B4-BE49-F238E27FC236}">
              <a16:creationId xmlns:a16="http://schemas.microsoft.com/office/drawing/2014/main" id="{00000000-0008-0000-0E00-00006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2" name="Text Box 361">
          <a:extLst>
            <a:ext uri="{FF2B5EF4-FFF2-40B4-BE49-F238E27FC236}">
              <a16:creationId xmlns:a16="http://schemas.microsoft.com/office/drawing/2014/main" id="{00000000-0008-0000-0E00-00006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3" name="Text Box 362">
          <a:extLst>
            <a:ext uri="{FF2B5EF4-FFF2-40B4-BE49-F238E27FC236}">
              <a16:creationId xmlns:a16="http://schemas.microsoft.com/office/drawing/2014/main" id="{00000000-0008-0000-0E00-00006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4" name="Text Box 363">
          <a:extLst>
            <a:ext uri="{FF2B5EF4-FFF2-40B4-BE49-F238E27FC236}">
              <a16:creationId xmlns:a16="http://schemas.microsoft.com/office/drawing/2014/main" id="{00000000-0008-0000-0E00-00006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5" name="Text Box 364">
          <a:extLst>
            <a:ext uri="{FF2B5EF4-FFF2-40B4-BE49-F238E27FC236}">
              <a16:creationId xmlns:a16="http://schemas.microsoft.com/office/drawing/2014/main" id="{00000000-0008-0000-0E00-00006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6" name="Text Box 365">
          <a:extLst>
            <a:ext uri="{FF2B5EF4-FFF2-40B4-BE49-F238E27FC236}">
              <a16:creationId xmlns:a16="http://schemas.microsoft.com/office/drawing/2014/main" id="{00000000-0008-0000-0E00-00006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7" name="Text Box 366">
          <a:extLst>
            <a:ext uri="{FF2B5EF4-FFF2-40B4-BE49-F238E27FC236}">
              <a16:creationId xmlns:a16="http://schemas.microsoft.com/office/drawing/2014/main" id="{00000000-0008-0000-0E00-00006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8" name="Text Box 367">
          <a:extLst>
            <a:ext uri="{FF2B5EF4-FFF2-40B4-BE49-F238E27FC236}">
              <a16:creationId xmlns:a16="http://schemas.microsoft.com/office/drawing/2014/main" id="{00000000-0008-0000-0E00-00007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69" name="Text Box 368">
          <a:extLst>
            <a:ext uri="{FF2B5EF4-FFF2-40B4-BE49-F238E27FC236}">
              <a16:creationId xmlns:a16="http://schemas.microsoft.com/office/drawing/2014/main" id="{00000000-0008-0000-0E00-00007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0" name="Text Box 369">
          <a:extLst>
            <a:ext uri="{FF2B5EF4-FFF2-40B4-BE49-F238E27FC236}">
              <a16:creationId xmlns:a16="http://schemas.microsoft.com/office/drawing/2014/main" id="{00000000-0008-0000-0E00-00007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1" name="Text Box 370">
          <a:extLst>
            <a:ext uri="{FF2B5EF4-FFF2-40B4-BE49-F238E27FC236}">
              <a16:creationId xmlns:a16="http://schemas.microsoft.com/office/drawing/2014/main" id="{00000000-0008-0000-0E00-00007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2" name="Text Box 371">
          <a:extLst>
            <a:ext uri="{FF2B5EF4-FFF2-40B4-BE49-F238E27FC236}">
              <a16:creationId xmlns:a16="http://schemas.microsoft.com/office/drawing/2014/main" id="{00000000-0008-0000-0E00-00007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3" name="Text Box 372">
          <a:extLst>
            <a:ext uri="{FF2B5EF4-FFF2-40B4-BE49-F238E27FC236}">
              <a16:creationId xmlns:a16="http://schemas.microsoft.com/office/drawing/2014/main" id="{00000000-0008-0000-0E00-00007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4" name="Text Box 373">
          <a:extLst>
            <a:ext uri="{FF2B5EF4-FFF2-40B4-BE49-F238E27FC236}">
              <a16:creationId xmlns:a16="http://schemas.microsoft.com/office/drawing/2014/main" id="{00000000-0008-0000-0E00-00007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5" name="Text Box 374">
          <a:extLst>
            <a:ext uri="{FF2B5EF4-FFF2-40B4-BE49-F238E27FC236}">
              <a16:creationId xmlns:a16="http://schemas.microsoft.com/office/drawing/2014/main" id="{00000000-0008-0000-0E00-00007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6" name="Text Box 375">
          <a:extLst>
            <a:ext uri="{FF2B5EF4-FFF2-40B4-BE49-F238E27FC236}">
              <a16:creationId xmlns:a16="http://schemas.microsoft.com/office/drawing/2014/main" id="{00000000-0008-0000-0E00-00007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7" name="Text Box 376">
          <a:extLst>
            <a:ext uri="{FF2B5EF4-FFF2-40B4-BE49-F238E27FC236}">
              <a16:creationId xmlns:a16="http://schemas.microsoft.com/office/drawing/2014/main" id="{00000000-0008-0000-0E00-00007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8" name="Text Box 377">
          <a:extLst>
            <a:ext uri="{FF2B5EF4-FFF2-40B4-BE49-F238E27FC236}">
              <a16:creationId xmlns:a16="http://schemas.microsoft.com/office/drawing/2014/main" id="{00000000-0008-0000-0E00-00007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79" name="Text Box 378">
          <a:extLst>
            <a:ext uri="{FF2B5EF4-FFF2-40B4-BE49-F238E27FC236}">
              <a16:creationId xmlns:a16="http://schemas.microsoft.com/office/drawing/2014/main" id="{00000000-0008-0000-0E00-00007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0" name="Text Box 379">
          <a:extLst>
            <a:ext uri="{FF2B5EF4-FFF2-40B4-BE49-F238E27FC236}">
              <a16:creationId xmlns:a16="http://schemas.microsoft.com/office/drawing/2014/main" id="{00000000-0008-0000-0E00-00007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1" name="Text Box 380">
          <a:extLst>
            <a:ext uri="{FF2B5EF4-FFF2-40B4-BE49-F238E27FC236}">
              <a16:creationId xmlns:a16="http://schemas.microsoft.com/office/drawing/2014/main" id="{00000000-0008-0000-0E00-00007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2" name="Text Box 381">
          <a:extLst>
            <a:ext uri="{FF2B5EF4-FFF2-40B4-BE49-F238E27FC236}">
              <a16:creationId xmlns:a16="http://schemas.microsoft.com/office/drawing/2014/main" id="{00000000-0008-0000-0E00-00007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3" name="Text Box 382">
          <a:extLst>
            <a:ext uri="{FF2B5EF4-FFF2-40B4-BE49-F238E27FC236}">
              <a16:creationId xmlns:a16="http://schemas.microsoft.com/office/drawing/2014/main" id="{00000000-0008-0000-0E00-00007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4" name="Text Box 383">
          <a:extLst>
            <a:ext uri="{FF2B5EF4-FFF2-40B4-BE49-F238E27FC236}">
              <a16:creationId xmlns:a16="http://schemas.microsoft.com/office/drawing/2014/main" id="{00000000-0008-0000-0E00-00008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5" name="Text Box 384">
          <a:extLst>
            <a:ext uri="{FF2B5EF4-FFF2-40B4-BE49-F238E27FC236}">
              <a16:creationId xmlns:a16="http://schemas.microsoft.com/office/drawing/2014/main" id="{00000000-0008-0000-0E00-00008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6" name="Text Box 385">
          <a:extLst>
            <a:ext uri="{FF2B5EF4-FFF2-40B4-BE49-F238E27FC236}">
              <a16:creationId xmlns:a16="http://schemas.microsoft.com/office/drawing/2014/main" id="{00000000-0008-0000-0E00-00008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7" name="Text Box 386">
          <a:extLst>
            <a:ext uri="{FF2B5EF4-FFF2-40B4-BE49-F238E27FC236}">
              <a16:creationId xmlns:a16="http://schemas.microsoft.com/office/drawing/2014/main" id="{00000000-0008-0000-0E00-00008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8" name="Text Box 387">
          <a:extLst>
            <a:ext uri="{FF2B5EF4-FFF2-40B4-BE49-F238E27FC236}">
              <a16:creationId xmlns:a16="http://schemas.microsoft.com/office/drawing/2014/main" id="{00000000-0008-0000-0E00-00008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89" name="Text Box 388">
          <a:extLst>
            <a:ext uri="{FF2B5EF4-FFF2-40B4-BE49-F238E27FC236}">
              <a16:creationId xmlns:a16="http://schemas.microsoft.com/office/drawing/2014/main" id="{00000000-0008-0000-0E00-00008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0" name="Text Box 389">
          <a:extLst>
            <a:ext uri="{FF2B5EF4-FFF2-40B4-BE49-F238E27FC236}">
              <a16:creationId xmlns:a16="http://schemas.microsoft.com/office/drawing/2014/main" id="{00000000-0008-0000-0E00-00008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1" name="Text Box 390">
          <a:extLst>
            <a:ext uri="{FF2B5EF4-FFF2-40B4-BE49-F238E27FC236}">
              <a16:creationId xmlns:a16="http://schemas.microsoft.com/office/drawing/2014/main" id="{00000000-0008-0000-0E00-00008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2" name="Text Box 391">
          <a:extLst>
            <a:ext uri="{FF2B5EF4-FFF2-40B4-BE49-F238E27FC236}">
              <a16:creationId xmlns:a16="http://schemas.microsoft.com/office/drawing/2014/main" id="{00000000-0008-0000-0E00-00008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3" name="Text Box 392">
          <a:extLst>
            <a:ext uri="{FF2B5EF4-FFF2-40B4-BE49-F238E27FC236}">
              <a16:creationId xmlns:a16="http://schemas.microsoft.com/office/drawing/2014/main" id="{00000000-0008-0000-0E00-00008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4" name="Text Box 393">
          <a:extLst>
            <a:ext uri="{FF2B5EF4-FFF2-40B4-BE49-F238E27FC236}">
              <a16:creationId xmlns:a16="http://schemas.microsoft.com/office/drawing/2014/main" id="{00000000-0008-0000-0E00-00008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5" name="Text Box 394">
          <a:extLst>
            <a:ext uri="{FF2B5EF4-FFF2-40B4-BE49-F238E27FC236}">
              <a16:creationId xmlns:a16="http://schemas.microsoft.com/office/drawing/2014/main" id="{00000000-0008-0000-0E00-00008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6" name="Text Box 395">
          <a:extLst>
            <a:ext uri="{FF2B5EF4-FFF2-40B4-BE49-F238E27FC236}">
              <a16:creationId xmlns:a16="http://schemas.microsoft.com/office/drawing/2014/main" id="{00000000-0008-0000-0E00-00008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7" name="Text Box 396">
          <a:extLst>
            <a:ext uri="{FF2B5EF4-FFF2-40B4-BE49-F238E27FC236}">
              <a16:creationId xmlns:a16="http://schemas.microsoft.com/office/drawing/2014/main" id="{00000000-0008-0000-0E00-00008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8" name="Text Box 397">
          <a:extLst>
            <a:ext uri="{FF2B5EF4-FFF2-40B4-BE49-F238E27FC236}">
              <a16:creationId xmlns:a16="http://schemas.microsoft.com/office/drawing/2014/main" id="{00000000-0008-0000-0E00-00008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399" name="Text Box 398">
          <a:extLst>
            <a:ext uri="{FF2B5EF4-FFF2-40B4-BE49-F238E27FC236}">
              <a16:creationId xmlns:a16="http://schemas.microsoft.com/office/drawing/2014/main" id="{00000000-0008-0000-0E00-00008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0" name="Text Box 399">
          <a:extLst>
            <a:ext uri="{FF2B5EF4-FFF2-40B4-BE49-F238E27FC236}">
              <a16:creationId xmlns:a16="http://schemas.microsoft.com/office/drawing/2014/main" id="{00000000-0008-0000-0E00-00009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1" name="Text Box 400">
          <a:extLst>
            <a:ext uri="{FF2B5EF4-FFF2-40B4-BE49-F238E27FC236}">
              <a16:creationId xmlns:a16="http://schemas.microsoft.com/office/drawing/2014/main" id="{00000000-0008-0000-0E00-00009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2" name="Text Box 401">
          <a:extLst>
            <a:ext uri="{FF2B5EF4-FFF2-40B4-BE49-F238E27FC236}">
              <a16:creationId xmlns:a16="http://schemas.microsoft.com/office/drawing/2014/main" id="{00000000-0008-0000-0E00-00009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3" name="Text Box 402">
          <a:extLst>
            <a:ext uri="{FF2B5EF4-FFF2-40B4-BE49-F238E27FC236}">
              <a16:creationId xmlns:a16="http://schemas.microsoft.com/office/drawing/2014/main" id="{00000000-0008-0000-0E00-00009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4" name="Text Box 403">
          <a:extLst>
            <a:ext uri="{FF2B5EF4-FFF2-40B4-BE49-F238E27FC236}">
              <a16:creationId xmlns:a16="http://schemas.microsoft.com/office/drawing/2014/main" id="{00000000-0008-0000-0E00-00009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5" name="Text Box 404">
          <a:extLst>
            <a:ext uri="{FF2B5EF4-FFF2-40B4-BE49-F238E27FC236}">
              <a16:creationId xmlns:a16="http://schemas.microsoft.com/office/drawing/2014/main" id="{00000000-0008-0000-0E00-00009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6" name="Text Box 405">
          <a:extLst>
            <a:ext uri="{FF2B5EF4-FFF2-40B4-BE49-F238E27FC236}">
              <a16:creationId xmlns:a16="http://schemas.microsoft.com/office/drawing/2014/main" id="{00000000-0008-0000-0E00-00009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7" name="Text Box 406">
          <a:extLst>
            <a:ext uri="{FF2B5EF4-FFF2-40B4-BE49-F238E27FC236}">
              <a16:creationId xmlns:a16="http://schemas.microsoft.com/office/drawing/2014/main" id="{00000000-0008-0000-0E00-00009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8" name="Text Box 407">
          <a:extLst>
            <a:ext uri="{FF2B5EF4-FFF2-40B4-BE49-F238E27FC236}">
              <a16:creationId xmlns:a16="http://schemas.microsoft.com/office/drawing/2014/main" id="{00000000-0008-0000-0E00-00009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09" name="Text Box 408">
          <a:extLst>
            <a:ext uri="{FF2B5EF4-FFF2-40B4-BE49-F238E27FC236}">
              <a16:creationId xmlns:a16="http://schemas.microsoft.com/office/drawing/2014/main" id="{00000000-0008-0000-0E00-00009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0" name="Text Box 409">
          <a:extLst>
            <a:ext uri="{FF2B5EF4-FFF2-40B4-BE49-F238E27FC236}">
              <a16:creationId xmlns:a16="http://schemas.microsoft.com/office/drawing/2014/main" id="{00000000-0008-0000-0E00-00009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1" name="Text Box 410">
          <a:extLst>
            <a:ext uri="{FF2B5EF4-FFF2-40B4-BE49-F238E27FC236}">
              <a16:creationId xmlns:a16="http://schemas.microsoft.com/office/drawing/2014/main" id="{00000000-0008-0000-0E00-00009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2" name="Text Box 411">
          <a:extLst>
            <a:ext uri="{FF2B5EF4-FFF2-40B4-BE49-F238E27FC236}">
              <a16:creationId xmlns:a16="http://schemas.microsoft.com/office/drawing/2014/main" id="{00000000-0008-0000-0E00-00009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3" name="Text Box 412">
          <a:extLst>
            <a:ext uri="{FF2B5EF4-FFF2-40B4-BE49-F238E27FC236}">
              <a16:creationId xmlns:a16="http://schemas.microsoft.com/office/drawing/2014/main" id="{00000000-0008-0000-0E00-00009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4" name="Text Box 413">
          <a:extLst>
            <a:ext uri="{FF2B5EF4-FFF2-40B4-BE49-F238E27FC236}">
              <a16:creationId xmlns:a16="http://schemas.microsoft.com/office/drawing/2014/main" id="{00000000-0008-0000-0E00-00009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5" name="Text Box 414">
          <a:extLst>
            <a:ext uri="{FF2B5EF4-FFF2-40B4-BE49-F238E27FC236}">
              <a16:creationId xmlns:a16="http://schemas.microsoft.com/office/drawing/2014/main" id="{00000000-0008-0000-0E00-00009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6" name="Text Box 415">
          <a:extLst>
            <a:ext uri="{FF2B5EF4-FFF2-40B4-BE49-F238E27FC236}">
              <a16:creationId xmlns:a16="http://schemas.microsoft.com/office/drawing/2014/main" id="{00000000-0008-0000-0E00-0000A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7" name="Text Box 416">
          <a:extLst>
            <a:ext uri="{FF2B5EF4-FFF2-40B4-BE49-F238E27FC236}">
              <a16:creationId xmlns:a16="http://schemas.microsoft.com/office/drawing/2014/main" id="{00000000-0008-0000-0E00-0000A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8" name="Text Box 417">
          <a:extLst>
            <a:ext uri="{FF2B5EF4-FFF2-40B4-BE49-F238E27FC236}">
              <a16:creationId xmlns:a16="http://schemas.microsoft.com/office/drawing/2014/main" id="{00000000-0008-0000-0E00-0000A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19" name="Text Box 418">
          <a:extLst>
            <a:ext uri="{FF2B5EF4-FFF2-40B4-BE49-F238E27FC236}">
              <a16:creationId xmlns:a16="http://schemas.microsoft.com/office/drawing/2014/main" id="{00000000-0008-0000-0E00-0000A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0" name="Text Box 419">
          <a:extLst>
            <a:ext uri="{FF2B5EF4-FFF2-40B4-BE49-F238E27FC236}">
              <a16:creationId xmlns:a16="http://schemas.microsoft.com/office/drawing/2014/main" id="{00000000-0008-0000-0E00-0000A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1" name="Text Box 420">
          <a:extLst>
            <a:ext uri="{FF2B5EF4-FFF2-40B4-BE49-F238E27FC236}">
              <a16:creationId xmlns:a16="http://schemas.microsoft.com/office/drawing/2014/main" id="{00000000-0008-0000-0E00-0000A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2" name="Text Box 421">
          <a:extLst>
            <a:ext uri="{FF2B5EF4-FFF2-40B4-BE49-F238E27FC236}">
              <a16:creationId xmlns:a16="http://schemas.microsoft.com/office/drawing/2014/main" id="{00000000-0008-0000-0E00-0000A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3" name="Text Box 422">
          <a:extLst>
            <a:ext uri="{FF2B5EF4-FFF2-40B4-BE49-F238E27FC236}">
              <a16:creationId xmlns:a16="http://schemas.microsoft.com/office/drawing/2014/main" id="{00000000-0008-0000-0E00-0000A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4" name="Text Box 423">
          <a:extLst>
            <a:ext uri="{FF2B5EF4-FFF2-40B4-BE49-F238E27FC236}">
              <a16:creationId xmlns:a16="http://schemas.microsoft.com/office/drawing/2014/main" id="{00000000-0008-0000-0E00-0000A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5" name="Text Box 424">
          <a:extLst>
            <a:ext uri="{FF2B5EF4-FFF2-40B4-BE49-F238E27FC236}">
              <a16:creationId xmlns:a16="http://schemas.microsoft.com/office/drawing/2014/main" id="{00000000-0008-0000-0E00-0000A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6" name="Text Box 425">
          <a:extLst>
            <a:ext uri="{FF2B5EF4-FFF2-40B4-BE49-F238E27FC236}">
              <a16:creationId xmlns:a16="http://schemas.microsoft.com/office/drawing/2014/main" id="{00000000-0008-0000-0E00-0000A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7" name="Text Box 426">
          <a:extLst>
            <a:ext uri="{FF2B5EF4-FFF2-40B4-BE49-F238E27FC236}">
              <a16:creationId xmlns:a16="http://schemas.microsoft.com/office/drawing/2014/main" id="{00000000-0008-0000-0E00-0000A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8" name="Text Box 427">
          <a:extLst>
            <a:ext uri="{FF2B5EF4-FFF2-40B4-BE49-F238E27FC236}">
              <a16:creationId xmlns:a16="http://schemas.microsoft.com/office/drawing/2014/main" id="{00000000-0008-0000-0E00-0000A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29" name="Text Box 428">
          <a:extLst>
            <a:ext uri="{FF2B5EF4-FFF2-40B4-BE49-F238E27FC236}">
              <a16:creationId xmlns:a16="http://schemas.microsoft.com/office/drawing/2014/main" id="{00000000-0008-0000-0E00-0000A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0" name="Text Box 429">
          <a:extLst>
            <a:ext uri="{FF2B5EF4-FFF2-40B4-BE49-F238E27FC236}">
              <a16:creationId xmlns:a16="http://schemas.microsoft.com/office/drawing/2014/main" id="{00000000-0008-0000-0E00-0000A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1" name="Text Box 430">
          <a:extLst>
            <a:ext uri="{FF2B5EF4-FFF2-40B4-BE49-F238E27FC236}">
              <a16:creationId xmlns:a16="http://schemas.microsoft.com/office/drawing/2014/main" id="{00000000-0008-0000-0E00-0000A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2" name="Text Box 431">
          <a:extLst>
            <a:ext uri="{FF2B5EF4-FFF2-40B4-BE49-F238E27FC236}">
              <a16:creationId xmlns:a16="http://schemas.microsoft.com/office/drawing/2014/main" id="{00000000-0008-0000-0E00-0000B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3" name="Text Box 432">
          <a:extLst>
            <a:ext uri="{FF2B5EF4-FFF2-40B4-BE49-F238E27FC236}">
              <a16:creationId xmlns:a16="http://schemas.microsoft.com/office/drawing/2014/main" id="{00000000-0008-0000-0E00-0000B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4" name="Text Box 433">
          <a:extLst>
            <a:ext uri="{FF2B5EF4-FFF2-40B4-BE49-F238E27FC236}">
              <a16:creationId xmlns:a16="http://schemas.microsoft.com/office/drawing/2014/main" id="{00000000-0008-0000-0E00-0000B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5" name="Text Box 434">
          <a:extLst>
            <a:ext uri="{FF2B5EF4-FFF2-40B4-BE49-F238E27FC236}">
              <a16:creationId xmlns:a16="http://schemas.microsoft.com/office/drawing/2014/main" id="{00000000-0008-0000-0E00-0000B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6" name="Text Box 435">
          <a:extLst>
            <a:ext uri="{FF2B5EF4-FFF2-40B4-BE49-F238E27FC236}">
              <a16:creationId xmlns:a16="http://schemas.microsoft.com/office/drawing/2014/main" id="{00000000-0008-0000-0E00-0000B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7" name="Text Box 436">
          <a:extLst>
            <a:ext uri="{FF2B5EF4-FFF2-40B4-BE49-F238E27FC236}">
              <a16:creationId xmlns:a16="http://schemas.microsoft.com/office/drawing/2014/main" id="{00000000-0008-0000-0E00-0000B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8" name="Text Box 437">
          <a:extLst>
            <a:ext uri="{FF2B5EF4-FFF2-40B4-BE49-F238E27FC236}">
              <a16:creationId xmlns:a16="http://schemas.microsoft.com/office/drawing/2014/main" id="{00000000-0008-0000-0E00-0000B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39" name="Text Box 438">
          <a:extLst>
            <a:ext uri="{FF2B5EF4-FFF2-40B4-BE49-F238E27FC236}">
              <a16:creationId xmlns:a16="http://schemas.microsoft.com/office/drawing/2014/main" id="{00000000-0008-0000-0E00-0000B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0" name="Text Box 439">
          <a:extLst>
            <a:ext uri="{FF2B5EF4-FFF2-40B4-BE49-F238E27FC236}">
              <a16:creationId xmlns:a16="http://schemas.microsoft.com/office/drawing/2014/main" id="{00000000-0008-0000-0E00-0000B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1" name="Text Box 440">
          <a:extLst>
            <a:ext uri="{FF2B5EF4-FFF2-40B4-BE49-F238E27FC236}">
              <a16:creationId xmlns:a16="http://schemas.microsoft.com/office/drawing/2014/main" id="{00000000-0008-0000-0E00-0000B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2" name="Text Box 441">
          <a:extLst>
            <a:ext uri="{FF2B5EF4-FFF2-40B4-BE49-F238E27FC236}">
              <a16:creationId xmlns:a16="http://schemas.microsoft.com/office/drawing/2014/main" id="{00000000-0008-0000-0E00-0000B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3" name="Text Box 442">
          <a:extLst>
            <a:ext uri="{FF2B5EF4-FFF2-40B4-BE49-F238E27FC236}">
              <a16:creationId xmlns:a16="http://schemas.microsoft.com/office/drawing/2014/main" id="{00000000-0008-0000-0E00-0000B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4" name="Text Box 443">
          <a:extLst>
            <a:ext uri="{FF2B5EF4-FFF2-40B4-BE49-F238E27FC236}">
              <a16:creationId xmlns:a16="http://schemas.microsoft.com/office/drawing/2014/main" id="{00000000-0008-0000-0E00-0000B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5" name="Text Box 444">
          <a:extLst>
            <a:ext uri="{FF2B5EF4-FFF2-40B4-BE49-F238E27FC236}">
              <a16:creationId xmlns:a16="http://schemas.microsoft.com/office/drawing/2014/main" id="{00000000-0008-0000-0E00-0000B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6" name="Text Box 445">
          <a:extLst>
            <a:ext uri="{FF2B5EF4-FFF2-40B4-BE49-F238E27FC236}">
              <a16:creationId xmlns:a16="http://schemas.microsoft.com/office/drawing/2014/main" id="{00000000-0008-0000-0E00-0000B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7" name="Text Box 446">
          <a:extLst>
            <a:ext uri="{FF2B5EF4-FFF2-40B4-BE49-F238E27FC236}">
              <a16:creationId xmlns:a16="http://schemas.microsoft.com/office/drawing/2014/main" id="{00000000-0008-0000-0E00-0000B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8" name="Text Box 447">
          <a:extLst>
            <a:ext uri="{FF2B5EF4-FFF2-40B4-BE49-F238E27FC236}">
              <a16:creationId xmlns:a16="http://schemas.microsoft.com/office/drawing/2014/main" id="{00000000-0008-0000-0E00-0000C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49" name="Text Box 448">
          <a:extLst>
            <a:ext uri="{FF2B5EF4-FFF2-40B4-BE49-F238E27FC236}">
              <a16:creationId xmlns:a16="http://schemas.microsoft.com/office/drawing/2014/main" id="{00000000-0008-0000-0E00-0000C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0" name="Text Box 449">
          <a:extLst>
            <a:ext uri="{FF2B5EF4-FFF2-40B4-BE49-F238E27FC236}">
              <a16:creationId xmlns:a16="http://schemas.microsoft.com/office/drawing/2014/main" id="{00000000-0008-0000-0E00-0000C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1" name="Text Box 450">
          <a:extLst>
            <a:ext uri="{FF2B5EF4-FFF2-40B4-BE49-F238E27FC236}">
              <a16:creationId xmlns:a16="http://schemas.microsoft.com/office/drawing/2014/main" id="{00000000-0008-0000-0E00-0000C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2" name="Text Box 451">
          <a:extLst>
            <a:ext uri="{FF2B5EF4-FFF2-40B4-BE49-F238E27FC236}">
              <a16:creationId xmlns:a16="http://schemas.microsoft.com/office/drawing/2014/main" id="{00000000-0008-0000-0E00-0000C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3" name="Text Box 452">
          <a:extLst>
            <a:ext uri="{FF2B5EF4-FFF2-40B4-BE49-F238E27FC236}">
              <a16:creationId xmlns:a16="http://schemas.microsoft.com/office/drawing/2014/main" id="{00000000-0008-0000-0E00-0000C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4" name="Text Box 453">
          <a:extLst>
            <a:ext uri="{FF2B5EF4-FFF2-40B4-BE49-F238E27FC236}">
              <a16:creationId xmlns:a16="http://schemas.microsoft.com/office/drawing/2014/main" id="{00000000-0008-0000-0E00-0000C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5" name="Text Box 454">
          <a:extLst>
            <a:ext uri="{FF2B5EF4-FFF2-40B4-BE49-F238E27FC236}">
              <a16:creationId xmlns:a16="http://schemas.microsoft.com/office/drawing/2014/main" id="{00000000-0008-0000-0E00-0000C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6" name="Text Box 455">
          <a:extLst>
            <a:ext uri="{FF2B5EF4-FFF2-40B4-BE49-F238E27FC236}">
              <a16:creationId xmlns:a16="http://schemas.microsoft.com/office/drawing/2014/main" id="{00000000-0008-0000-0E00-0000C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7" name="Text Box 456">
          <a:extLst>
            <a:ext uri="{FF2B5EF4-FFF2-40B4-BE49-F238E27FC236}">
              <a16:creationId xmlns:a16="http://schemas.microsoft.com/office/drawing/2014/main" id="{00000000-0008-0000-0E00-0000C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8" name="Text Box 457">
          <a:extLst>
            <a:ext uri="{FF2B5EF4-FFF2-40B4-BE49-F238E27FC236}">
              <a16:creationId xmlns:a16="http://schemas.microsoft.com/office/drawing/2014/main" id="{00000000-0008-0000-0E00-0000C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59" name="Text Box 458">
          <a:extLst>
            <a:ext uri="{FF2B5EF4-FFF2-40B4-BE49-F238E27FC236}">
              <a16:creationId xmlns:a16="http://schemas.microsoft.com/office/drawing/2014/main" id="{00000000-0008-0000-0E00-0000C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0" name="Text Box 459">
          <a:extLst>
            <a:ext uri="{FF2B5EF4-FFF2-40B4-BE49-F238E27FC236}">
              <a16:creationId xmlns:a16="http://schemas.microsoft.com/office/drawing/2014/main" id="{00000000-0008-0000-0E00-0000C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1" name="Text Box 460">
          <a:extLst>
            <a:ext uri="{FF2B5EF4-FFF2-40B4-BE49-F238E27FC236}">
              <a16:creationId xmlns:a16="http://schemas.microsoft.com/office/drawing/2014/main" id="{00000000-0008-0000-0E00-0000C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2" name="Text Box 461">
          <a:extLst>
            <a:ext uri="{FF2B5EF4-FFF2-40B4-BE49-F238E27FC236}">
              <a16:creationId xmlns:a16="http://schemas.microsoft.com/office/drawing/2014/main" id="{00000000-0008-0000-0E00-0000C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3" name="Text Box 462">
          <a:extLst>
            <a:ext uri="{FF2B5EF4-FFF2-40B4-BE49-F238E27FC236}">
              <a16:creationId xmlns:a16="http://schemas.microsoft.com/office/drawing/2014/main" id="{00000000-0008-0000-0E00-0000C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4" name="Text Box 463">
          <a:extLst>
            <a:ext uri="{FF2B5EF4-FFF2-40B4-BE49-F238E27FC236}">
              <a16:creationId xmlns:a16="http://schemas.microsoft.com/office/drawing/2014/main" id="{00000000-0008-0000-0E00-0000D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5" name="Text Box 464">
          <a:extLst>
            <a:ext uri="{FF2B5EF4-FFF2-40B4-BE49-F238E27FC236}">
              <a16:creationId xmlns:a16="http://schemas.microsoft.com/office/drawing/2014/main" id="{00000000-0008-0000-0E00-0000D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6" name="Text Box 465">
          <a:extLst>
            <a:ext uri="{FF2B5EF4-FFF2-40B4-BE49-F238E27FC236}">
              <a16:creationId xmlns:a16="http://schemas.microsoft.com/office/drawing/2014/main" id="{00000000-0008-0000-0E00-0000D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7" name="Text Box 466">
          <a:extLst>
            <a:ext uri="{FF2B5EF4-FFF2-40B4-BE49-F238E27FC236}">
              <a16:creationId xmlns:a16="http://schemas.microsoft.com/office/drawing/2014/main" id="{00000000-0008-0000-0E00-0000D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8" name="Text Box 467">
          <a:extLst>
            <a:ext uri="{FF2B5EF4-FFF2-40B4-BE49-F238E27FC236}">
              <a16:creationId xmlns:a16="http://schemas.microsoft.com/office/drawing/2014/main" id="{00000000-0008-0000-0E00-0000D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69" name="Text Box 468">
          <a:extLst>
            <a:ext uri="{FF2B5EF4-FFF2-40B4-BE49-F238E27FC236}">
              <a16:creationId xmlns:a16="http://schemas.microsoft.com/office/drawing/2014/main" id="{00000000-0008-0000-0E00-0000D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0" name="Text Box 469">
          <a:extLst>
            <a:ext uri="{FF2B5EF4-FFF2-40B4-BE49-F238E27FC236}">
              <a16:creationId xmlns:a16="http://schemas.microsoft.com/office/drawing/2014/main" id="{00000000-0008-0000-0E00-0000D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1" name="Text Box 470">
          <a:extLst>
            <a:ext uri="{FF2B5EF4-FFF2-40B4-BE49-F238E27FC236}">
              <a16:creationId xmlns:a16="http://schemas.microsoft.com/office/drawing/2014/main" id="{00000000-0008-0000-0E00-0000D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2" name="Text Box 471">
          <a:extLst>
            <a:ext uri="{FF2B5EF4-FFF2-40B4-BE49-F238E27FC236}">
              <a16:creationId xmlns:a16="http://schemas.microsoft.com/office/drawing/2014/main" id="{00000000-0008-0000-0E00-0000D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3" name="Text Box 472">
          <a:extLst>
            <a:ext uri="{FF2B5EF4-FFF2-40B4-BE49-F238E27FC236}">
              <a16:creationId xmlns:a16="http://schemas.microsoft.com/office/drawing/2014/main" id="{00000000-0008-0000-0E00-0000D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4" name="Text Box 473">
          <a:extLst>
            <a:ext uri="{FF2B5EF4-FFF2-40B4-BE49-F238E27FC236}">
              <a16:creationId xmlns:a16="http://schemas.microsoft.com/office/drawing/2014/main" id="{00000000-0008-0000-0E00-0000D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5" name="Text Box 474">
          <a:extLst>
            <a:ext uri="{FF2B5EF4-FFF2-40B4-BE49-F238E27FC236}">
              <a16:creationId xmlns:a16="http://schemas.microsoft.com/office/drawing/2014/main" id="{00000000-0008-0000-0E00-0000D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6" name="Text Box 475">
          <a:extLst>
            <a:ext uri="{FF2B5EF4-FFF2-40B4-BE49-F238E27FC236}">
              <a16:creationId xmlns:a16="http://schemas.microsoft.com/office/drawing/2014/main" id="{00000000-0008-0000-0E00-0000D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7" name="Text Box 476">
          <a:extLst>
            <a:ext uri="{FF2B5EF4-FFF2-40B4-BE49-F238E27FC236}">
              <a16:creationId xmlns:a16="http://schemas.microsoft.com/office/drawing/2014/main" id="{00000000-0008-0000-0E00-0000D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8" name="Text Box 477">
          <a:extLst>
            <a:ext uri="{FF2B5EF4-FFF2-40B4-BE49-F238E27FC236}">
              <a16:creationId xmlns:a16="http://schemas.microsoft.com/office/drawing/2014/main" id="{00000000-0008-0000-0E00-0000D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79" name="Text Box 478">
          <a:extLst>
            <a:ext uri="{FF2B5EF4-FFF2-40B4-BE49-F238E27FC236}">
              <a16:creationId xmlns:a16="http://schemas.microsoft.com/office/drawing/2014/main" id="{00000000-0008-0000-0E00-0000D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0" name="Text Box 479">
          <a:extLst>
            <a:ext uri="{FF2B5EF4-FFF2-40B4-BE49-F238E27FC236}">
              <a16:creationId xmlns:a16="http://schemas.microsoft.com/office/drawing/2014/main" id="{00000000-0008-0000-0E00-0000E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1" name="Text Box 480">
          <a:extLst>
            <a:ext uri="{FF2B5EF4-FFF2-40B4-BE49-F238E27FC236}">
              <a16:creationId xmlns:a16="http://schemas.microsoft.com/office/drawing/2014/main" id="{00000000-0008-0000-0E00-0000E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2" name="Text Box 481">
          <a:extLst>
            <a:ext uri="{FF2B5EF4-FFF2-40B4-BE49-F238E27FC236}">
              <a16:creationId xmlns:a16="http://schemas.microsoft.com/office/drawing/2014/main" id="{00000000-0008-0000-0E00-0000E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3" name="Text Box 482">
          <a:extLst>
            <a:ext uri="{FF2B5EF4-FFF2-40B4-BE49-F238E27FC236}">
              <a16:creationId xmlns:a16="http://schemas.microsoft.com/office/drawing/2014/main" id="{00000000-0008-0000-0E00-0000E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4" name="Text Box 483">
          <a:extLst>
            <a:ext uri="{FF2B5EF4-FFF2-40B4-BE49-F238E27FC236}">
              <a16:creationId xmlns:a16="http://schemas.microsoft.com/office/drawing/2014/main" id="{00000000-0008-0000-0E00-0000E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5" name="Text Box 484">
          <a:extLst>
            <a:ext uri="{FF2B5EF4-FFF2-40B4-BE49-F238E27FC236}">
              <a16:creationId xmlns:a16="http://schemas.microsoft.com/office/drawing/2014/main" id="{00000000-0008-0000-0E00-0000E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6" name="Text Box 485">
          <a:extLst>
            <a:ext uri="{FF2B5EF4-FFF2-40B4-BE49-F238E27FC236}">
              <a16:creationId xmlns:a16="http://schemas.microsoft.com/office/drawing/2014/main" id="{00000000-0008-0000-0E00-0000E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7" name="Text Box 486">
          <a:extLst>
            <a:ext uri="{FF2B5EF4-FFF2-40B4-BE49-F238E27FC236}">
              <a16:creationId xmlns:a16="http://schemas.microsoft.com/office/drawing/2014/main" id="{00000000-0008-0000-0E00-0000E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8" name="Text Box 487">
          <a:extLst>
            <a:ext uri="{FF2B5EF4-FFF2-40B4-BE49-F238E27FC236}">
              <a16:creationId xmlns:a16="http://schemas.microsoft.com/office/drawing/2014/main" id="{00000000-0008-0000-0E00-0000E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89" name="Text Box 488">
          <a:extLst>
            <a:ext uri="{FF2B5EF4-FFF2-40B4-BE49-F238E27FC236}">
              <a16:creationId xmlns:a16="http://schemas.microsoft.com/office/drawing/2014/main" id="{00000000-0008-0000-0E00-0000E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0" name="Text Box 489">
          <a:extLst>
            <a:ext uri="{FF2B5EF4-FFF2-40B4-BE49-F238E27FC236}">
              <a16:creationId xmlns:a16="http://schemas.microsoft.com/office/drawing/2014/main" id="{00000000-0008-0000-0E00-0000E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1" name="Text Box 490">
          <a:extLst>
            <a:ext uri="{FF2B5EF4-FFF2-40B4-BE49-F238E27FC236}">
              <a16:creationId xmlns:a16="http://schemas.microsoft.com/office/drawing/2014/main" id="{00000000-0008-0000-0E00-0000E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2" name="Text Box 491">
          <a:extLst>
            <a:ext uri="{FF2B5EF4-FFF2-40B4-BE49-F238E27FC236}">
              <a16:creationId xmlns:a16="http://schemas.microsoft.com/office/drawing/2014/main" id="{00000000-0008-0000-0E00-0000E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3" name="Text Box 492">
          <a:extLst>
            <a:ext uri="{FF2B5EF4-FFF2-40B4-BE49-F238E27FC236}">
              <a16:creationId xmlns:a16="http://schemas.microsoft.com/office/drawing/2014/main" id="{00000000-0008-0000-0E00-0000E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4" name="Text Box 493">
          <a:extLst>
            <a:ext uri="{FF2B5EF4-FFF2-40B4-BE49-F238E27FC236}">
              <a16:creationId xmlns:a16="http://schemas.microsoft.com/office/drawing/2014/main" id="{00000000-0008-0000-0E00-0000E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5" name="Text Box 494">
          <a:extLst>
            <a:ext uri="{FF2B5EF4-FFF2-40B4-BE49-F238E27FC236}">
              <a16:creationId xmlns:a16="http://schemas.microsoft.com/office/drawing/2014/main" id="{00000000-0008-0000-0E00-0000E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6" name="Text Box 495">
          <a:extLst>
            <a:ext uri="{FF2B5EF4-FFF2-40B4-BE49-F238E27FC236}">
              <a16:creationId xmlns:a16="http://schemas.microsoft.com/office/drawing/2014/main" id="{00000000-0008-0000-0E00-0000F0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7" name="Text Box 496">
          <a:extLst>
            <a:ext uri="{FF2B5EF4-FFF2-40B4-BE49-F238E27FC236}">
              <a16:creationId xmlns:a16="http://schemas.microsoft.com/office/drawing/2014/main" id="{00000000-0008-0000-0E00-0000F1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8" name="Text Box 497">
          <a:extLst>
            <a:ext uri="{FF2B5EF4-FFF2-40B4-BE49-F238E27FC236}">
              <a16:creationId xmlns:a16="http://schemas.microsoft.com/office/drawing/2014/main" id="{00000000-0008-0000-0E00-0000F2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499" name="Text Box 498">
          <a:extLst>
            <a:ext uri="{FF2B5EF4-FFF2-40B4-BE49-F238E27FC236}">
              <a16:creationId xmlns:a16="http://schemas.microsoft.com/office/drawing/2014/main" id="{00000000-0008-0000-0E00-0000F3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0" name="Text Box 499">
          <a:extLst>
            <a:ext uri="{FF2B5EF4-FFF2-40B4-BE49-F238E27FC236}">
              <a16:creationId xmlns:a16="http://schemas.microsoft.com/office/drawing/2014/main" id="{00000000-0008-0000-0E00-0000F4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1" name="Text Box 500">
          <a:extLst>
            <a:ext uri="{FF2B5EF4-FFF2-40B4-BE49-F238E27FC236}">
              <a16:creationId xmlns:a16="http://schemas.microsoft.com/office/drawing/2014/main" id="{00000000-0008-0000-0E00-0000F5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2" name="Text Box 501">
          <a:extLst>
            <a:ext uri="{FF2B5EF4-FFF2-40B4-BE49-F238E27FC236}">
              <a16:creationId xmlns:a16="http://schemas.microsoft.com/office/drawing/2014/main" id="{00000000-0008-0000-0E00-0000F6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3" name="Text Box 502">
          <a:extLst>
            <a:ext uri="{FF2B5EF4-FFF2-40B4-BE49-F238E27FC236}">
              <a16:creationId xmlns:a16="http://schemas.microsoft.com/office/drawing/2014/main" id="{00000000-0008-0000-0E00-0000F7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4" name="Text Box 503">
          <a:extLst>
            <a:ext uri="{FF2B5EF4-FFF2-40B4-BE49-F238E27FC236}">
              <a16:creationId xmlns:a16="http://schemas.microsoft.com/office/drawing/2014/main" id="{00000000-0008-0000-0E00-0000F8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5" name="Text Box 504">
          <a:extLst>
            <a:ext uri="{FF2B5EF4-FFF2-40B4-BE49-F238E27FC236}">
              <a16:creationId xmlns:a16="http://schemas.microsoft.com/office/drawing/2014/main" id="{00000000-0008-0000-0E00-0000F9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6" name="Text Box 505">
          <a:extLst>
            <a:ext uri="{FF2B5EF4-FFF2-40B4-BE49-F238E27FC236}">
              <a16:creationId xmlns:a16="http://schemas.microsoft.com/office/drawing/2014/main" id="{00000000-0008-0000-0E00-0000FA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7" name="Text Box 506">
          <a:extLst>
            <a:ext uri="{FF2B5EF4-FFF2-40B4-BE49-F238E27FC236}">
              <a16:creationId xmlns:a16="http://schemas.microsoft.com/office/drawing/2014/main" id="{00000000-0008-0000-0E00-0000FB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8" name="Text Box 507">
          <a:extLst>
            <a:ext uri="{FF2B5EF4-FFF2-40B4-BE49-F238E27FC236}">
              <a16:creationId xmlns:a16="http://schemas.microsoft.com/office/drawing/2014/main" id="{00000000-0008-0000-0E00-0000FC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09" name="Text Box 508">
          <a:extLst>
            <a:ext uri="{FF2B5EF4-FFF2-40B4-BE49-F238E27FC236}">
              <a16:creationId xmlns:a16="http://schemas.microsoft.com/office/drawing/2014/main" id="{00000000-0008-0000-0E00-0000FD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0" name="Text Box 509">
          <a:extLst>
            <a:ext uri="{FF2B5EF4-FFF2-40B4-BE49-F238E27FC236}">
              <a16:creationId xmlns:a16="http://schemas.microsoft.com/office/drawing/2014/main" id="{00000000-0008-0000-0E00-0000FE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1" name="Text Box 510">
          <a:extLst>
            <a:ext uri="{FF2B5EF4-FFF2-40B4-BE49-F238E27FC236}">
              <a16:creationId xmlns:a16="http://schemas.microsoft.com/office/drawing/2014/main" id="{00000000-0008-0000-0E00-0000FF01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2" name="Text Box 511">
          <a:extLst>
            <a:ext uri="{FF2B5EF4-FFF2-40B4-BE49-F238E27FC236}">
              <a16:creationId xmlns:a16="http://schemas.microsoft.com/office/drawing/2014/main" id="{00000000-0008-0000-0E00-00000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3" name="Text Box 512">
          <a:extLst>
            <a:ext uri="{FF2B5EF4-FFF2-40B4-BE49-F238E27FC236}">
              <a16:creationId xmlns:a16="http://schemas.microsoft.com/office/drawing/2014/main" id="{00000000-0008-0000-0E00-00000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4" name="Text Box 513">
          <a:extLst>
            <a:ext uri="{FF2B5EF4-FFF2-40B4-BE49-F238E27FC236}">
              <a16:creationId xmlns:a16="http://schemas.microsoft.com/office/drawing/2014/main" id="{00000000-0008-0000-0E00-00000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5" name="Text Box 514">
          <a:extLst>
            <a:ext uri="{FF2B5EF4-FFF2-40B4-BE49-F238E27FC236}">
              <a16:creationId xmlns:a16="http://schemas.microsoft.com/office/drawing/2014/main" id="{00000000-0008-0000-0E00-00000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6" name="Text Box 515">
          <a:extLst>
            <a:ext uri="{FF2B5EF4-FFF2-40B4-BE49-F238E27FC236}">
              <a16:creationId xmlns:a16="http://schemas.microsoft.com/office/drawing/2014/main" id="{00000000-0008-0000-0E00-00000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7" name="Text Box 516">
          <a:extLst>
            <a:ext uri="{FF2B5EF4-FFF2-40B4-BE49-F238E27FC236}">
              <a16:creationId xmlns:a16="http://schemas.microsoft.com/office/drawing/2014/main" id="{00000000-0008-0000-0E00-00000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8" name="Text Box 517">
          <a:extLst>
            <a:ext uri="{FF2B5EF4-FFF2-40B4-BE49-F238E27FC236}">
              <a16:creationId xmlns:a16="http://schemas.microsoft.com/office/drawing/2014/main" id="{00000000-0008-0000-0E00-00000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19" name="Text Box 518">
          <a:extLst>
            <a:ext uri="{FF2B5EF4-FFF2-40B4-BE49-F238E27FC236}">
              <a16:creationId xmlns:a16="http://schemas.microsoft.com/office/drawing/2014/main" id="{00000000-0008-0000-0E00-00000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0" name="Text Box 519">
          <a:extLst>
            <a:ext uri="{FF2B5EF4-FFF2-40B4-BE49-F238E27FC236}">
              <a16:creationId xmlns:a16="http://schemas.microsoft.com/office/drawing/2014/main" id="{00000000-0008-0000-0E00-00000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1" name="Text Box 520">
          <a:extLst>
            <a:ext uri="{FF2B5EF4-FFF2-40B4-BE49-F238E27FC236}">
              <a16:creationId xmlns:a16="http://schemas.microsoft.com/office/drawing/2014/main" id="{00000000-0008-0000-0E00-00000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2" name="Text Box 521">
          <a:extLst>
            <a:ext uri="{FF2B5EF4-FFF2-40B4-BE49-F238E27FC236}">
              <a16:creationId xmlns:a16="http://schemas.microsoft.com/office/drawing/2014/main" id="{00000000-0008-0000-0E00-00000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3" name="Text Box 522">
          <a:extLst>
            <a:ext uri="{FF2B5EF4-FFF2-40B4-BE49-F238E27FC236}">
              <a16:creationId xmlns:a16="http://schemas.microsoft.com/office/drawing/2014/main" id="{00000000-0008-0000-0E00-00000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4" name="Text Box 523">
          <a:extLst>
            <a:ext uri="{FF2B5EF4-FFF2-40B4-BE49-F238E27FC236}">
              <a16:creationId xmlns:a16="http://schemas.microsoft.com/office/drawing/2014/main" id="{00000000-0008-0000-0E00-00000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5" name="Text Box 524">
          <a:extLst>
            <a:ext uri="{FF2B5EF4-FFF2-40B4-BE49-F238E27FC236}">
              <a16:creationId xmlns:a16="http://schemas.microsoft.com/office/drawing/2014/main" id="{00000000-0008-0000-0E00-00000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6" name="Text Box 525">
          <a:extLst>
            <a:ext uri="{FF2B5EF4-FFF2-40B4-BE49-F238E27FC236}">
              <a16:creationId xmlns:a16="http://schemas.microsoft.com/office/drawing/2014/main" id="{00000000-0008-0000-0E00-00000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7" name="Text Box 526">
          <a:extLst>
            <a:ext uri="{FF2B5EF4-FFF2-40B4-BE49-F238E27FC236}">
              <a16:creationId xmlns:a16="http://schemas.microsoft.com/office/drawing/2014/main" id="{00000000-0008-0000-0E00-00000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8" name="Text Box 527">
          <a:extLst>
            <a:ext uri="{FF2B5EF4-FFF2-40B4-BE49-F238E27FC236}">
              <a16:creationId xmlns:a16="http://schemas.microsoft.com/office/drawing/2014/main" id="{00000000-0008-0000-0E00-00001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29" name="Text Box 528">
          <a:extLst>
            <a:ext uri="{FF2B5EF4-FFF2-40B4-BE49-F238E27FC236}">
              <a16:creationId xmlns:a16="http://schemas.microsoft.com/office/drawing/2014/main" id="{00000000-0008-0000-0E00-00001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0" name="Text Box 529">
          <a:extLst>
            <a:ext uri="{FF2B5EF4-FFF2-40B4-BE49-F238E27FC236}">
              <a16:creationId xmlns:a16="http://schemas.microsoft.com/office/drawing/2014/main" id="{00000000-0008-0000-0E00-00001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1" name="Text Box 530">
          <a:extLst>
            <a:ext uri="{FF2B5EF4-FFF2-40B4-BE49-F238E27FC236}">
              <a16:creationId xmlns:a16="http://schemas.microsoft.com/office/drawing/2014/main" id="{00000000-0008-0000-0E00-00001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2" name="Text Box 531">
          <a:extLst>
            <a:ext uri="{FF2B5EF4-FFF2-40B4-BE49-F238E27FC236}">
              <a16:creationId xmlns:a16="http://schemas.microsoft.com/office/drawing/2014/main" id="{00000000-0008-0000-0E00-00001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3" name="Text Box 532">
          <a:extLst>
            <a:ext uri="{FF2B5EF4-FFF2-40B4-BE49-F238E27FC236}">
              <a16:creationId xmlns:a16="http://schemas.microsoft.com/office/drawing/2014/main" id="{00000000-0008-0000-0E00-00001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4" name="Text Box 533">
          <a:extLst>
            <a:ext uri="{FF2B5EF4-FFF2-40B4-BE49-F238E27FC236}">
              <a16:creationId xmlns:a16="http://schemas.microsoft.com/office/drawing/2014/main" id="{00000000-0008-0000-0E00-00001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5" name="Text Box 534">
          <a:extLst>
            <a:ext uri="{FF2B5EF4-FFF2-40B4-BE49-F238E27FC236}">
              <a16:creationId xmlns:a16="http://schemas.microsoft.com/office/drawing/2014/main" id="{00000000-0008-0000-0E00-00001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6" name="Text Box 535">
          <a:extLst>
            <a:ext uri="{FF2B5EF4-FFF2-40B4-BE49-F238E27FC236}">
              <a16:creationId xmlns:a16="http://schemas.microsoft.com/office/drawing/2014/main" id="{00000000-0008-0000-0E00-00001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7" name="Text Box 536">
          <a:extLst>
            <a:ext uri="{FF2B5EF4-FFF2-40B4-BE49-F238E27FC236}">
              <a16:creationId xmlns:a16="http://schemas.microsoft.com/office/drawing/2014/main" id="{00000000-0008-0000-0E00-00001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8" name="Text Box 537">
          <a:extLst>
            <a:ext uri="{FF2B5EF4-FFF2-40B4-BE49-F238E27FC236}">
              <a16:creationId xmlns:a16="http://schemas.microsoft.com/office/drawing/2014/main" id="{00000000-0008-0000-0E00-00001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39" name="Text Box 538">
          <a:extLst>
            <a:ext uri="{FF2B5EF4-FFF2-40B4-BE49-F238E27FC236}">
              <a16:creationId xmlns:a16="http://schemas.microsoft.com/office/drawing/2014/main" id="{00000000-0008-0000-0E00-00001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0" name="Text Box 539">
          <a:extLst>
            <a:ext uri="{FF2B5EF4-FFF2-40B4-BE49-F238E27FC236}">
              <a16:creationId xmlns:a16="http://schemas.microsoft.com/office/drawing/2014/main" id="{00000000-0008-0000-0E00-00001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1" name="Text Box 540">
          <a:extLst>
            <a:ext uri="{FF2B5EF4-FFF2-40B4-BE49-F238E27FC236}">
              <a16:creationId xmlns:a16="http://schemas.microsoft.com/office/drawing/2014/main" id="{00000000-0008-0000-0E00-00001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2" name="Text Box 541">
          <a:extLst>
            <a:ext uri="{FF2B5EF4-FFF2-40B4-BE49-F238E27FC236}">
              <a16:creationId xmlns:a16="http://schemas.microsoft.com/office/drawing/2014/main" id="{00000000-0008-0000-0E00-00001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3" name="Text Box 542">
          <a:extLst>
            <a:ext uri="{FF2B5EF4-FFF2-40B4-BE49-F238E27FC236}">
              <a16:creationId xmlns:a16="http://schemas.microsoft.com/office/drawing/2014/main" id="{00000000-0008-0000-0E00-00001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4" name="Text Box 543">
          <a:extLst>
            <a:ext uri="{FF2B5EF4-FFF2-40B4-BE49-F238E27FC236}">
              <a16:creationId xmlns:a16="http://schemas.microsoft.com/office/drawing/2014/main" id="{00000000-0008-0000-0E00-00002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5" name="Text Box 544">
          <a:extLst>
            <a:ext uri="{FF2B5EF4-FFF2-40B4-BE49-F238E27FC236}">
              <a16:creationId xmlns:a16="http://schemas.microsoft.com/office/drawing/2014/main" id="{00000000-0008-0000-0E00-00002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6" name="Text Box 545">
          <a:extLst>
            <a:ext uri="{FF2B5EF4-FFF2-40B4-BE49-F238E27FC236}">
              <a16:creationId xmlns:a16="http://schemas.microsoft.com/office/drawing/2014/main" id="{00000000-0008-0000-0E00-00002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7" name="Text Box 546">
          <a:extLst>
            <a:ext uri="{FF2B5EF4-FFF2-40B4-BE49-F238E27FC236}">
              <a16:creationId xmlns:a16="http://schemas.microsoft.com/office/drawing/2014/main" id="{00000000-0008-0000-0E00-00002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8" name="Text Box 547">
          <a:extLst>
            <a:ext uri="{FF2B5EF4-FFF2-40B4-BE49-F238E27FC236}">
              <a16:creationId xmlns:a16="http://schemas.microsoft.com/office/drawing/2014/main" id="{00000000-0008-0000-0E00-00002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49" name="Text Box 548">
          <a:extLst>
            <a:ext uri="{FF2B5EF4-FFF2-40B4-BE49-F238E27FC236}">
              <a16:creationId xmlns:a16="http://schemas.microsoft.com/office/drawing/2014/main" id="{00000000-0008-0000-0E00-00002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0" name="Text Box 549">
          <a:extLst>
            <a:ext uri="{FF2B5EF4-FFF2-40B4-BE49-F238E27FC236}">
              <a16:creationId xmlns:a16="http://schemas.microsoft.com/office/drawing/2014/main" id="{00000000-0008-0000-0E00-00002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1" name="Text Box 550">
          <a:extLst>
            <a:ext uri="{FF2B5EF4-FFF2-40B4-BE49-F238E27FC236}">
              <a16:creationId xmlns:a16="http://schemas.microsoft.com/office/drawing/2014/main" id="{00000000-0008-0000-0E00-00002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2" name="Text Box 551">
          <a:extLst>
            <a:ext uri="{FF2B5EF4-FFF2-40B4-BE49-F238E27FC236}">
              <a16:creationId xmlns:a16="http://schemas.microsoft.com/office/drawing/2014/main" id="{00000000-0008-0000-0E00-00002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3" name="Text Box 552">
          <a:extLst>
            <a:ext uri="{FF2B5EF4-FFF2-40B4-BE49-F238E27FC236}">
              <a16:creationId xmlns:a16="http://schemas.microsoft.com/office/drawing/2014/main" id="{00000000-0008-0000-0E00-00002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4" name="Text Box 553">
          <a:extLst>
            <a:ext uri="{FF2B5EF4-FFF2-40B4-BE49-F238E27FC236}">
              <a16:creationId xmlns:a16="http://schemas.microsoft.com/office/drawing/2014/main" id="{00000000-0008-0000-0E00-00002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5" name="Text Box 554">
          <a:extLst>
            <a:ext uri="{FF2B5EF4-FFF2-40B4-BE49-F238E27FC236}">
              <a16:creationId xmlns:a16="http://schemas.microsoft.com/office/drawing/2014/main" id="{00000000-0008-0000-0E00-00002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6" name="Text Box 555">
          <a:extLst>
            <a:ext uri="{FF2B5EF4-FFF2-40B4-BE49-F238E27FC236}">
              <a16:creationId xmlns:a16="http://schemas.microsoft.com/office/drawing/2014/main" id="{00000000-0008-0000-0E00-00002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7" name="Text Box 556">
          <a:extLst>
            <a:ext uri="{FF2B5EF4-FFF2-40B4-BE49-F238E27FC236}">
              <a16:creationId xmlns:a16="http://schemas.microsoft.com/office/drawing/2014/main" id="{00000000-0008-0000-0E00-00002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8" name="Text Box 557">
          <a:extLst>
            <a:ext uri="{FF2B5EF4-FFF2-40B4-BE49-F238E27FC236}">
              <a16:creationId xmlns:a16="http://schemas.microsoft.com/office/drawing/2014/main" id="{00000000-0008-0000-0E00-00002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59" name="Text Box 558">
          <a:extLst>
            <a:ext uri="{FF2B5EF4-FFF2-40B4-BE49-F238E27FC236}">
              <a16:creationId xmlns:a16="http://schemas.microsoft.com/office/drawing/2014/main" id="{00000000-0008-0000-0E00-00002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0" name="Text Box 559">
          <a:extLst>
            <a:ext uri="{FF2B5EF4-FFF2-40B4-BE49-F238E27FC236}">
              <a16:creationId xmlns:a16="http://schemas.microsoft.com/office/drawing/2014/main" id="{00000000-0008-0000-0E00-00003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1" name="Text Box 560">
          <a:extLst>
            <a:ext uri="{FF2B5EF4-FFF2-40B4-BE49-F238E27FC236}">
              <a16:creationId xmlns:a16="http://schemas.microsoft.com/office/drawing/2014/main" id="{00000000-0008-0000-0E00-00003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2" name="Text Box 561">
          <a:extLst>
            <a:ext uri="{FF2B5EF4-FFF2-40B4-BE49-F238E27FC236}">
              <a16:creationId xmlns:a16="http://schemas.microsoft.com/office/drawing/2014/main" id="{00000000-0008-0000-0E00-00003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3" name="Text Box 562">
          <a:extLst>
            <a:ext uri="{FF2B5EF4-FFF2-40B4-BE49-F238E27FC236}">
              <a16:creationId xmlns:a16="http://schemas.microsoft.com/office/drawing/2014/main" id="{00000000-0008-0000-0E00-00003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4" name="Text Box 563">
          <a:extLst>
            <a:ext uri="{FF2B5EF4-FFF2-40B4-BE49-F238E27FC236}">
              <a16:creationId xmlns:a16="http://schemas.microsoft.com/office/drawing/2014/main" id="{00000000-0008-0000-0E00-00003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5" name="Text Box 564">
          <a:extLst>
            <a:ext uri="{FF2B5EF4-FFF2-40B4-BE49-F238E27FC236}">
              <a16:creationId xmlns:a16="http://schemas.microsoft.com/office/drawing/2014/main" id="{00000000-0008-0000-0E00-00003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6" name="Text Box 565">
          <a:extLst>
            <a:ext uri="{FF2B5EF4-FFF2-40B4-BE49-F238E27FC236}">
              <a16:creationId xmlns:a16="http://schemas.microsoft.com/office/drawing/2014/main" id="{00000000-0008-0000-0E00-00003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7" name="Text Box 566">
          <a:extLst>
            <a:ext uri="{FF2B5EF4-FFF2-40B4-BE49-F238E27FC236}">
              <a16:creationId xmlns:a16="http://schemas.microsoft.com/office/drawing/2014/main" id="{00000000-0008-0000-0E00-00003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8" name="Text Box 567">
          <a:extLst>
            <a:ext uri="{FF2B5EF4-FFF2-40B4-BE49-F238E27FC236}">
              <a16:creationId xmlns:a16="http://schemas.microsoft.com/office/drawing/2014/main" id="{00000000-0008-0000-0E00-00003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69" name="Text Box 568">
          <a:extLst>
            <a:ext uri="{FF2B5EF4-FFF2-40B4-BE49-F238E27FC236}">
              <a16:creationId xmlns:a16="http://schemas.microsoft.com/office/drawing/2014/main" id="{00000000-0008-0000-0E00-00003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0" name="Text Box 569">
          <a:extLst>
            <a:ext uri="{FF2B5EF4-FFF2-40B4-BE49-F238E27FC236}">
              <a16:creationId xmlns:a16="http://schemas.microsoft.com/office/drawing/2014/main" id="{00000000-0008-0000-0E00-00003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1" name="Text Box 570">
          <a:extLst>
            <a:ext uri="{FF2B5EF4-FFF2-40B4-BE49-F238E27FC236}">
              <a16:creationId xmlns:a16="http://schemas.microsoft.com/office/drawing/2014/main" id="{00000000-0008-0000-0E00-00003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2" name="Text Box 571">
          <a:extLst>
            <a:ext uri="{FF2B5EF4-FFF2-40B4-BE49-F238E27FC236}">
              <a16:creationId xmlns:a16="http://schemas.microsoft.com/office/drawing/2014/main" id="{00000000-0008-0000-0E00-00003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3" name="Text Box 572">
          <a:extLst>
            <a:ext uri="{FF2B5EF4-FFF2-40B4-BE49-F238E27FC236}">
              <a16:creationId xmlns:a16="http://schemas.microsoft.com/office/drawing/2014/main" id="{00000000-0008-0000-0E00-00003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4" name="Text Box 573">
          <a:extLst>
            <a:ext uri="{FF2B5EF4-FFF2-40B4-BE49-F238E27FC236}">
              <a16:creationId xmlns:a16="http://schemas.microsoft.com/office/drawing/2014/main" id="{00000000-0008-0000-0E00-00003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5" name="Text Box 574">
          <a:extLst>
            <a:ext uri="{FF2B5EF4-FFF2-40B4-BE49-F238E27FC236}">
              <a16:creationId xmlns:a16="http://schemas.microsoft.com/office/drawing/2014/main" id="{00000000-0008-0000-0E00-00003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6" name="Text Box 575">
          <a:extLst>
            <a:ext uri="{FF2B5EF4-FFF2-40B4-BE49-F238E27FC236}">
              <a16:creationId xmlns:a16="http://schemas.microsoft.com/office/drawing/2014/main" id="{00000000-0008-0000-0E00-00004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7" name="Text Box 576">
          <a:extLst>
            <a:ext uri="{FF2B5EF4-FFF2-40B4-BE49-F238E27FC236}">
              <a16:creationId xmlns:a16="http://schemas.microsoft.com/office/drawing/2014/main" id="{00000000-0008-0000-0E00-00004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8" name="Text Box 577">
          <a:extLst>
            <a:ext uri="{FF2B5EF4-FFF2-40B4-BE49-F238E27FC236}">
              <a16:creationId xmlns:a16="http://schemas.microsoft.com/office/drawing/2014/main" id="{00000000-0008-0000-0E00-00004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79" name="Text Box 578">
          <a:extLst>
            <a:ext uri="{FF2B5EF4-FFF2-40B4-BE49-F238E27FC236}">
              <a16:creationId xmlns:a16="http://schemas.microsoft.com/office/drawing/2014/main" id="{00000000-0008-0000-0E00-00004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0" name="Text Box 579">
          <a:extLst>
            <a:ext uri="{FF2B5EF4-FFF2-40B4-BE49-F238E27FC236}">
              <a16:creationId xmlns:a16="http://schemas.microsoft.com/office/drawing/2014/main" id="{00000000-0008-0000-0E00-00004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1" name="Text Box 580">
          <a:extLst>
            <a:ext uri="{FF2B5EF4-FFF2-40B4-BE49-F238E27FC236}">
              <a16:creationId xmlns:a16="http://schemas.microsoft.com/office/drawing/2014/main" id="{00000000-0008-0000-0E00-00004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2" name="Text Box 581">
          <a:extLst>
            <a:ext uri="{FF2B5EF4-FFF2-40B4-BE49-F238E27FC236}">
              <a16:creationId xmlns:a16="http://schemas.microsoft.com/office/drawing/2014/main" id="{00000000-0008-0000-0E00-00004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3" name="Text Box 582">
          <a:extLst>
            <a:ext uri="{FF2B5EF4-FFF2-40B4-BE49-F238E27FC236}">
              <a16:creationId xmlns:a16="http://schemas.microsoft.com/office/drawing/2014/main" id="{00000000-0008-0000-0E00-00004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4" name="Text Box 583">
          <a:extLst>
            <a:ext uri="{FF2B5EF4-FFF2-40B4-BE49-F238E27FC236}">
              <a16:creationId xmlns:a16="http://schemas.microsoft.com/office/drawing/2014/main" id="{00000000-0008-0000-0E00-00004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5" name="Text Box 584">
          <a:extLst>
            <a:ext uri="{FF2B5EF4-FFF2-40B4-BE49-F238E27FC236}">
              <a16:creationId xmlns:a16="http://schemas.microsoft.com/office/drawing/2014/main" id="{00000000-0008-0000-0E00-00004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6" name="Text Box 585">
          <a:extLst>
            <a:ext uri="{FF2B5EF4-FFF2-40B4-BE49-F238E27FC236}">
              <a16:creationId xmlns:a16="http://schemas.microsoft.com/office/drawing/2014/main" id="{00000000-0008-0000-0E00-00004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7" name="Text Box 586">
          <a:extLst>
            <a:ext uri="{FF2B5EF4-FFF2-40B4-BE49-F238E27FC236}">
              <a16:creationId xmlns:a16="http://schemas.microsoft.com/office/drawing/2014/main" id="{00000000-0008-0000-0E00-00004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8" name="Text Box 587">
          <a:extLst>
            <a:ext uri="{FF2B5EF4-FFF2-40B4-BE49-F238E27FC236}">
              <a16:creationId xmlns:a16="http://schemas.microsoft.com/office/drawing/2014/main" id="{00000000-0008-0000-0E00-00004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89" name="Text Box 588">
          <a:extLst>
            <a:ext uri="{FF2B5EF4-FFF2-40B4-BE49-F238E27FC236}">
              <a16:creationId xmlns:a16="http://schemas.microsoft.com/office/drawing/2014/main" id="{00000000-0008-0000-0E00-00004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0" name="Text Box 589">
          <a:extLst>
            <a:ext uri="{FF2B5EF4-FFF2-40B4-BE49-F238E27FC236}">
              <a16:creationId xmlns:a16="http://schemas.microsoft.com/office/drawing/2014/main" id="{00000000-0008-0000-0E00-00004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1" name="Text Box 590">
          <a:extLst>
            <a:ext uri="{FF2B5EF4-FFF2-40B4-BE49-F238E27FC236}">
              <a16:creationId xmlns:a16="http://schemas.microsoft.com/office/drawing/2014/main" id="{00000000-0008-0000-0E00-00004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2" name="Text Box 591">
          <a:extLst>
            <a:ext uri="{FF2B5EF4-FFF2-40B4-BE49-F238E27FC236}">
              <a16:creationId xmlns:a16="http://schemas.microsoft.com/office/drawing/2014/main" id="{00000000-0008-0000-0E00-00005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3" name="Text Box 592">
          <a:extLst>
            <a:ext uri="{FF2B5EF4-FFF2-40B4-BE49-F238E27FC236}">
              <a16:creationId xmlns:a16="http://schemas.microsoft.com/office/drawing/2014/main" id="{00000000-0008-0000-0E00-00005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4" name="Text Box 593">
          <a:extLst>
            <a:ext uri="{FF2B5EF4-FFF2-40B4-BE49-F238E27FC236}">
              <a16:creationId xmlns:a16="http://schemas.microsoft.com/office/drawing/2014/main" id="{00000000-0008-0000-0E00-00005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5" name="Text Box 594">
          <a:extLst>
            <a:ext uri="{FF2B5EF4-FFF2-40B4-BE49-F238E27FC236}">
              <a16:creationId xmlns:a16="http://schemas.microsoft.com/office/drawing/2014/main" id="{00000000-0008-0000-0E00-00005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6" name="Text Box 595">
          <a:extLst>
            <a:ext uri="{FF2B5EF4-FFF2-40B4-BE49-F238E27FC236}">
              <a16:creationId xmlns:a16="http://schemas.microsoft.com/office/drawing/2014/main" id="{00000000-0008-0000-0E00-00005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7" name="Text Box 596">
          <a:extLst>
            <a:ext uri="{FF2B5EF4-FFF2-40B4-BE49-F238E27FC236}">
              <a16:creationId xmlns:a16="http://schemas.microsoft.com/office/drawing/2014/main" id="{00000000-0008-0000-0E00-00005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8" name="Text Box 597">
          <a:extLst>
            <a:ext uri="{FF2B5EF4-FFF2-40B4-BE49-F238E27FC236}">
              <a16:creationId xmlns:a16="http://schemas.microsoft.com/office/drawing/2014/main" id="{00000000-0008-0000-0E00-00005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599" name="Text Box 598">
          <a:extLst>
            <a:ext uri="{FF2B5EF4-FFF2-40B4-BE49-F238E27FC236}">
              <a16:creationId xmlns:a16="http://schemas.microsoft.com/office/drawing/2014/main" id="{00000000-0008-0000-0E00-00005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0" name="Text Box 599">
          <a:extLst>
            <a:ext uri="{FF2B5EF4-FFF2-40B4-BE49-F238E27FC236}">
              <a16:creationId xmlns:a16="http://schemas.microsoft.com/office/drawing/2014/main" id="{00000000-0008-0000-0E00-00005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1" name="Text Box 600">
          <a:extLst>
            <a:ext uri="{FF2B5EF4-FFF2-40B4-BE49-F238E27FC236}">
              <a16:creationId xmlns:a16="http://schemas.microsoft.com/office/drawing/2014/main" id="{00000000-0008-0000-0E00-00005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2" name="Text Box 601">
          <a:extLst>
            <a:ext uri="{FF2B5EF4-FFF2-40B4-BE49-F238E27FC236}">
              <a16:creationId xmlns:a16="http://schemas.microsoft.com/office/drawing/2014/main" id="{00000000-0008-0000-0E00-00005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3" name="Text Box 602">
          <a:extLst>
            <a:ext uri="{FF2B5EF4-FFF2-40B4-BE49-F238E27FC236}">
              <a16:creationId xmlns:a16="http://schemas.microsoft.com/office/drawing/2014/main" id="{00000000-0008-0000-0E00-00005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4" name="Text Box 603">
          <a:extLst>
            <a:ext uri="{FF2B5EF4-FFF2-40B4-BE49-F238E27FC236}">
              <a16:creationId xmlns:a16="http://schemas.microsoft.com/office/drawing/2014/main" id="{00000000-0008-0000-0E00-00005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5" name="Text Box 604">
          <a:extLst>
            <a:ext uri="{FF2B5EF4-FFF2-40B4-BE49-F238E27FC236}">
              <a16:creationId xmlns:a16="http://schemas.microsoft.com/office/drawing/2014/main" id="{00000000-0008-0000-0E00-00005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6" name="Text Box 605">
          <a:extLst>
            <a:ext uri="{FF2B5EF4-FFF2-40B4-BE49-F238E27FC236}">
              <a16:creationId xmlns:a16="http://schemas.microsoft.com/office/drawing/2014/main" id="{00000000-0008-0000-0E00-00005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7" name="Text Box 606">
          <a:extLst>
            <a:ext uri="{FF2B5EF4-FFF2-40B4-BE49-F238E27FC236}">
              <a16:creationId xmlns:a16="http://schemas.microsoft.com/office/drawing/2014/main" id="{00000000-0008-0000-0E00-00005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8" name="Text Box 607">
          <a:extLst>
            <a:ext uri="{FF2B5EF4-FFF2-40B4-BE49-F238E27FC236}">
              <a16:creationId xmlns:a16="http://schemas.microsoft.com/office/drawing/2014/main" id="{00000000-0008-0000-0E00-00006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09" name="Text Box 608">
          <a:extLst>
            <a:ext uri="{FF2B5EF4-FFF2-40B4-BE49-F238E27FC236}">
              <a16:creationId xmlns:a16="http://schemas.microsoft.com/office/drawing/2014/main" id="{00000000-0008-0000-0E00-00006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0" name="Text Box 609">
          <a:extLst>
            <a:ext uri="{FF2B5EF4-FFF2-40B4-BE49-F238E27FC236}">
              <a16:creationId xmlns:a16="http://schemas.microsoft.com/office/drawing/2014/main" id="{00000000-0008-0000-0E00-00006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1" name="Text Box 610">
          <a:extLst>
            <a:ext uri="{FF2B5EF4-FFF2-40B4-BE49-F238E27FC236}">
              <a16:creationId xmlns:a16="http://schemas.microsoft.com/office/drawing/2014/main" id="{00000000-0008-0000-0E00-00006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2" name="Text Box 611">
          <a:extLst>
            <a:ext uri="{FF2B5EF4-FFF2-40B4-BE49-F238E27FC236}">
              <a16:creationId xmlns:a16="http://schemas.microsoft.com/office/drawing/2014/main" id="{00000000-0008-0000-0E00-00006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3" name="Text Box 612">
          <a:extLst>
            <a:ext uri="{FF2B5EF4-FFF2-40B4-BE49-F238E27FC236}">
              <a16:creationId xmlns:a16="http://schemas.microsoft.com/office/drawing/2014/main" id="{00000000-0008-0000-0E00-00006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4" name="Text Box 613">
          <a:extLst>
            <a:ext uri="{FF2B5EF4-FFF2-40B4-BE49-F238E27FC236}">
              <a16:creationId xmlns:a16="http://schemas.microsoft.com/office/drawing/2014/main" id="{00000000-0008-0000-0E00-00006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5" name="Text Box 614">
          <a:extLst>
            <a:ext uri="{FF2B5EF4-FFF2-40B4-BE49-F238E27FC236}">
              <a16:creationId xmlns:a16="http://schemas.microsoft.com/office/drawing/2014/main" id="{00000000-0008-0000-0E00-00006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6" name="Text Box 615">
          <a:extLst>
            <a:ext uri="{FF2B5EF4-FFF2-40B4-BE49-F238E27FC236}">
              <a16:creationId xmlns:a16="http://schemas.microsoft.com/office/drawing/2014/main" id="{00000000-0008-0000-0E00-00006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7" name="Text Box 616">
          <a:extLst>
            <a:ext uri="{FF2B5EF4-FFF2-40B4-BE49-F238E27FC236}">
              <a16:creationId xmlns:a16="http://schemas.microsoft.com/office/drawing/2014/main" id="{00000000-0008-0000-0E00-00006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8" name="Text Box 617">
          <a:extLst>
            <a:ext uri="{FF2B5EF4-FFF2-40B4-BE49-F238E27FC236}">
              <a16:creationId xmlns:a16="http://schemas.microsoft.com/office/drawing/2014/main" id="{00000000-0008-0000-0E00-00006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19" name="Text Box 618">
          <a:extLst>
            <a:ext uri="{FF2B5EF4-FFF2-40B4-BE49-F238E27FC236}">
              <a16:creationId xmlns:a16="http://schemas.microsoft.com/office/drawing/2014/main" id="{00000000-0008-0000-0E00-00006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0" name="Text Box 619">
          <a:extLst>
            <a:ext uri="{FF2B5EF4-FFF2-40B4-BE49-F238E27FC236}">
              <a16:creationId xmlns:a16="http://schemas.microsoft.com/office/drawing/2014/main" id="{00000000-0008-0000-0E00-00006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1" name="Text Box 620">
          <a:extLst>
            <a:ext uri="{FF2B5EF4-FFF2-40B4-BE49-F238E27FC236}">
              <a16:creationId xmlns:a16="http://schemas.microsoft.com/office/drawing/2014/main" id="{00000000-0008-0000-0E00-00006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2" name="Text Box 621">
          <a:extLst>
            <a:ext uri="{FF2B5EF4-FFF2-40B4-BE49-F238E27FC236}">
              <a16:creationId xmlns:a16="http://schemas.microsoft.com/office/drawing/2014/main" id="{00000000-0008-0000-0E00-00006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3" name="Text Box 622">
          <a:extLst>
            <a:ext uri="{FF2B5EF4-FFF2-40B4-BE49-F238E27FC236}">
              <a16:creationId xmlns:a16="http://schemas.microsoft.com/office/drawing/2014/main" id="{00000000-0008-0000-0E00-00006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4" name="Text Box 623">
          <a:extLst>
            <a:ext uri="{FF2B5EF4-FFF2-40B4-BE49-F238E27FC236}">
              <a16:creationId xmlns:a16="http://schemas.microsoft.com/office/drawing/2014/main" id="{00000000-0008-0000-0E00-00007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5" name="Text Box 624">
          <a:extLst>
            <a:ext uri="{FF2B5EF4-FFF2-40B4-BE49-F238E27FC236}">
              <a16:creationId xmlns:a16="http://schemas.microsoft.com/office/drawing/2014/main" id="{00000000-0008-0000-0E00-00007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6" name="Text Box 625">
          <a:extLst>
            <a:ext uri="{FF2B5EF4-FFF2-40B4-BE49-F238E27FC236}">
              <a16:creationId xmlns:a16="http://schemas.microsoft.com/office/drawing/2014/main" id="{00000000-0008-0000-0E00-00007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7" name="Text Box 626">
          <a:extLst>
            <a:ext uri="{FF2B5EF4-FFF2-40B4-BE49-F238E27FC236}">
              <a16:creationId xmlns:a16="http://schemas.microsoft.com/office/drawing/2014/main" id="{00000000-0008-0000-0E00-00007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8" name="Text Box 627">
          <a:extLst>
            <a:ext uri="{FF2B5EF4-FFF2-40B4-BE49-F238E27FC236}">
              <a16:creationId xmlns:a16="http://schemas.microsoft.com/office/drawing/2014/main" id="{00000000-0008-0000-0E00-00007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29" name="Text Box 628">
          <a:extLst>
            <a:ext uri="{FF2B5EF4-FFF2-40B4-BE49-F238E27FC236}">
              <a16:creationId xmlns:a16="http://schemas.microsoft.com/office/drawing/2014/main" id="{00000000-0008-0000-0E00-00007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0" name="Text Box 629">
          <a:extLst>
            <a:ext uri="{FF2B5EF4-FFF2-40B4-BE49-F238E27FC236}">
              <a16:creationId xmlns:a16="http://schemas.microsoft.com/office/drawing/2014/main" id="{00000000-0008-0000-0E00-00007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1" name="Text Box 630">
          <a:extLst>
            <a:ext uri="{FF2B5EF4-FFF2-40B4-BE49-F238E27FC236}">
              <a16:creationId xmlns:a16="http://schemas.microsoft.com/office/drawing/2014/main" id="{00000000-0008-0000-0E00-00007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2" name="Text Box 631">
          <a:extLst>
            <a:ext uri="{FF2B5EF4-FFF2-40B4-BE49-F238E27FC236}">
              <a16:creationId xmlns:a16="http://schemas.microsoft.com/office/drawing/2014/main" id="{00000000-0008-0000-0E00-00007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3" name="Text Box 632">
          <a:extLst>
            <a:ext uri="{FF2B5EF4-FFF2-40B4-BE49-F238E27FC236}">
              <a16:creationId xmlns:a16="http://schemas.microsoft.com/office/drawing/2014/main" id="{00000000-0008-0000-0E00-00007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4" name="Text Box 633">
          <a:extLst>
            <a:ext uri="{FF2B5EF4-FFF2-40B4-BE49-F238E27FC236}">
              <a16:creationId xmlns:a16="http://schemas.microsoft.com/office/drawing/2014/main" id="{00000000-0008-0000-0E00-00007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5" name="Text Box 634">
          <a:extLst>
            <a:ext uri="{FF2B5EF4-FFF2-40B4-BE49-F238E27FC236}">
              <a16:creationId xmlns:a16="http://schemas.microsoft.com/office/drawing/2014/main" id="{00000000-0008-0000-0E00-00007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6" name="Text Box 635">
          <a:extLst>
            <a:ext uri="{FF2B5EF4-FFF2-40B4-BE49-F238E27FC236}">
              <a16:creationId xmlns:a16="http://schemas.microsoft.com/office/drawing/2014/main" id="{00000000-0008-0000-0E00-00007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7" name="Text Box 636">
          <a:extLst>
            <a:ext uri="{FF2B5EF4-FFF2-40B4-BE49-F238E27FC236}">
              <a16:creationId xmlns:a16="http://schemas.microsoft.com/office/drawing/2014/main" id="{00000000-0008-0000-0E00-00007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8" name="Text Box 637">
          <a:extLst>
            <a:ext uri="{FF2B5EF4-FFF2-40B4-BE49-F238E27FC236}">
              <a16:creationId xmlns:a16="http://schemas.microsoft.com/office/drawing/2014/main" id="{00000000-0008-0000-0E00-00007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39" name="Text Box 638">
          <a:extLst>
            <a:ext uri="{FF2B5EF4-FFF2-40B4-BE49-F238E27FC236}">
              <a16:creationId xmlns:a16="http://schemas.microsoft.com/office/drawing/2014/main" id="{00000000-0008-0000-0E00-00007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0" name="Text Box 639">
          <a:extLst>
            <a:ext uri="{FF2B5EF4-FFF2-40B4-BE49-F238E27FC236}">
              <a16:creationId xmlns:a16="http://schemas.microsoft.com/office/drawing/2014/main" id="{00000000-0008-0000-0E00-00008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1" name="Text Box 640">
          <a:extLst>
            <a:ext uri="{FF2B5EF4-FFF2-40B4-BE49-F238E27FC236}">
              <a16:creationId xmlns:a16="http://schemas.microsoft.com/office/drawing/2014/main" id="{00000000-0008-0000-0E00-00008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2" name="Text Box 641">
          <a:extLst>
            <a:ext uri="{FF2B5EF4-FFF2-40B4-BE49-F238E27FC236}">
              <a16:creationId xmlns:a16="http://schemas.microsoft.com/office/drawing/2014/main" id="{00000000-0008-0000-0E00-00008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3" name="Text Box 642">
          <a:extLst>
            <a:ext uri="{FF2B5EF4-FFF2-40B4-BE49-F238E27FC236}">
              <a16:creationId xmlns:a16="http://schemas.microsoft.com/office/drawing/2014/main" id="{00000000-0008-0000-0E00-00008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4" name="Text Box 643">
          <a:extLst>
            <a:ext uri="{FF2B5EF4-FFF2-40B4-BE49-F238E27FC236}">
              <a16:creationId xmlns:a16="http://schemas.microsoft.com/office/drawing/2014/main" id="{00000000-0008-0000-0E00-00008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5" name="Text Box 644">
          <a:extLst>
            <a:ext uri="{FF2B5EF4-FFF2-40B4-BE49-F238E27FC236}">
              <a16:creationId xmlns:a16="http://schemas.microsoft.com/office/drawing/2014/main" id="{00000000-0008-0000-0E00-00008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6" name="Text Box 645">
          <a:extLst>
            <a:ext uri="{FF2B5EF4-FFF2-40B4-BE49-F238E27FC236}">
              <a16:creationId xmlns:a16="http://schemas.microsoft.com/office/drawing/2014/main" id="{00000000-0008-0000-0E00-00008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7" name="Text Box 646">
          <a:extLst>
            <a:ext uri="{FF2B5EF4-FFF2-40B4-BE49-F238E27FC236}">
              <a16:creationId xmlns:a16="http://schemas.microsoft.com/office/drawing/2014/main" id="{00000000-0008-0000-0E00-00008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8" name="Text Box 647">
          <a:extLst>
            <a:ext uri="{FF2B5EF4-FFF2-40B4-BE49-F238E27FC236}">
              <a16:creationId xmlns:a16="http://schemas.microsoft.com/office/drawing/2014/main" id="{00000000-0008-0000-0E00-00008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49" name="Text Box 648">
          <a:extLst>
            <a:ext uri="{FF2B5EF4-FFF2-40B4-BE49-F238E27FC236}">
              <a16:creationId xmlns:a16="http://schemas.microsoft.com/office/drawing/2014/main" id="{00000000-0008-0000-0E00-00008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0" name="Text Box 649">
          <a:extLst>
            <a:ext uri="{FF2B5EF4-FFF2-40B4-BE49-F238E27FC236}">
              <a16:creationId xmlns:a16="http://schemas.microsoft.com/office/drawing/2014/main" id="{00000000-0008-0000-0E00-00008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1" name="Text Box 650">
          <a:extLst>
            <a:ext uri="{FF2B5EF4-FFF2-40B4-BE49-F238E27FC236}">
              <a16:creationId xmlns:a16="http://schemas.microsoft.com/office/drawing/2014/main" id="{00000000-0008-0000-0E00-00008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2" name="Text Box 651">
          <a:extLst>
            <a:ext uri="{FF2B5EF4-FFF2-40B4-BE49-F238E27FC236}">
              <a16:creationId xmlns:a16="http://schemas.microsoft.com/office/drawing/2014/main" id="{00000000-0008-0000-0E00-00008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3" name="Text Box 652">
          <a:extLst>
            <a:ext uri="{FF2B5EF4-FFF2-40B4-BE49-F238E27FC236}">
              <a16:creationId xmlns:a16="http://schemas.microsoft.com/office/drawing/2014/main" id="{00000000-0008-0000-0E00-00008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4" name="Text Box 653">
          <a:extLst>
            <a:ext uri="{FF2B5EF4-FFF2-40B4-BE49-F238E27FC236}">
              <a16:creationId xmlns:a16="http://schemas.microsoft.com/office/drawing/2014/main" id="{00000000-0008-0000-0E00-00008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5" name="Text Box 654">
          <a:extLst>
            <a:ext uri="{FF2B5EF4-FFF2-40B4-BE49-F238E27FC236}">
              <a16:creationId xmlns:a16="http://schemas.microsoft.com/office/drawing/2014/main" id="{00000000-0008-0000-0E00-00008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6" name="Text Box 655">
          <a:extLst>
            <a:ext uri="{FF2B5EF4-FFF2-40B4-BE49-F238E27FC236}">
              <a16:creationId xmlns:a16="http://schemas.microsoft.com/office/drawing/2014/main" id="{00000000-0008-0000-0E00-00009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7" name="Text Box 656">
          <a:extLst>
            <a:ext uri="{FF2B5EF4-FFF2-40B4-BE49-F238E27FC236}">
              <a16:creationId xmlns:a16="http://schemas.microsoft.com/office/drawing/2014/main" id="{00000000-0008-0000-0E00-00009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8" name="Text Box 657">
          <a:extLst>
            <a:ext uri="{FF2B5EF4-FFF2-40B4-BE49-F238E27FC236}">
              <a16:creationId xmlns:a16="http://schemas.microsoft.com/office/drawing/2014/main" id="{00000000-0008-0000-0E00-00009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59" name="Text Box 658">
          <a:extLst>
            <a:ext uri="{FF2B5EF4-FFF2-40B4-BE49-F238E27FC236}">
              <a16:creationId xmlns:a16="http://schemas.microsoft.com/office/drawing/2014/main" id="{00000000-0008-0000-0E00-00009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0" name="Text Box 659">
          <a:extLst>
            <a:ext uri="{FF2B5EF4-FFF2-40B4-BE49-F238E27FC236}">
              <a16:creationId xmlns:a16="http://schemas.microsoft.com/office/drawing/2014/main" id="{00000000-0008-0000-0E00-00009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1" name="Text Box 660">
          <a:extLst>
            <a:ext uri="{FF2B5EF4-FFF2-40B4-BE49-F238E27FC236}">
              <a16:creationId xmlns:a16="http://schemas.microsoft.com/office/drawing/2014/main" id="{00000000-0008-0000-0E00-00009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2" name="Text Box 661">
          <a:extLst>
            <a:ext uri="{FF2B5EF4-FFF2-40B4-BE49-F238E27FC236}">
              <a16:creationId xmlns:a16="http://schemas.microsoft.com/office/drawing/2014/main" id="{00000000-0008-0000-0E00-00009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3" name="Text Box 662">
          <a:extLst>
            <a:ext uri="{FF2B5EF4-FFF2-40B4-BE49-F238E27FC236}">
              <a16:creationId xmlns:a16="http://schemas.microsoft.com/office/drawing/2014/main" id="{00000000-0008-0000-0E00-00009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4" name="Text Box 663">
          <a:extLst>
            <a:ext uri="{FF2B5EF4-FFF2-40B4-BE49-F238E27FC236}">
              <a16:creationId xmlns:a16="http://schemas.microsoft.com/office/drawing/2014/main" id="{00000000-0008-0000-0E00-00009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5" name="Text Box 664">
          <a:extLst>
            <a:ext uri="{FF2B5EF4-FFF2-40B4-BE49-F238E27FC236}">
              <a16:creationId xmlns:a16="http://schemas.microsoft.com/office/drawing/2014/main" id="{00000000-0008-0000-0E00-00009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6" name="Text Box 665">
          <a:extLst>
            <a:ext uri="{FF2B5EF4-FFF2-40B4-BE49-F238E27FC236}">
              <a16:creationId xmlns:a16="http://schemas.microsoft.com/office/drawing/2014/main" id="{00000000-0008-0000-0E00-00009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7" name="Text Box 666">
          <a:extLst>
            <a:ext uri="{FF2B5EF4-FFF2-40B4-BE49-F238E27FC236}">
              <a16:creationId xmlns:a16="http://schemas.microsoft.com/office/drawing/2014/main" id="{00000000-0008-0000-0E00-00009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8" name="Text Box 667">
          <a:extLst>
            <a:ext uri="{FF2B5EF4-FFF2-40B4-BE49-F238E27FC236}">
              <a16:creationId xmlns:a16="http://schemas.microsoft.com/office/drawing/2014/main" id="{00000000-0008-0000-0E00-00009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69" name="Text Box 668">
          <a:extLst>
            <a:ext uri="{FF2B5EF4-FFF2-40B4-BE49-F238E27FC236}">
              <a16:creationId xmlns:a16="http://schemas.microsoft.com/office/drawing/2014/main" id="{00000000-0008-0000-0E00-00009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0" name="Text Box 669">
          <a:extLst>
            <a:ext uri="{FF2B5EF4-FFF2-40B4-BE49-F238E27FC236}">
              <a16:creationId xmlns:a16="http://schemas.microsoft.com/office/drawing/2014/main" id="{00000000-0008-0000-0E00-00009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1" name="Text Box 670">
          <a:extLst>
            <a:ext uri="{FF2B5EF4-FFF2-40B4-BE49-F238E27FC236}">
              <a16:creationId xmlns:a16="http://schemas.microsoft.com/office/drawing/2014/main" id="{00000000-0008-0000-0E00-00009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2" name="Text Box 671">
          <a:extLst>
            <a:ext uri="{FF2B5EF4-FFF2-40B4-BE49-F238E27FC236}">
              <a16:creationId xmlns:a16="http://schemas.microsoft.com/office/drawing/2014/main" id="{00000000-0008-0000-0E00-0000A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3" name="Text Box 672">
          <a:extLst>
            <a:ext uri="{FF2B5EF4-FFF2-40B4-BE49-F238E27FC236}">
              <a16:creationId xmlns:a16="http://schemas.microsoft.com/office/drawing/2014/main" id="{00000000-0008-0000-0E00-0000A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4" name="Text Box 673">
          <a:extLst>
            <a:ext uri="{FF2B5EF4-FFF2-40B4-BE49-F238E27FC236}">
              <a16:creationId xmlns:a16="http://schemas.microsoft.com/office/drawing/2014/main" id="{00000000-0008-0000-0E00-0000A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5" name="Text Box 674">
          <a:extLst>
            <a:ext uri="{FF2B5EF4-FFF2-40B4-BE49-F238E27FC236}">
              <a16:creationId xmlns:a16="http://schemas.microsoft.com/office/drawing/2014/main" id="{00000000-0008-0000-0E00-0000A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6" name="Text Box 675">
          <a:extLst>
            <a:ext uri="{FF2B5EF4-FFF2-40B4-BE49-F238E27FC236}">
              <a16:creationId xmlns:a16="http://schemas.microsoft.com/office/drawing/2014/main" id="{00000000-0008-0000-0E00-0000A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7" name="Text Box 676">
          <a:extLst>
            <a:ext uri="{FF2B5EF4-FFF2-40B4-BE49-F238E27FC236}">
              <a16:creationId xmlns:a16="http://schemas.microsoft.com/office/drawing/2014/main" id="{00000000-0008-0000-0E00-0000A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8" name="Text Box 677">
          <a:extLst>
            <a:ext uri="{FF2B5EF4-FFF2-40B4-BE49-F238E27FC236}">
              <a16:creationId xmlns:a16="http://schemas.microsoft.com/office/drawing/2014/main" id="{00000000-0008-0000-0E00-0000A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79" name="Text Box 678">
          <a:extLst>
            <a:ext uri="{FF2B5EF4-FFF2-40B4-BE49-F238E27FC236}">
              <a16:creationId xmlns:a16="http://schemas.microsoft.com/office/drawing/2014/main" id="{00000000-0008-0000-0E00-0000A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0" name="Text Box 679">
          <a:extLst>
            <a:ext uri="{FF2B5EF4-FFF2-40B4-BE49-F238E27FC236}">
              <a16:creationId xmlns:a16="http://schemas.microsoft.com/office/drawing/2014/main" id="{00000000-0008-0000-0E00-0000A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1" name="Text Box 680">
          <a:extLst>
            <a:ext uri="{FF2B5EF4-FFF2-40B4-BE49-F238E27FC236}">
              <a16:creationId xmlns:a16="http://schemas.microsoft.com/office/drawing/2014/main" id="{00000000-0008-0000-0E00-0000A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2" name="Text Box 681">
          <a:extLst>
            <a:ext uri="{FF2B5EF4-FFF2-40B4-BE49-F238E27FC236}">
              <a16:creationId xmlns:a16="http://schemas.microsoft.com/office/drawing/2014/main" id="{00000000-0008-0000-0E00-0000A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3" name="Text Box 682">
          <a:extLst>
            <a:ext uri="{FF2B5EF4-FFF2-40B4-BE49-F238E27FC236}">
              <a16:creationId xmlns:a16="http://schemas.microsoft.com/office/drawing/2014/main" id="{00000000-0008-0000-0E00-0000A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4" name="Text Box 683">
          <a:extLst>
            <a:ext uri="{FF2B5EF4-FFF2-40B4-BE49-F238E27FC236}">
              <a16:creationId xmlns:a16="http://schemas.microsoft.com/office/drawing/2014/main" id="{00000000-0008-0000-0E00-0000A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5" name="Text Box 684">
          <a:extLst>
            <a:ext uri="{FF2B5EF4-FFF2-40B4-BE49-F238E27FC236}">
              <a16:creationId xmlns:a16="http://schemas.microsoft.com/office/drawing/2014/main" id="{00000000-0008-0000-0E00-0000A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6" name="Text Box 685">
          <a:extLst>
            <a:ext uri="{FF2B5EF4-FFF2-40B4-BE49-F238E27FC236}">
              <a16:creationId xmlns:a16="http://schemas.microsoft.com/office/drawing/2014/main" id="{00000000-0008-0000-0E00-0000A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7" name="Text Box 686">
          <a:extLst>
            <a:ext uri="{FF2B5EF4-FFF2-40B4-BE49-F238E27FC236}">
              <a16:creationId xmlns:a16="http://schemas.microsoft.com/office/drawing/2014/main" id="{00000000-0008-0000-0E00-0000A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8" name="Text Box 687">
          <a:extLst>
            <a:ext uri="{FF2B5EF4-FFF2-40B4-BE49-F238E27FC236}">
              <a16:creationId xmlns:a16="http://schemas.microsoft.com/office/drawing/2014/main" id="{00000000-0008-0000-0E00-0000B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89" name="Text Box 688">
          <a:extLst>
            <a:ext uri="{FF2B5EF4-FFF2-40B4-BE49-F238E27FC236}">
              <a16:creationId xmlns:a16="http://schemas.microsoft.com/office/drawing/2014/main" id="{00000000-0008-0000-0E00-0000B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0" name="Text Box 689">
          <a:extLst>
            <a:ext uri="{FF2B5EF4-FFF2-40B4-BE49-F238E27FC236}">
              <a16:creationId xmlns:a16="http://schemas.microsoft.com/office/drawing/2014/main" id="{00000000-0008-0000-0E00-0000B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1" name="Text Box 690">
          <a:extLst>
            <a:ext uri="{FF2B5EF4-FFF2-40B4-BE49-F238E27FC236}">
              <a16:creationId xmlns:a16="http://schemas.microsoft.com/office/drawing/2014/main" id="{00000000-0008-0000-0E00-0000B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2" name="Text Box 691">
          <a:extLst>
            <a:ext uri="{FF2B5EF4-FFF2-40B4-BE49-F238E27FC236}">
              <a16:creationId xmlns:a16="http://schemas.microsoft.com/office/drawing/2014/main" id="{00000000-0008-0000-0E00-0000B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3" name="Text Box 692">
          <a:extLst>
            <a:ext uri="{FF2B5EF4-FFF2-40B4-BE49-F238E27FC236}">
              <a16:creationId xmlns:a16="http://schemas.microsoft.com/office/drawing/2014/main" id="{00000000-0008-0000-0E00-0000B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4" name="Text Box 693">
          <a:extLst>
            <a:ext uri="{FF2B5EF4-FFF2-40B4-BE49-F238E27FC236}">
              <a16:creationId xmlns:a16="http://schemas.microsoft.com/office/drawing/2014/main" id="{00000000-0008-0000-0E00-0000B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5" name="Text Box 694">
          <a:extLst>
            <a:ext uri="{FF2B5EF4-FFF2-40B4-BE49-F238E27FC236}">
              <a16:creationId xmlns:a16="http://schemas.microsoft.com/office/drawing/2014/main" id="{00000000-0008-0000-0E00-0000B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6" name="Text Box 695">
          <a:extLst>
            <a:ext uri="{FF2B5EF4-FFF2-40B4-BE49-F238E27FC236}">
              <a16:creationId xmlns:a16="http://schemas.microsoft.com/office/drawing/2014/main" id="{00000000-0008-0000-0E00-0000B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7" name="Text Box 696">
          <a:extLst>
            <a:ext uri="{FF2B5EF4-FFF2-40B4-BE49-F238E27FC236}">
              <a16:creationId xmlns:a16="http://schemas.microsoft.com/office/drawing/2014/main" id="{00000000-0008-0000-0E00-0000B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8" name="Text Box 697">
          <a:extLst>
            <a:ext uri="{FF2B5EF4-FFF2-40B4-BE49-F238E27FC236}">
              <a16:creationId xmlns:a16="http://schemas.microsoft.com/office/drawing/2014/main" id="{00000000-0008-0000-0E00-0000B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699" name="Text Box 698">
          <a:extLst>
            <a:ext uri="{FF2B5EF4-FFF2-40B4-BE49-F238E27FC236}">
              <a16:creationId xmlns:a16="http://schemas.microsoft.com/office/drawing/2014/main" id="{00000000-0008-0000-0E00-0000B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0" name="Text Box 699">
          <a:extLst>
            <a:ext uri="{FF2B5EF4-FFF2-40B4-BE49-F238E27FC236}">
              <a16:creationId xmlns:a16="http://schemas.microsoft.com/office/drawing/2014/main" id="{00000000-0008-0000-0E00-0000B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1" name="Text Box 700">
          <a:extLst>
            <a:ext uri="{FF2B5EF4-FFF2-40B4-BE49-F238E27FC236}">
              <a16:creationId xmlns:a16="http://schemas.microsoft.com/office/drawing/2014/main" id="{00000000-0008-0000-0E00-0000B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2" name="Text Box 701">
          <a:extLst>
            <a:ext uri="{FF2B5EF4-FFF2-40B4-BE49-F238E27FC236}">
              <a16:creationId xmlns:a16="http://schemas.microsoft.com/office/drawing/2014/main" id="{00000000-0008-0000-0E00-0000B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3" name="Text Box 702">
          <a:extLst>
            <a:ext uri="{FF2B5EF4-FFF2-40B4-BE49-F238E27FC236}">
              <a16:creationId xmlns:a16="http://schemas.microsoft.com/office/drawing/2014/main" id="{00000000-0008-0000-0E00-0000B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4" name="Text Box 703">
          <a:extLst>
            <a:ext uri="{FF2B5EF4-FFF2-40B4-BE49-F238E27FC236}">
              <a16:creationId xmlns:a16="http://schemas.microsoft.com/office/drawing/2014/main" id="{00000000-0008-0000-0E00-0000C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5" name="Text Box 704">
          <a:extLst>
            <a:ext uri="{FF2B5EF4-FFF2-40B4-BE49-F238E27FC236}">
              <a16:creationId xmlns:a16="http://schemas.microsoft.com/office/drawing/2014/main" id="{00000000-0008-0000-0E00-0000C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6" name="Text Box 705">
          <a:extLst>
            <a:ext uri="{FF2B5EF4-FFF2-40B4-BE49-F238E27FC236}">
              <a16:creationId xmlns:a16="http://schemas.microsoft.com/office/drawing/2014/main" id="{00000000-0008-0000-0E00-0000C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7" name="Text Box 706">
          <a:extLst>
            <a:ext uri="{FF2B5EF4-FFF2-40B4-BE49-F238E27FC236}">
              <a16:creationId xmlns:a16="http://schemas.microsoft.com/office/drawing/2014/main" id="{00000000-0008-0000-0E00-0000C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8" name="Text Box 707">
          <a:extLst>
            <a:ext uri="{FF2B5EF4-FFF2-40B4-BE49-F238E27FC236}">
              <a16:creationId xmlns:a16="http://schemas.microsoft.com/office/drawing/2014/main" id="{00000000-0008-0000-0E00-0000C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09" name="Text Box 708">
          <a:extLst>
            <a:ext uri="{FF2B5EF4-FFF2-40B4-BE49-F238E27FC236}">
              <a16:creationId xmlns:a16="http://schemas.microsoft.com/office/drawing/2014/main" id="{00000000-0008-0000-0E00-0000C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0" name="Text Box 709">
          <a:extLst>
            <a:ext uri="{FF2B5EF4-FFF2-40B4-BE49-F238E27FC236}">
              <a16:creationId xmlns:a16="http://schemas.microsoft.com/office/drawing/2014/main" id="{00000000-0008-0000-0E00-0000C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1" name="Text Box 710">
          <a:extLst>
            <a:ext uri="{FF2B5EF4-FFF2-40B4-BE49-F238E27FC236}">
              <a16:creationId xmlns:a16="http://schemas.microsoft.com/office/drawing/2014/main" id="{00000000-0008-0000-0E00-0000C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2" name="Text Box 711">
          <a:extLst>
            <a:ext uri="{FF2B5EF4-FFF2-40B4-BE49-F238E27FC236}">
              <a16:creationId xmlns:a16="http://schemas.microsoft.com/office/drawing/2014/main" id="{00000000-0008-0000-0E00-0000C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3" name="Text Box 712">
          <a:extLst>
            <a:ext uri="{FF2B5EF4-FFF2-40B4-BE49-F238E27FC236}">
              <a16:creationId xmlns:a16="http://schemas.microsoft.com/office/drawing/2014/main" id="{00000000-0008-0000-0E00-0000C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4" name="Text Box 713">
          <a:extLst>
            <a:ext uri="{FF2B5EF4-FFF2-40B4-BE49-F238E27FC236}">
              <a16:creationId xmlns:a16="http://schemas.microsoft.com/office/drawing/2014/main" id="{00000000-0008-0000-0E00-0000C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5" name="Text Box 714">
          <a:extLst>
            <a:ext uri="{FF2B5EF4-FFF2-40B4-BE49-F238E27FC236}">
              <a16:creationId xmlns:a16="http://schemas.microsoft.com/office/drawing/2014/main" id="{00000000-0008-0000-0E00-0000C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6" name="Text Box 715">
          <a:extLst>
            <a:ext uri="{FF2B5EF4-FFF2-40B4-BE49-F238E27FC236}">
              <a16:creationId xmlns:a16="http://schemas.microsoft.com/office/drawing/2014/main" id="{00000000-0008-0000-0E00-0000C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7" name="Text Box 716">
          <a:extLst>
            <a:ext uri="{FF2B5EF4-FFF2-40B4-BE49-F238E27FC236}">
              <a16:creationId xmlns:a16="http://schemas.microsoft.com/office/drawing/2014/main" id="{00000000-0008-0000-0E00-0000C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8" name="Text Box 717">
          <a:extLst>
            <a:ext uri="{FF2B5EF4-FFF2-40B4-BE49-F238E27FC236}">
              <a16:creationId xmlns:a16="http://schemas.microsoft.com/office/drawing/2014/main" id="{00000000-0008-0000-0E00-0000C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19" name="Text Box 718">
          <a:extLst>
            <a:ext uri="{FF2B5EF4-FFF2-40B4-BE49-F238E27FC236}">
              <a16:creationId xmlns:a16="http://schemas.microsoft.com/office/drawing/2014/main" id="{00000000-0008-0000-0E00-0000C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0" name="Text Box 719">
          <a:extLst>
            <a:ext uri="{FF2B5EF4-FFF2-40B4-BE49-F238E27FC236}">
              <a16:creationId xmlns:a16="http://schemas.microsoft.com/office/drawing/2014/main" id="{00000000-0008-0000-0E00-0000D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1" name="Text Box 720">
          <a:extLst>
            <a:ext uri="{FF2B5EF4-FFF2-40B4-BE49-F238E27FC236}">
              <a16:creationId xmlns:a16="http://schemas.microsoft.com/office/drawing/2014/main" id="{00000000-0008-0000-0E00-0000D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2" name="Text Box 721">
          <a:extLst>
            <a:ext uri="{FF2B5EF4-FFF2-40B4-BE49-F238E27FC236}">
              <a16:creationId xmlns:a16="http://schemas.microsoft.com/office/drawing/2014/main" id="{00000000-0008-0000-0E00-0000D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3" name="Text Box 722">
          <a:extLst>
            <a:ext uri="{FF2B5EF4-FFF2-40B4-BE49-F238E27FC236}">
              <a16:creationId xmlns:a16="http://schemas.microsoft.com/office/drawing/2014/main" id="{00000000-0008-0000-0E00-0000D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4" name="Text Box 723">
          <a:extLst>
            <a:ext uri="{FF2B5EF4-FFF2-40B4-BE49-F238E27FC236}">
              <a16:creationId xmlns:a16="http://schemas.microsoft.com/office/drawing/2014/main" id="{00000000-0008-0000-0E00-0000D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5" name="Text Box 724">
          <a:extLst>
            <a:ext uri="{FF2B5EF4-FFF2-40B4-BE49-F238E27FC236}">
              <a16:creationId xmlns:a16="http://schemas.microsoft.com/office/drawing/2014/main" id="{00000000-0008-0000-0E00-0000D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6" name="Text Box 725">
          <a:extLst>
            <a:ext uri="{FF2B5EF4-FFF2-40B4-BE49-F238E27FC236}">
              <a16:creationId xmlns:a16="http://schemas.microsoft.com/office/drawing/2014/main" id="{00000000-0008-0000-0E00-0000D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7" name="Text Box 726">
          <a:extLst>
            <a:ext uri="{FF2B5EF4-FFF2-40B4-BE49-F238E27FC236}">
              <a16:creationId xmlns:a16="http://schemas.microsoft.com/office/drawing/2014/main" id="{00000000-0008-0000-0E00-0000D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8" name="Text Box 727">
          <a:extLst>
            <a:ext uri="{FF2B5EF4-FFF2-40B4-BE49-F238E27FC236}">
              <a16:creationId xmlns:a16="http://schemas.microsoft.com/office/drawing/2014/main" id="{00000000-0008-0000-0E00-0000D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29" name="Text Box 728">
          <a:extLst>
            <a:ext uri="{FF2B5EF4-FFF2-40B4-BE49-F238E27FC236}">
              <a16:creationId xmlns:a16="http://schemas.microsoft.com/office/drawing/2014/main" id="{00000000-0008-0000-0E00-0000D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0" name="Text Box 729">
          <a:extLst>
            <a:ext uri="{FF2B5EF4-FFF2-40B4-BE49-F238E27FC236}">
              <a16:creationId xmlns:a16="http://schemas.microsoft.com/office/drawing/2014/main" id="{00000000-0008-0000-0E00-0000D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1" name="Text Box 730">
          <a:extLst>
            <a:ext uri="{FF2B5EF4-FFF2-40B4-BE49-F238E27FC236}">
              <a16:creationId xmlns:a16="http://schemas.microsoft.com/office/drawing/2014/main" id="{00000000-0008-0000-0E00-0000D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2" name="Text Box 731">
          <a:extLst>
            <a:ext uri="{FF2B5EF4-FFF2-40B4-BE49-F238E27FC236}">
              <a16:creationId xmlns:a16="http://schemas.microsoft.com/office/drawing/2014/main" id="{00000000-0008-0000-0E00-0000D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3" name="Text Box 732">
          <a:extLst>
            <a:ext uri="{FF2B5EF4-FFF2-40B4-BE49-F238E27FC236}">
              <a16:creationId xmlns:a16="http://schemas.microsoft.com/office/drawing/2014/main" id="{00000000-0008-0000-0E00-0000D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4" name="Text Box 733">
          <a:extLst>
            <a:ext uri="{FF2B5EF4-FFF2-40B4-BE49-F238E27FC236}">
              <a16:creationId xmlns:a16="http://schemas.microsoft.com/office/drawing/2014/main" id="{00000000-0008-0000-0E00-0000D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5" name="Text Box 734">
          <a:extLst>
            <a:ext uri="{FF2B5EF4-FFF2-40B4-BE49-F238E27FC236}">
              <a16:creationId xmlns:a16="http://schemas.microsoft.com/office/drawing/2014/main" id="{00000000-0008-0000-0E00-0000D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6" name="Text Box 735">
          <a:extLst>
            <a:ext uri="{FF2B5EF4-FFF2-40B4-BE49-F238E27FC236}">
              <a16:creationId xmlns:a16="http://schemas.microsoft.com/office/drawing/2014/main" id="{00000000-0008-0000-0E00-0000E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7" name="Text Box 736">
          <a:extLst>
            <a:ext uri="{FF2B5EF4-FFF2-40B4-BE49-F238E27FC236}">
              <a16:creationId xmlns:a16="http://schemas.microsoft.com/office/drawing/2014/main" id="{00000000-0008-0000-0E00-0000E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8" name="Text Box 737">
          <a:extLst>
            <a:ext uri="{FF2B5EF4-FFF2-40B4-BE49-F238E27FC236}">
              <a16:creationId xmlns:a16="http://schemas.microsoft.com/office/drawing/2014/main" id="{00000000-0008-0000-0E00-0000E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39" name="Text Box 738">
          <a:extLst>
            <a:ext uri="{FF2B5EF4-FFF2-40B4-BE49-F238E27FC236}">
              <a16:creationId xmlns:a16="http://schemas.microsoft.com/office/drawing/2014/main" id="{00000000-0008-0000-0E00-0000E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0" name="Text Box 739">
          <a:extLst>
            <a:ext uri="{FF2B5EF4-FFF2-40B4-BE49-F238E27FC236}">
              <a16:creationId xmlns:a16="http://schemas.microsoft.com/office/drawing/2014/main" id="{00000000-0008-0000-0E00-0000E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1" name="Text Box 740">
          <a:extLst>
            <a:ext uri="{FF2B5EF4-FFF2-40B4-BE49-F238E27FC236}">
              <a16:creationId xmlns:a16="http://schemas.microsoft.com/office/drawing/2014/main" id="{00000000-0008-0000-0E00-0000E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2" name="Text Box 741">
          <a:extLst>
            <a:ext uri="{FF2B5EF4-FFF2-40B4-BE49-F238E27FC236}">
              <a16:creationId xmlns:a16="http://schemas.microsoft.com/office/drawing/2014/main" id="{00000000-0008-0000-0E00-0000E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3" name="Text Box 742">
          <a:extLst>
            <a:ext uri="{FF2B5EF4-FFF2-40B4-BE49-F238E27FC236}">
              <a16:creationId xmlns:a16="http://schemas.microsoft.com/office/drawing/2014/main" id="{00000000-0008-0000-0E00-0000E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4" name="Text Box 743">
          <a:extLst>
            <a:ext uri="{FF2B5EF4-FFF2-40B4-BE49-F238E27FC236}">
              <a16:creationId xmlns:a16="http://schemas.microsoft.com/office/drawing/2014/main" id="{00000000-0008-0000-0E00-0000E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5" name="Text Box 744">
          <a:extLst>
            <a:ext uri="{FF2B5EF4-FFF2-40B4-BE49-F238E27FC236}">
              <a16:creationId xmlns:a16="http://schemas.microsoft.com/office/drawing/2014/main" id="{00000000-0008-0000-0E00-0000E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6" name="Text Box 745">
          <a:extLst>
            <a:ext uri="{FF2B5EF4-FFF2-40B4-BE49-F238E27FC236}">
              <a16:creationId xmlns:a16="http://schemas.microsoft.com/office/drawing/2014/main" id="{00000000-0008-0000-0E00-0000E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7" name="Text Box 746">
          <a:extLst>
            <a:ext uri="{FF2B5EF4-FFF2-40B4-BE49-F238E27FC236}">
              <a16:creationId xmlns:a16="http://schemas.microsoft.com/office/drawing/2014/main" id="{00000000-0008-0000-0E00-0000E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8" name="Text Box 747">
          <a:extLst>
            <a:ext uri="{FF2B5EF4-FFF2-40B4-BE49-F238E27FC236}">
              <a16:creationId xmlns:a16="http://schemas.microsoft.com/office/drawing/2014/main" id="{00000000-0008-0000-0E00-0000E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49" name="Text Box 748">
          <a:extLst>
            <a:ext uri="{FF2B5EF4-FFF2-40B4-BE49-F238E27FC236}">
              <a16:creationId xmlns:a16="http://schemas.microsoft.com/office/drawing/2014/main" id="{00000000-0008-0000-0E00-0000E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0" name="Text Box 749">
          <a:extLst>
            <a:ext uri="{FF2B5EF4-FFF2-40B4-BE49-F238E27FC236}">
              <a16:creationId xmlns:a16="http://schemas.microsoft.com/office/drawing/2014/main" id="{00000000-0008-0000-0E00-0000E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1" name="Text Box 750">
          <a:extLst>
            <a:ext uri="{FF2B5EF4-FFF2-40B4-BE49-F238E27FC236}">
              <a16:creationId xmlns:a16="http://schemas.microsoft.com/office/drawing/2014/main" id="{00000000-0008-0000-0E00-0000E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2" name="Text Box 751">
          <a:extLst>
            <a:ext uri="{FF2B5EF4-FFF2-40B4-BE49-F238E27FC236}">
              <a16:creationId xmlns:a16="http://schemas.microsoft.com/office/drawing/2014/main" id="{00000000-0008-0000-0E00-0000F0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3" name="Text Box 752">
          <a:extLst>
            <a:ext uri="{FF2B5EF4-FFF2-40B4-BE49-F238E27FC236}">
              <a16:creationId xmlns:a16="http://schemas.microsoft.com/office/drawing/2014/main" id="{00000000-0008-0000-0E00-0000F1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4" name="Text Box 753">
          <a:extLst>
            <a:ext uri="{FF2B5EF4-FFF2-40B4-BE49-F238E27FC236}">
              <a16:creationId xmlns:a16="http://schemas.microsoft.com/office/drawing/2014/main" id="{00000000-0008-0000-0E00-0000F2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5" name="Text Box 754">
          <a:extLst>
            <a:ext uri="{FF2B5EF4-FFF2-40B4-BE49-F238E27FC236}">
              <a16:creationId xmlns:a16="http://schemas.microsoft.com/office/drawing/2014/main" id="{00000000-0008-0000-0E00-0000F3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6" name="Text Box 755">
          <a:extLst>
            <a:ext uri="{FF2B5EF4-FFF2-40B4-BE49-F238E27FC236}">
              <a16:creationId xmlns:a16="http://schemas.microsoft.com/office/drawing/2014/main" id="{00000000-0008-0000-0E00-0000F4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7" name="Text Box 756">
          <a:extLst>
            <a:ext uri="{FF2B5EF4-FFF2-40B4-BE49-F238E27FC236}">
              <a16:creationId xmlns:a16="http://schemas.microsoft.com/office/drawing/2014/main" id="{00000000-0008-0000-0E00-0000F5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8" name="Text Box 757">
          <a:extLst>
            <a:ext uri="{FF2B5EF4-FFF2-40B4-BE49-F238E27FC236}">
              <a16:creationId xmlns:a16="http://schemas.microsoft.com/office/drawing/2014/main" id="{00000000-0008-0000-0E00-0000F6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59" name="Text Box 758">
          <a:extLst>
            <a:ext uri="{FF2B5EF4-FFF2-40B4-BE49-F238E27FC236}">
              <a16:creationId xmlns:a16="http://schemas.microsoft.com/office/drawing/2014/main" id="{00000000-0008-0000-0E00-0000F7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0" name="Text Box 759">
          <a:extLst>
            <a:ext uri="{FF2B5EF4-FFF2-40B4-BE49-F238E27FC236}">
              <a16:creationId xmlns:a16="http://schemas.microsoft.com/office/drawing/2014/main" id="{00000000-0008-0000-0E00-0000F8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1" name="Text Box 760">
          <a:extLst>
            <a:ext uri="{FF2B5EF4-FFF2-40B4-BE49-F238E27FC236}">
              <a16:creationId xmlns:a16="http://schemas.microsoft.com/office/drawing/2014/main" id="{00000000-0008-0000-0E00-0000F9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2" name="Text Box 761">
          <a:extLst>
            <a:ext uri="{FF2B5EF4-FFF2-40B4-BE49-F238E27FC236}">
              <a16:creationId xmlns:a16="http://schemas.microsoft.com/office/drawing/2014/main" id="{00000000-0008-0000-0E00-0000FA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3" name="Text Box 762">
          <a:extLst>
            <a:ext uri="{FF2B5EF4-FFF2-40B4-BE49-F238E27FC236}">
              <a16:creationId xmlns:a16="http://schemas.microsoft.com/office/drawing/2014/main" id="{00000000-0008-0000-0E00-0000FB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4" name="Text Box 763">
          <a:extLst>
            <a:ext uri="{FF2B5EF4-FFF2-40B4-BE49-F238E27FC236}">
              <a16:creationId xmlns:a16="http://schemas.microsoft.com/office/drawing/2014/main" id="{00000000-0008-0000-0E00-0000FC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5" name="Text Box 764">
          <a:extLst>
            <a:ext uri="{FF2B5EF4-FFF2-40B4-BE49-F238E27FC236}">
              <a16:creationId xmlns:a16="http://schemas.microsoft.com/office/drawing/2014/main" id="{00000000-0008-0000-0E00-0000FD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6" name="Text Box 765">
          <a:extLst>
            <a:ext uri="{FF2B5EF4-FFF2-40B4-BE49-F238E27FC236}">
              <a16:creationId xmlns:a16="http://schemas.microsoft.com/office/drawing/2014/main" id="{00000000-0008-0000-0E00-0000FE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7" name="Text Box 766">
          <a:extLst>
            <a:ext uri="{FF2B5EF4-FFF2-40B4-BE49-F238E27FC236}">
              <a16:creationId xmlns:a16="http://schemas.microsoft.com/office/drawing/2014/main" id="{00000000-0008-0000-0E00-0000FF02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8" name="Text Box 767">
          <a:extLst>
            <a:ext uri="{FF2B5EF4-FFF2-40B4-BE49-F238E27FC236}">
              <a16:creationId xmlns:a16="http://schemas.microsoft.com/office/drawing/2014/main" id="{00000000-0008-0000-0E00-00000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69" name="Text Box 768">
          <a:extLst>
            <a:ext uri="{FF2B5EF4-FFF2-40B4-BE49-F238E27FC236}">
              <a16:creationId xmlns:a16="http://schemas.microsoft.com/office/drawing/2014/main" id="{00000000-0008-0000-0E00-00000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0" name="Text Box 769">
          <a:extLst>
            <a:ext uri="{FF2B5EF4-FFF2-40B4-BE49-F238E27FC236}">
              <a16:creationId xmlns:a16="http://schemas.microsoft.com/office/drawing/2014/main" id="{00000000-0008-0000-0E00-00000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1" name="Text Box 770">
          <a:extLst>
            <a:ext uri="{FF2B5EF4-FFF2-40B4-BE49-F238E27FC236}">
              <a16:creationId xmlns:a16="http://schemas.microsoft.com/office/drawing/2014/main" id="{00000000-0008-0000-0E00-00000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2" name="Text Box 771">
          <a:extLst>
            <a:ext uri="{FF2B5EF4-FFF2-40B4-BE49-F238E27FC236}">
              <a16:creationId xmlns:a16="http://schemas.microsoft.com/office/drawing/2014/main" id="{00000000-0008-0000-0E00-00000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3" name="Text Box 772">
          <a:extLst>
            <a:ext uri="{FF2B5EF4-FFF2-40B4-BE49-F238E27FC236}">
              <a16:creationId xmlns:a16="http://schemas.microsoft.com/office/drawing/2014/main" id="{00000000-0008-0000-0E00-00000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4" name="Text Box 773">
          <a:extLst>
            <a:ext uri="{FF2B5EF4-FFF2-40B4-BE49-F238E27FC236}">
              <a16:creationId xmlns:a16="http://schemas.microsoft.com/office/drawing/2014/main" id="{00000000-0008-0000-0E00-00000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5" name="Text Box 774">
          <a:extLst>
            <a:ext uri="{FF2B5EF4-FFF2-40B4-BE49-F238E27FC236}">
              <a16:creationId xmlns:a16="http://schemas.microsoft.com/office/drawing/2014/main" id="{00000000-0008-0000-0E00-00000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6" name="Text Box 775">
          <a:extLst>
            <a:ext uri="{FF2B5EF4-FFF2-40B4-BE49-F238E27FC236}">
              <a16:creationId xmlns:a16="http://schemas.microsoft.com/office/drawing/2014/main" id="{00000000-0008-0000-0E00-00000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7" name="Text Box 776">
          <a:extLst>
            <a:ext uri="{FF2B5EF4-FFF2-40B4-BE49-F238E27FC236}">
              <a16:creationId xmlns:a16="http://schemas.microsoft.com/office/drawing/2014/main" id="{00000000-0008-0000-0E00-00000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8" name="Text Box 777">
          <a:extLst>
            <a:ext uri="{FF2B5EF4-FFF2-40B4-BE49-F238E27FC236}">
              <a16:creationId xmlns:a16="http://schemas.microsoft.com/office/drawing/2014/main" id="{00000000-0008-0000-0E00-00000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79" name="Text Box 778">
          <a:extLst>
            <a:ext uri="{FF2B5EF4-FFF2-40B4-BE49-F238E27FC236}">
              <a16:creationId xmlns:a16="http://schemas.microsoft.com/office/drawing/2014/main" id="{00000000-0008-0000-0E00-00000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0" name="Text Box 779">
          <a:extLst>
            <a:ext uri="{FF2B5EF4-FFF2-40B4-BE49-F238E27FC236}">
              <a16:creationId xmlns:a16="http://schemas.microsoft.com/office/drawing/2014/main" id="{00000000-0008-0000-0E00-00000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1" name="Text Box 780">
          <a:extLst>
            <a:ext uri="{FF2B5EF4-FFF2-40B4-BE49-F238E27FC236}">
              <a16:creationId xmlns:a16="http://schemas.microsoft.com/office/drawing/2014/main" id="{00000000-0008-0000-0E00-00000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2" name="Text Box 781">
          <a:extLst>
            <a:ext uri="{FF2B5EF4-FFF2-40B4-BE49-F238E27FC236}">
              <a16:creationId xmlns:a16="http://schemas.microsoft.com/office/drawing/2014/main" id="{00000000-0008-0000-0E00-00000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3" name="Text Box 782">
          <a:extLst>
            <a:ext uri="{FF2B5EF4-FFF2-40B4-BE49-F238E27FC236}">
              <a16:creationId xmlns:a16="http://schemas.microsoft.com/office/drawing/2014/main" id="{00000000-0008-0000-0E00-00000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4" name="Text Box 783">
          <a:extLst>
            <a:ext uri="{FF2B5EF4-FFF2-40B4-BE49-F238E27FC236}">
              <a16:creationId xmlns:a16="http://schemas.microsoft.com/office/drawing/2014/main" id="{00000000-0008-0000-0E00-00001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5" name="Text Box 784">
          <a:extLst>
            <a:ext uri="{FF2B5EF4-FFF2-40B4-BE49-F238E27FC236}">
              <a16:creationId xmlns:a16="http://schemas.microsoft.com/office/drawing/2014/main" id="{00000000-0008-0000-0E00-00001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6" name="Text Box 785">
          <a:extLst>
            <a:ext uri="{FF2B5EF4-FFF2-40B4-BE49-F238E27FC236}">
              <a16:creationId xmlns:a16="http://schemas.microsoft.com/office/drawing/2014/main" id="{00000000-0008-0000-0E00-00001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7" name="Text Box 786">
          <a:extLst>
            <a:ext uri="{FF2B5EF4-FFF2-40B4-BE49-F238E27FC236}">
              <a16:creationId xmlns:a16="http://schemas.microsoft.com/office/drawing/2014/main" id="{00000000-0008-0000-0E00-00001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8" name="Text Box 787">
          <a:extLst>
            <a:ext uri="{FF2B5EF4-FFF2-40B4-BE49-F238E27FC236}">
              <a16:creationId xmlns:a16="http://schemas.microsoft.com/office/drawing/2014/main" id="{00000000-0008-0000-0E00-00001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89" name="Text Box 788">
          <a:extLst>
            <a:ext uri="{FF2B5EF4-FFF2-40B4-BE49-F238E27FC236}">
              <a16:creationId xmlns:a16="http://schemas.microsoft.com/office/drawing/2014/main" id="{00000000-0008-0000-0E00-00001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0" name="Text Box 789">
          <a:extLst>
            <a:ext uri="{FF2B5EF4-FFF2-40B4-BE49-F238E27FC236}">
              <a16:creationId xmlns:a16="http://schemas.microsoft.com/office/drawing/2014/main" id="{00000000-0008-0000-0E00-00001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1" name="Text Box 790">
          <a:extLst>
            <a:ext uri="{FF2B5EF4-FFF2-40B4-BE49-F238E27FC236}">
              <a16:creationId xmlns:a16="http://schemas.microsoft.com/office/drawing/2014/main" id="{00000000-0008-0000-0E00-00001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2" name="Text Box 791">
          <a:extLst>
            <a:ext uri="{FF2B5EF4-FFF2-40B4-BE49-F238E27FC236}">
              <a16:creationId xmlns:a16="http://schemas.microsoft.com/office/drawing/2014/main" id="{00000000-0008-0000-0E00-00001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3" name="Text Box 792">
          <a:extLst>
            <a:ext uri="{FF2B5EF4-FFF2-40B4-BE49-F238E27FC236}">
              <a16:creationId xmlns:a16="http://schemas.microsoft.com/office/drawing/2014/main" id="{00000000-0008-0000-0E00-00001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4" name="Text Box 793">
          <a:extLst>
            <a:ext uri="{FF2B5EF4-FFF2-40B4-BE49-F238E27FC236}">
              <a16:creationId xmlns:a16="http://schemas.microsoft.com/office/drawing/2014/main" id="{00000000-0008-0000-0E00-00001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5" name="Text Box 794">
          <a:extLst>
            <a:ext uri="{FF2B5EF4-FFF2-40B4-BE49-F238E27FC236}">
              <a16:creationId xmlns:a16="http://schemas.microsoft.com/office/drawing/2014/main" id="{00000000-0008-0000-0E00-00001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6" name="Text Box 795">
          <a:extLst>
            <a:ext uri="{FF2B5EF4-FFF2-40B4-BE49-F238E27FC236}">
              <a16:creationId xmlns:a16="http://schemas.microsoft.com/office/drawing/2014/main" id="{00000000-0008-0000-0E00-00001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7" name="Text Box 796">
          <a:extLst>
            <a:ext uri="{FF2B5EF4-FFF2-40B4-BE49-F238E27FC236}">
              <a16:creationId xmlns:a16="http://schemas.microsoft.com/office/drawing/2014/main" id="{00000000-0008-0000-0E00-00001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8" name="Text Box 797">
          <a:extLst>
            <a:ext uri="{FF2B5EF4-FFF2-40B4-BE49-F238E27FC236}">
              <a16:creationId xmlns:a16="http://schemas.microsoft.com/office/drawing/2014/main" id="{00000000-0008-0000-0E00-00001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799" name="Text Box 798">
          <a:extLst>
            <a:ext uri="{FF2B5EF4-FFF2-40B4-BE49-F238E27FC236}">
              <a16:creationId xmlns:a16="http://schemas.microsoft.com/office/drawing/2014/main" id="{00000000-0008-0000-0E00-00001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0" name="Text Box 799">
          <a:extLst>
            <a:ext uri="{FF2B5EF4-FFF2-40B4-BE49-F238E27FC236}">
              <a16:creationId xmlns:a16="http://schemas.microsoft.com/office/drawing/2014/main" id="{00000000-0008-0000-0E00-00002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1" name="Text Box 800">
          <a:extLst>
            <a:ext uri="{FF2B5EF4-FFF2-40B4-BE49-F238E27FC236}">
              <a16:creationId xmlns:a16="http://schemas.microsoft.com/office/drawing/2014/main" id="{00000000-0008-0000-0E00-00002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2" name="Text Box 801">
          <a:extLst>
            <a:ext uri="{FF2B5EF4-FFF2-40B4-BE49-F238E27FC236}">
              <a16:creationId xmlns:a16="http://schemas.microsoft.com/office/drawing/2014/main" id="{00000000-0008-0000-0E00-00002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3" name="Text Box 802">
          <a:extLst>
            <a:ext uri="{FF2B5EF4-FFF2-40B4-BE49-F238E27FC236}">
              <a16:creationId xmlns:a16="http://schemas.microsoft.com/office/drawing/2014/main" id="{00000000-0008-0000-0E00-00002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4" name="Text Box 803">
          <a:extLst>
            <a:ext uri="{FF2B5EF4-FFF2-40B4-BE49-F238E27FC236}">
              <a16:creationId xmlns:a16="http://schemas.microsoft.com/office/drawing/2014/main" id="{00000000-0008-0000-0E00-00002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5" name="Text Box 804">
          <a:extLst>
            <a:ext uri="{FF2B5EF4-FFF2-40B4-BE49-F238E27FC236}">
              <a16:creationId xmlns:a16="http://schemas.microsoft.com/office/drawing/2014/main" id="{00000000-0008-0000-0E00-00002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6" name="Text Box 805">
          <a:extLst>
            <a:ext uri="{FF2B5EF4-FFF2-40B4-BE49-F238E27FC236}">
              <a16:creationId xmlns:a16="http://schemas.microsoft.com/office/drawing/2014/main" id="{00000000-0008-0000-0E00-00002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7" name="Text Box 806">
          <a:extLst>
            <a:ext uri="{FF2B5EF4-FFF2-40B4-BE49-F238E27FC236}">
              <a16:creationId xmlns:a16="http://schemas.microsoft.com/office/drawing/2014/main" id="{00000000-0008-0000-0E00-00002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8" name="Text Box 807">
          <a:extLst>
            <a:ext uri="{FF2B5EF4-FFF2-40B4-BE49-F238E27FC236}">
              <a16:creationId xmlns:a16="http://schemas.microsoft.com/office/drawing/2014/main" id="{00000000-0008-0000-0E00-00002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09" name="Text Box 808">
          <a:extLst>
            <a:ext uri="{FF2B5EF4-FFF2-40B4-BE49-F238E27FC236}">
              <a16:creationId xmlns:a16="http://schemas.microsoft.com/office/drawing/2014/main" id="{00000000-0008-0000-0E00-00002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0" name="Text Box 809">
          <a:extLst>
            <a:ext uri="{FF2B5EF4-FFF2-40B4-BE49-F238E27FC236}">
              <a16:creationId xmlns:a16="http://schemas.microsoft.com/office/drawing/2014/main" id="{00000000-0008-0000-0E00-00002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1" name="Text Box 810">
          <a:extLst>
            <a:ext uri="{FF2B5EF4-FFF2-40B4-BE49-F238E27FC236}">
              <a16:creationId xmlns:a16="http://schemas.microsoft.com/office/drawing/2014/main" id="{00000000-0008-0000-0E00-00002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2" name="Text Box 811">
          <a:extLst>
            <a:ext uri="{FF2B5EF4-FFF2-40B4-BE49-F238E27FC236}">
              <a16:creationId xmlns:a16="http://schemas.microsoft.com/office/drawing/2014/main" id="{00000000-0008-0000-0E00-00002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3" name="Text Box 812">
          <a:extLst>
            <a:ext uri="{FF2B5EF4-FFF2-40B4-BE49-F238E27FC236}">
              <a16:creationId xmlns:a16="http://schemas.microsoft.com/office/drawing/2014/main" id="{00000000-0008-0000-0E00-00002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4" name="Text Box 813">
          <a:extLst>
            <a:ext uri="{FF2B5EF4-FFF2-40B4-BE49-F238E27FC236}">
              <a16:creationId xmlns:a16="http://schemas.microsoft.com/office/drawing/2014/main" id="{00000000-0008-0000-0E00-00002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5" name="Text Box 814">
          <a:extLst>
            <a:ext uri="{FF2B5EF4-FFF2-40B4-BE49-F238E27FC236}">
              <a16:creationId xmlns:a16="http://schemas.microsoft.com/office/drawing/2014/main" id="{00000000-0008-0000-0E00-00002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6" name="Text Box 815">
          <a:extLst>
            <a:ext uri="{FF2B5EF4-FFF2-40B4-BE49-F238E27FC236}">
              <a16:creationId xmlns:a16="http://schemas.microsoft.com/office/drawing/2014/main" id="{00000000-0008-0000-0E00-00003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7" name="Text Box 816">
          <a:extLst>
            <a:ext uri="{FF2B5EF4-FFF2-40B4-BE49-F238E27FC236}">
              <a16:creationId xmlns:a16="http://schemas.microsoft.com/office/drawing/2014/main" id="{00000000-0008-0000-0E00-00003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8" name="Text Box 817">
          <a:extLst>
            <a:ext uri="{FF2B5EF4-FFF2-40B4-BE49-F238E27FC236}">
              <a16:creationId xmlns:a16="http://schemas.microsoft.com/office/drawing/2014/main" id="{00000000-0008-0000-0E00-00003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19" name="Text Box 818">
          <a:extLst>
            <a:ext uri="{FF2B5EF4-FFF2-40B4-BE49-F238E27FC236}">
              <a16:creationId xmlns:a16="http://schemas.microsoft.com/office/drawing/2014/main" id="{00000000-0008-0000-0E00-00003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0" name="Text Box 819">
          <a:extLst>
            <a:ext uri="{FF2B5EF4-FFF2-40B4-BE49-F238E27FC236}">
              <a16:creationId xmlns:a16="http://schemas.microsoft.com/office/drawing/2014/main" id="{00000000-0008-0000-0E00-00003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1" name="Text Box 820">
          <a:extLst>
            <a:ext uri="{FF2B5EF4-FFF2-40B4-BE49-F238E27FC236}">
              <a16:creationId xmlns:a16="http://schemas.microsoft.com/office/drawing/2014/main" id="{00000000-0008-0000-0E00-00003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2" name="Text Box 821">
          <a:extLst>
            <a:ext uri="{FF2B5EF4-FFF2-40B4-BE49-F238E27FC236}">
              <a16:creationId xmlns:a16="http://schemas.microsoft.com/office/drawing/2014/main" id="{00000000-0008-0000-0E00-00003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3" name="Text Box 822">
          <a:extLst>
            <a:ext uri="{FF2B5EF4-FFF2-40B4-BE49-F238E27FC236}">
              <a16:creationId xmlns:a16="http://schemas.microsoft.com/office/drawing/2014/main" id="{00000000-0008-0000-0E00-00003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4" name="Text Box 823">
          <a:extLst>
            <a:ext uri="{FF2B5EF4-FFF2-40B4-BE49-F238E27FC236}">
              <a16:creationId xmlns:a16="http://schemas.microsoft.com/office/drawing/2014/main" id="{00000000-0008-0000-0E00-00003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5" name="Text Box 824">
          <a:extLst>
            <a:ext uri="{FF2B5EF4-FFF2-40B4-BE49-F238E27FC236}">
              <a16:creationId xmlns:a16="http://schemas.microsoft.com/office/drawing/2014/main" id="{00000000-0008-0000-0E00-00003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6" name="Text Box 825">
          <a:extLst>
            <a:ext uri="{FF2B5EF4-FFF2-40B4-BE49-F238E27FC236}">
              <a16:creationId xmlns:a16="http://schemas.microsoft.com/office/drawing/2014/main" id="{00000000-0008-0000-0E00-00003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7" name="Text Box 826">
          <a:extLst>
            <a:ext uri="{FF2B5EF4-FFF2-40B4-BE49-F238E27FC236}">
              <a16:creationId xmlns:a16="http://schemas.microsoft.com/office/drawing/2014/main" id="{00000000-0008-0000-0E00-00003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8" name="Text Box 827">
          <a:extLst>
            <a:ext uri="{FF2B5EF4-FFF2-40B4-BE49-F238E27FC236}">
              <a16:creationId xmlns:a16="http://schemas.microsoft.com/office/drawing/2014/main" id="{00000000-0008-0000-0E00-00003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29" name="Text Box 828">
          <a:extLst>
            <a:ext uri="{FF2B5EF4-FFF2-40B4-BE49-F238E27FC236}">
              <a16:creationId xmlns:a16="http://schemas.microsoft.com/office/drawing/2014/main" id="{00000000-0008-0000-0E00-00003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0" name="Text Box 829">
          <a:extLst>
            <a:ext uri="{FF2B5EF4-FFF2-40B4-BE49-F238E27FC236}">
              <a16:creationId xmlns:a16="http://schemas.microsoft.com/office/drawing/2014/main" id="{00000000-0008-0000-0E00-00003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1" name="Text Box 830">
          <a:extLst>
            <a:ext uri="{FF2B5EF4-FFF2-40B4-BE49-F238E27FC236}">
              <a16:creationId xmlns:a16="http://schemas.microsoft.com/office/drawing/2014/main" id="{00000000-0008-0000-0E00-00003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2" name="Text Box 831">
          <a:extLst>
            <a:ext uri="{FF2B5EF4-FFF2-40B4-BE49-F238E27FC236}">
              <a16:creationId xmlns:a16="http://schemas.microsoft.com/office/drawing/2014/main" id="{00000000-0008-0000-0E00-00004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3" name="Text Box 832">
          <a:extLst>
            <a:ext uri="{FF2B5EF4-FFF2-40B4-BE49-F238E27FC236}">
              <a16:creationId xmlns:a16="http://schemas.microsoft.com/office/drawing/2014/main" id="{00000000-0008-0000-0E00-00004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4" name="Text Box 833">
          <a:extLst>
            <a:ext uri="{FF2B5EF4-FFF2-40B4-BE49-F238E27FC236}">
              <a16:creationId xmlns:a16="http://schemas.microsoft.com/office/drawing/2014/main" id="{00000000-0008-0000-0E00-00004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5" name="Text Box 834">
          <a:extLst>
            <a:ext uri="{FF2B5EF4-FFF2-40B4-BE49-F238E27FC236}">
              <a16:creationId xmlns:a16="http://schemas.microsoft.com/office/drawing/2014/main" id="{00000000-0008-0000-0E00-00004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6" name="Text Box 835">
          <a:extLst>
            <a:ext uri="{FF2B5EF4-FFF2-40B4-BE49-F238E27FC236}">
              <a16:creationId xmlns:a16="http://schemas.microsoft.com/office/drawing/2014/main" id="{00000000-0008-0000-0E00-00004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7" name="Text Box 836">
          <a:extLst>
            <a:ext uri="{FF2B5EF4-FFF2-40B4-BE49-F238E27FC236}">
              <a16:creationId xmlns:a16="http://schemas.microsoft.com/office/drawing/2014/main" id="{00000000-0008-0000-0E00-00004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8" name="Text Box 837">
          <a:extLst>
            <a:ext uri="{FF2B5EF4-FFF2-40B4-BE49-F238E27FC236}">
              <a16:creationId xmlns:a16="http://schemas.microsoft.com/office/drawing/2014/main" id="{00000000-0008-0000-0E00-00004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39" name="Text Box 838">
          <a:extLst>
            <a:ext uri="{FF2B5EF4-FFF2-40B4-BE49-F238E27FC236}">
              <a16:creationId xmlns:a16="http://schemas.microsoft.com/office/drawing/2014/main" id="{00000000-0008-0000-0E00-00004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0" name="Text Box 839">
          <a:extLst>
            <a:ext uri="{FF2B5EF4-FFF2-40B4-BE49-F238E27FC236}">
              <a16:creationId xmlns:a16="http://schemas.microsoft.com/office/drawing/2014/main" id="{00000000-0008-0000-0E00-00004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1" name="Text Box 840">
          <a:extLst>
            <a:ext uri="{FF2B5EF4-FFF2-40B4-BE49-F238E27FC236}">
              <a16:creationId xmlns:a16="http://schemas.microsoft.com/office/drawing/2014/main" id="{00000000-0008-0000-0E00-00004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2" name="Text Box 841">
          <a:extLst>
            <a:ext uri="{FF2B5EF4-FFF2-40B4-BE49-F238E27FC236}">
              <a16:creationId xmlns:a16="http://schemas.microsoft.com/office/drawing/2014/main" id="{00000000-0008-0000-0E00-00004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3" name="Text Box 842">
          <a:extLst>
            <a:ext uri="{FF2B5EF4-FFF2-40B4-BE49-F238E27FC236}">
              <a16:creationId xmlns:a16="http://schemas.microsoft.com/office/drawing/2014/main" id="{00000000-0008-0000-0E00-00004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4" name="Text Box 843">
          <a:extLst>
            <a:ext uri="{FF2B5EF4-FFF2-40B4-BE49-F238E27FC236}">
              <a16:creationId xmlns:a16="http://schemas.microsoft.com/office/drawing/2014/main" id="{00000000-0008-0000-0E00-00004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5" name="Text Box 844">
          <a:extLst>
            <a:ext uri="{FF2B5EF4-FFF2-40B4-BE49-F238E27FC236}">
              <a16:creationId xmlns:a16="http://schemas.microsoft.com/office/drawing/2014/main" id="{00000000-0008-0000-0E00-00004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6" name="Text Box 845">
          <a:extLst>
            <a:ext uri="{FF2B5EF4-FFF2-40B4-BE49-F238E27FC236}">
              <a16:creationId xmlns:a16="http://schemas.microsoft.com/office/drawing/2014/main" id="{00000000-0008-0000-0E00-00004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7" name="Text Box 846">
          <a:extLst>
            <a:ext uri="{FF2B5EF4-FFF2-40B4-BE49-F238E27FC236}">
              <a16:creationId xmlns:a16="http://schemas.microsoft.com/office/drawing/2014/main" id="{00000000-0008-0000-0E00-00004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8" name="Text Box 847">
          <a:extLst>
            <a:ext uri="{FF2B5EF4-FFF2-40B4-BE49-F238E27FC236}">
              <a16:creationId xmlns:a16="http://schemas.microsoft.com/office/drawing/2014/main" id="{00000000-0008-0000-0E00-00005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49" name="Text Box 848">
          <a:extLst>
            <a:ext uri="{FF2B5EF4-FFF2-40B4-BE49-F238E27FC236}">
              <a16:creationId xmlns:a16="http://schemas.microsoft.com/office/drawing/2014/main" id="{00000000-0008-0000-0E00-00005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0" name="Text Box 849">
          <a:extLst>
            <a:ext uri="{FF2B5EF4-FFF2-40B4-BE49-F238E27FC236}">
              <a16:creationId xmlns:a16="http://schemas.microsoft.com/office/drawing/2014/main" id="{00000000-0008-0000-0E00-00005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1" name="Text Box 850">
          <a:extLst>
            <a:ext uri="{FF2B5EF4-FFF2-40B4-BE49-F238E27FC236}">
              <a16:creationId xmlns:a16="http://schemas.microsoft.com/office/drawing/2014/main" id="{00000000-0008-0000-0E00-00005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2" name="Text Box 851">
          <a:extLst>
            <a:ext uri="{FF2B5EF4-FFF2-40B4-BE49-F238E27FC236}">
              <a16:creationId xmlns:a16="http://schemas.microsoft.com/office/drawing/2014/main" id="{00000000-0008-0000-0E00-00005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3" name="Text Box 852">
          <a:extLst>
            <a:ext uri="{FF2B5EF4-FFF2-40B4-BE49-F238E27FC236}">
              <a16:creationId xmlns:a16="http://schemas.microsoft.com/office/drawing/2014/main" id="{00000000-0008-0000-0E00-00005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4" name="Text Box 853">
          <a:extLst>
            <a:ext uri="{FF2B5EF4-FFF2-40B4-BE49-F238E27FC236}">
              <a16:creationId xmlns:a16="http://schemas.microsoft.com/office/drawing/2014/main" id="{00000000-0008-0000-0E00-00005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5" name="Text Box 854">
          <a:extLst>
            <a:ext uri="{FF2B5EF4-FFF2-40B4-BE49-F238E27FC236}">
              <a16:creationId xmlns:a16="http://schemas.microsoft.com/office/drawing/2014/main" id="{00000000-0008-0000-0E00-00005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6" name="Text Box 855">
          <a:extLst>
            <a:ext uri="{FF2B5EF4-FFF2-40B4-BE49-F238E27FC236}">
              <a16:creationId xmlns:a16="http://schemas.microsoft.com/office/drawing/2014/main" id="{00000000-0008-0000-0E00-00005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7" name="Text Box 856">
          <a:extLst>
            <a:ext uri="{FF2B5EF4-FFF2-40B4-BE49-F238E27FC236}">
              <a16:creationId xmlns:a16="http://schemas.microsoft.com/office/drawing/2014/main" id="{00000000-0008-0000-0E00-00005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8" name="Text Box 857">
          <a:extLst>
            <a:ext uri="{FF2B5EF4-FFF2-40B4-BE49-F238E27FC236}">
              <a16:creationId xmlns:a16="http://schemas.microsoft.com/office/drawing/2014/main" id="{00000000-0008-0000-0E00-00005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59" name="Text Box 858">
          <a:extLst>
            <a:ext uri="{FF2B5EF4-FFF2-40B4-BE49-F238E27FC236}">
              <a16:creationId xmlns:a16="http://schemas.microsoft.com/office/drawing/2014/main" id="{00000000-0008-0000-0E00-00005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0" name="Text Box 859">
          <a:extLst>
            <a:ext uri="{FF2B5EF4-FFF2-40B4-BE49-F238E27FC236}">
              <a16:creationId xmlns:a16="http://schemas.microsoft.com/office/drawing/2014/main" id="{00000000-0008-0000-0E00-00005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1" name="Text Box 860">
          <a:extLst>
            <a:ext uri="{FF2B5EF4-FFF2-40B4-BE49-F238E27FC236}">
              <a16:creationId xmlns:a16="http://schemas.microsoft.com/office/drawing/2014/main" id="{00000000-0008-0000-0E00-00005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2" name="Text Box 861">
          <a:extLst>
            <a:ext uri="{FF2B5EF4-FFF2-40B4-BE49-F238E27FC236}">
              <a16:creationId xmlns:a16="http://schemas.microsoft.com/office/drawing/2014/main" id="{00000000-0008-0000-0E00-00005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3" name="Text Box 862">
          <a:extLst>
            <a:ext uri="{FF2B5EF4-FFF2-40B4-BE49-F238E27FC236}">
              <a16:creationId xmlns:a16="http://schemas.microsoft.com/office/drawing/2014/main" id="{00000000-0008-0000-0E00-00005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4" name="Text Box 863">
          <a:extLst>
            <a:ext uri="{FF2B5EF4-FFF2-40B4-BE49-F238E27FC236}">
              <a16:creationId xmlns:a16="http://schemas.microsoft.com/office/drawing/2014/main" id="{00000000-0008-0000-0E00-00006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5" name="Text Box 864">
          <a:extLst>
            <a:ext uri="{FF2B5EF4-FFF2-40B4-BE49-F238E27FC236}">
              <a16:creationId xmlns:a16="http://schemas.microsoft.com/office/drawing/2014/main" id="{00000000-0008-0000-0E00-00006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6" name="Text Box 865">
          <a:extLst>
            <a:ext uri="{FF2B5EF4-FFF2-40B4-BE49-F238E27FC236}">
              <a16:creationId xmlns:a16="http://schemas.microsoft.com/office/drawing/2014/main" id="{00000000-0008-0000-0E00-00006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7" name="Text Box 866">
          <a:extLst>
            <a:ext uri="{FF2B5EF4-FFF2-40B4-BE49-F238E27FC236}">
              <a16:creationId xmlns:a16="http://schemas.microsoft.com/office/drawing/2014/main" id="{00000000-0008-0000-0E00-00006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8" name="Text Box 867">
          <a:extLst>
            <a:ext uri="{FF2B5EF4-FFF2-40B4-BE49-F238E27FC236}">
              <a16:creationId xmlns:a16="http://schemas.microsoft.com/office/drawing/2014/main" id="{00000000-0008-0000-0E00-00006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69" name="Text Box 868">
          <a:extLst>
            <a:ext uri="{FF2B5EF4-FFF2-40B4-BE49-F238E27FC236}">
              <a16:creationId xmlns:a16="http://schemas.microsoft.com/office/drawing/2014/main" id="{00000000-0008-0000-0E00-00006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0" name="Text Box 869">
          <a:extLst>
            <a:ext uri="{FF2B5EF4-FFF2-40B4-BE49-F238E27FC236}">
              <a16:creationId xmlns:a16="http://schemas.microsoft.com/office/drawing/2014/main" id="{00000000-0008-0000-0E00-00006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1" name="Text Box 870">
          <a:extLst>
            <a:ext uri="{FF2B5EF4-FFF2-40B4-BE49-F238E27FC236}">
              <a16:creationId xmlns:a16="http://schemas.microsoft.com/office/drawing/2014/main" id="{00000000-0008-0000-0E00-00006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2" name="Text Box 871">
          <a:extLst>
            <a:ext uri="{FF2B5EF4-FFF2-40B4-BE49-F238E27FC236}">
              <a16:creationId xmlns:a16="http://schemas.microsoft.com/office/drawing/2014/main" id="{00000000-0008-0000-0E00-00006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3" name="Text Box 872">
          <a:extLst>
            <a:ext uri="{FF2B5EF4-FFF2-40B4-BE49-F238E27FC236}">
              <a16:creationId xmlns:a16="http://schemas.microsoft.com/office/drawing/2014/main" id="{00000000-0008-0000-0E00-00006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4" name="Text Box 873">
          <a:extLst>
            <a:ext uri="{FF2B5EF4-FFF2-40B4-BE49-F238E27FC236}">
              <a16:creationId xmlns:a16="http://schemas.microsoft.com/office/drawing/2014/main" id="{00000000-0008-0000-0E00-00006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5" name="Text Box 874">
          <a:extLst>
            <a:ext uri="{FF2B5EF4-FFF2-40B4-BE49-F238E27FC236}">
              <a16:creationId xmlns:a16="http://schemas.microsoft.com/office/drawing/2014/main" id="{00000000-0008-0000-0E00-00006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6" name="Text Box 875">
          <a:extLst>
            <a:ext uri="{FF2B5EF4-FFF2-40B4-BE49-F238E27FC236}">
              <a16:creationId xmlns:a16="http://schemas.microsoft.com/office/drawing/2014/main" id="{00000000-0008-0000-0E00-00006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7" name="Text Box 876">
          <a:extLst>
            <a:ext uri="{FF2B5EF4-FFF2-40B4-BE49-F238E27FC236}">
              <a16:creationId xmlns:a16="http://schemas.microsoft.com/office/drawing/2014/main" id="{00000000-0008-0000-0E00-00006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8" name="Text Box 877">
          <a:extLst>
            <a:ext uri="{FF2B5EF4-FFF2-40B4-BE49-F238E27FC236}">
              <a16:creationId xmlns:a16="http://schemas.microsoft.com/office/drawing/2014/main" id="{00000000-0008-0000-0E00-00006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79" name="Text Box 878">
          <a:extLst>
            <a:ext uri="{FF2B5EF4-FFF2-40B4-BE49-F238E27FC236}">
              <a16:creationId xmlns:a16="http://schemas.microsoft.com/office/drawing/2014/main" id="{00000000-0008-0000-0E00-00006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0" name="Text Box 879">
          <a:extLst>
            <a:ext uri="{FF2B5EF4-FFF2-40B4-BE49-F238E27FC236}">
              <a16:creationId xmlns:a16="http://schemas.microsoft.com/office/drawing/2014/main" id="{00000000-0008-0000-0E00-00007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1" name="Text Box 880">
          <a:extLst>
            <a:ext uri="{FF2B5EF4-FFF2-40B4-BE49-F238E27FC236}">
              <a16:creationId xmlns:a16="http://schemas.microsoft.com/office/drawing/2014/main" id="{00000000-0008-0000-0E00-00007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2" name="Text Box 881">
          <a:extLst>
            <a:ext uri="{FF2B5EF4-FFF2-40B4-BE49-F238E27FC236}">
              <a16:creationId xmlns:a16="http://schemas.microsoft.com/office/drawing/2014/main" id="{00000000-0008-0000-0E00-00007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3" name="Text Box 882">
          <a:extLst>
            <a:ext uri="{FF2B5EF4-FFF2-40B4-BE49-F238E27FC236}">
              <a16:creationId xmlns:a16="http://schemas.microsoft.com/office/drawing/2014/main" id="{00000000-0008-0000-0E00-00007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4" name="Text Box 883">
          <a:extLst>
            <a:ext uri="{FF2B5EF4-FFF2-40B4-BE49-F238E27FC236}">
              <a16:creationId xmlns:a16="http://schemas.microsoft.com/office/drawing/2014/main" id="{00000000-0008-0000-0E00-00007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5" name="Text Box 884">
          <a:extLst>
            <a:ext uri="{FF2B5EF4-FFF2-40B4-BE49-F238E27FC236}">
              <a16:creationId xmlns:a16="http://schemas.microsoft.com/office/drawing/2014/main" id="{00000000-0008-0000-0E00-00007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6" name="Text Box 885">
          <a:extLst>
            <a:ext uri="{FF2B5EF4-FFF2-40B4-BE49-F238E27FC236}">
              <a16:creationId xmlns:a16="http://schemas.microsoft.com/office/drawing/2014/main" id="{00000000-0008-0000-0E00-000076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7" name="Text Box 886">
          <a:extLst>
            <a:ext uri="{FF2B5EF4-FFF2-40B4-BE49-F238E27FC236}">
              <a16:creationId xmlns:a16="http://schemas.microsoft.com/office/drawing/2014/main" id="{00000000-0008-0000-0E00-000077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8" name="Text Box 887">
          <a:extLst>
            <a:ext uri="{FF2B5EF4-FFF2-40B4-BE49-F238E27FC236}">
              <a16:creationId xmlns:a16="http://schemas.microsoft.com/office/drawing/2014/main" id="{00000000-0008-0000-0E00-000078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89" name="Text Box 888">
          <a:extLst>
            <a:ext uri="{FF2B5EF4-FFF2-40B4-BE49-F238E27FC236}">
              <a16:creationId xmlns:a16="http://schemas.microsoft.com/office/drawing/2014/main" id="{00000000-0008-0000-0E00-000079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0" name="Text Box 889">
          <a:extLst>
            <a:ext uri="{FF2B5EF4-FFF2-40B4-BE49-F238E27FC236}">
              <a16:creationId xmlns:a16="http://schemas.microsoft.com/office/drawing/2014/main" id="{00000000-0008-0000-0E00-00007A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1" name="Text Box 890">
          <a:extLst>
            <a:ext uri="{FF2B5EF4-FFF2-40B4-BE49-F238E27FC236}">
              <a16:creationId xmlns:a16="http://schemas.microsoft.com/office/drawing/2014/main" id="{00000000-0008-0000-0E00-00007B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2" name="Text Box 891">
          <a:extLst>
            <a:ext uri="{FF2B5EF4-FFF2-40B4-BE49-F238E27FC236}">
              <a16:creationId xmlns:a16="http://schemas.microsoft.com/office/drawing/2014/main" id="{00000000-0008-0000-0E00-00007C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3" name="Text Box 892">
          <a:extLst>
            <a:ext uri="{FF2B5EF4-FFF2-40B4-BE49-F238E27FC236}">
              <a16:creationId xmlns:a16="http://schemas.microsoft.com/office/drawing/2014/main" id="{00000000-0008-0000-0E00-00007D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4" name="Text Box 893">
          <a:extLst>
            <a:ext uri="{FF2B5EF4-FFF2-40B4-BE49-F238E27FC236}">
              <a16:creationId xmlns:a16="http://schemas.microsoft.com/office/drawing/2014/main" id="{00000000-0008-0000-0E00-00007E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5" name="Text Box 894">
          <a:extLst>
            <a:ext uri="{FF2B5EF4-FFF2-40B4-BE49-F238E27FC236}">
              <a16:creationId xmlns:a16="http://schemas.microsoft.com/office/drawing/2014/main" id="{00000000-0008-0000-0E00-00007F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6" name="Text Box 895">
          <a:extLst>
            <a:ext uri="{FF2B5EF4-FFF2-40B4-BE49-F238E27FC236}">
              <a16:creationId xmlns:a16="http://schemas.microsoft.com/office/drawing/2014/main" id="{00000000-0008-0000-0E00-000080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7" name="Text Box 896">
          <a:extLst>
            <a:ext uri="{FF2B5EF4-FFF2-40B4-BE49-F238E27FC236}">
              <a16:creationId xmlns:a16="http://schemas.microsoft.com/office/drawing/2014/main" id="{00000000-0008-0000-0E00-000081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8" name="Text Box 897">
          <a:extLst>
            <a:ext uri="{FF2B5EF4-FFF2-40B4-BE49-F238E27FC236}">
              <a16:creationId xmlns:a16="http://schemas.microsoft.com/office/drawing/2014/main" id="{00000000-0008-0000-0E00-000082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899" name="Text Box 898">
          <a:extLst>
            <a:ext uri="{FF2B5EF4-FFF2-40B4-BE49-F238E27FC236}">
              <a16:creationId xmlns:a16="http://schemas.microsoft.com/office/drawing/2014/main" id="{00000000-0008-0000-0E00-000083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00" name="Text Box 899">
          <a:extLst>
            <a:ext uri="{FF2B5EF4-FFF2-40B4-BE49-F238E27FC236}">
              <a16:creationId xmlns:a16="http://schemas.microsoft.com/office/drawing/2014/main" id="{00000000-0008-0000-0E00-000084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4</xdr:col>
      <xdr:colOff>0</xdr:colOff>
      <xdr:row>99</xdr:row>
      <xdr:rowOff>0</xdr:rowOff>
    </xdr:from>
    <xdr:to>
      <xdr:col>4</xdr:col>
      <xdr:colOff>76200</xdr:colOff>
      <xdr:row>100</xdr:row>
      <xdr:rowOff>38101</xdr:rowOff>
    </xdr:to>
    <xdr:sp macro="" textlink="">
      <xdr:nvSpPr>
        <xdr:cNvPr id="901" name="Text Box 900">
          <a:extLst>
            <a:ext uri="{FF2B5EF4-FFF2-40B4-BE49-F238E27FC236}">
              <a16:creationId xmlns:a16="http://schemas.microsoft.com/office/drawing/2014/main" id="{00000000-0008-0000-0E00-000085030000}"/>
            </a:ext>
          </a:extLst>
        </xdr:cNvPr>
        <xdr:cNvSpPr txBox="1">
          <a:spLocks noChangeArrowheads="1"/>
        </xdr:cNvSpPr>
      </xdr:nvSpPr>
      <xdr:spPr bwMode="auto">
        <a:xfrm>
          <a:off x="4562475" y="31680150"/>
          <a:ext cx="76200" cy="200025"/>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2" name="Text Box 1">
          <a:extLst>
            <a:ext uri="{FF2B5EF4-FFF2-40B4-BE49-F238E27FC236}">
              <a16:creationId xmlns:a16="http://schemas.microsoft.com/office/drawing/2014/main" id="{00000000-0008-0000-0E00-00008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3" name="Text Box 2">
          <a:extLst>
            <a:ext uri="{FF2B5EF4-FFF2-40B4-BE49-F238E27FC236}">
              <a16:creationId xmlns:a16="http://schemas.microsoft.com/office/drawing/2014/main" id="{00000000-0008-0000-0E00-00008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4" name="Text Box 3">
          <a:extLst>
            <a:ext uri="{FF2B5EF4-FFF2-40B4-BE49-F238E27FC236}">
              <a16:creationId xmlns:a16="http://schemas.microsoft.com/office/drawing/2014/main" id="{00000000-0008-0000-0E00-00008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5" name="Text Box 4">
          <a:extLst>
            <a:ext uri="{FF2B5EF4-FFF2-40B4-BE49-F238E27FC236}">
              <a16:creationId xmlns:a16="http://schemas.microsoft.com/office/drawing/2014/main" id="{00000000-0008-0000-0E00-00008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6" name="Text Box 5">
          <a:extLst>
            <a:ext uri="{FF2B5EF4-FFF2-40B4-BE49-F238E27FC236}">
              <a16:creationId xmlns:a16="http://schemas.microsoft.com/office/drawing/2014/main" id="{00000000-0008-0000-0E00-00008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7" name="Text Box 6">
          <a:extLst>
            <a:ext uri="{FF2B5EF4-FFF2-40B4-BE49-F238E27FC236}">
              <a16:creationId xmlns:a16="http://schemas.microsoft.com/office/drawing/2014/main" id="{00000000-0008-0000-0E00-00008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8" name="Text Box 7">
          <a:extLst>
            <a:ext uri="{FF2B5EF4-FFF2-40B4-BE49-F238E27FC236}">
              <a16:creationId xmlns:a16="http://schemas.microsoft.com/office/drawing/2014/main" id="{00000000-0008-0000-0E00-00008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09" name="Text Box 8">
          <a:extLst>
            <a:ext uri="{FF2B5EF4-FFF2-40B4-BE49-F238E27FC236}">
              <a16:creationId xmlns:a16="http://schemas.microsoft.com/office/drawing/2014/main" id="{00000000-0008-0000-0E00-00008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0" name="Text Box 9">
          <a:extLst>
            <a:ext uri="{FF2B5EF4-FFF2-40B4-BE49-F238E27FC236}">
              <a16:creationId xmlns:a16="http://schemas.microsoft.com/office/drawing/2014/main" id="{00000000-0008-0000-0E00-00008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1" name="Text Box 10">
          <a:extLst>
            <a:ext uri="{FF2B5EF4-FFF2-40B4-BE49-F238E27FC236}">
              <a16:creationId xmlns:a16="http://schemas.microsoft.com/office/drawing/2014/main" id="{00000000-0008-0000-0E00-00008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2" name="Text Box 11">
          <a:extLst>
            <a:ext uri="{FF2B5EF4-FFF2-40B4-BE49-F238E27FC236}">
              <a16:creationId xmlns:a16="http://schemas.microsoft.com/office/drawing/2014/main" id="{00000000-0008-0000-0E00-00009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3" name="Text Box 12">
          <a:extLst>
            <a:ext uri="{FF2B5EF4-FFF2-40B4-BE49-F238E27FC236}">
              <a16:creationId xmlns:a16="http://schemas.microsoft.com/office/drawing/2014/main" id="{00000000-0008-0000-0E00-00009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4" name="Text Box 13">
          <a:extLst>
            <a:ext uri="{FF2B5EF4-FFF2-40B4-BE49-F238E27FC236}">
              <a16:creationId xmlns:a16="http://schemas.microsoft.com/office/drawing/2014/main" id="{00000000-0008-0000-0E00-00009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5" name="Text Box 14">
          <a:extLst>
            <a:ext uri="{FF2B5EF4-FFF2-40B4-BE49-F238E27FC236}">
              <a16:creationId xmlns:a16="http://schemas.microsoft.com/office/drawing/2014/main" id="{00000000-0008-0000-0E00-00009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6" name="Text Box 15">
          <a:extLst>
            <a:ext uri="{FF2B5EF4-FFF2-40B4-BE49-F238E27FC236}">
              <a16:creationId xmlns:a16="http://schemas.microsoft.com/office/drawing/2014/main" id="{00000000-0008-0000-0E00-00009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7" name="Text Box 16">
          <a:extLst>
            <a:ext uri="{FF2B5EF4-FFF2-40B4-BE49-F238E27FC236}">
              <a16:creationId xmlns:a16="http://schemas.microsoft.com/office/drawing/2014/main" id="{00000000-0008-0000-0E00-00009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8" name="Text Box 17">
          <a:extLst>
            <a:ext uri="{FF2B5EF4-FFF2-40B4-BE49-F238E27FC236}">
              <a16:creationId xmlns:a16="http://schemas.microsoft.com/office/drawing/2014/main" id="{00000000-0008-0000-0E00-00009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19" name="Text Box 18">
          <a:extLst>
            <a:ext uri="{FF2B5EF4-FFF2-40B4-BE49-F238E27FC236}">
              <a16:creationId xmlns:a16="http://schemas.microsoft.com/office/drawing/2014/main" id="{00000000-0008-0000-0E00-00009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0" name="Text Box 19">
          <a:extLst>
            <a:ext uri="{FF2B5EF4-FFF2-40B4-BE49-F238E27FC236}">
              <a16:creationId xmlns:a16="http://schemas.microsoft.com/office/drawing/2014/main" id="{00000000-0008-0000-0E00-00009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1" name="Text Box 20">
          <a:extLst>
            <a:ext uri="{FF2B5EF4-FFF2-40B4-BE49-F238E27FC236}">
              <a16:creationId xmlns:a16="http://schemas.microsoft.com/office/drawing/2014/main" id="{00000000-0008-0000-0E00-00009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2" name="Text Box 21">
          <a:extLst>
            <a:ext uri="{FF2B5EF4-FFF2-40B4-BE49-F238E27FC236}">
              <a16:creationId xmlns:a16="http://schemas.microsoft.com/office/drawing/2014/main" id="{00000000-0008-0000-0E00-00009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3" name="Text Box 22">
          <a:extLst>
            <a:ext uri="{FF2B5EF4-FFF2-40B4-BE49-F238E27FC236}">
              <a16:creationId xmlns:a16="http://schemas.microsoft.com/office/drawing/2014/main" id="{00000000-0008-0000-0E00-00009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4" name="Text Box 23">
          <a:extLst>
            <a:ext uri="{FF2B5EF4-FFF2-40B4-BE49-F238E27FC236}">
              <a16:creationId xmlns:a16="http://schemas.microsoft.com/office/drawing/2014/main" id="{00000000-0008-0000-0E00-00009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5" name="Text Box 24">
          <a:extLst>
            <a:ext uri="{FF2B5EF4-FFF2-40B4-BE49-F238E27FC236}">
              <a16:creationId xmlns:a16="http://schemas.microsoft.com/office/drawing/2014/main" id="{00000000-0008-0000-0E00-00009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6" name="Text Box 25">
          <a:extLst>
            <a:ext uri="{FF2B5EF4-FFF2-40B4-BE49-F238E27FC236}">
              <a16:creationId xmlns:a16="http://schemas.microsoft.com/office/drawing/2014/main" id="{00000000-0008-0000-0E00-00009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7" name="Text Box 26">
          <a:extLst>
            <a:ext uri="{FF2B5EF4-FFF2-40B4-BE49-F238E27FC236}">
              <a16:creationId xmlns:a16="http://schemas.microsoft.com/office/drawing/2014/main" id="{00000000-0008-0000-0E00-00009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8" name="Text Box 27">
          <a:extLst>
            <a:ext uri="{FF2B5EF4-FFF2-40B4-BE49-F238E27FC236}">
              <a16:creationId xmlns:a16="http://schemas.microsoft.com/office/drawing/2014/main" id="{00000000-0008-0000-0E00-0000A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29" name="Text Box 28">
          <a:extLst>
            <a:ext uri="{FF2B5EF4-FFF2-40B4-BE49-F238E27FC236}">
              <a16:creationId xmlns:a16="http://schemas.microsoft.com/office/drawing/2014/main" id="{00000000-0008-0000-0E00-0000A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0" name="Text Box 29">
          <a:extLst>
            <a:ext uri="{FF2B5EF4-FFF2-40B4-BE49-F238E27FC236}">
              <a16:creationId xmlns:a16="http://schemas.microsoft.com/office/drawing/2014/main" id="{00000000-0008-0000-0E00-0000A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1" name="Text Box 30">
          <a:extLst>
            <a:ext uri="{FF2B5EF4-FFF2-40B4-BE49-F238E27FC236}">
              <a16:creationId xmlns:a16="http://schemas.microsoft.com/office/drawing/2014/main" id="{00000000-0008-0000-0E00-0000A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2" name="Text Box 31">
          <a:extLst>
            <a:ext uri="{FF2B5EF4-FFF2-40B4-BE49-F238E27FC236}">
              <a16:creationId xmlns:a16="http://schemas.microsoft.com/office/drawing/2014/main" id="{00000000-0008-0000-0E00-0000A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3" name="Text Box 32">
          <a:extLst>
            <a:ext uri="{FF2B5EF4-FFF2-40B4-BE49-F238E27FC236}">
              <a16:creationId xmlns:a16="http://schemas.microsoft.com/office/drawing/2014/main" id="{00000000-0008-0000-0E00-0000A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4" name="Text Box 33">
          <a:extLst>
            <a:ext uri="{FF2B5EF4-FFF2-40B4-BE49-F238E27FC236}">
              <a16:creationId xmlns:a16="http://schemas.microsoft.com/office/drawing/2014/main" id="{00000000-0008-0000-0E00-0000A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5" name="Text Box 34">
          <a:extLst>
            <a:ext uri="{FF2B5EF4-FFF2-40B4-BE49-F238E27FC236}">
              <a16:creationId xmlns:a16="http://schemas.microsoft.com/office/drawing/2014/main" id="{00000000-0008-0000-0E00-0000A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6" name="Text Box 35">
          <a:extLst>
            <a:ext uri="{FF2B5EF4-FFF2-40B4-BE49-F238E27FC236}">
              <a16:creationId xmlns:a16="http://schemas.microsoft.com/office/drawing/2014/main" id="{00000000-0008-0000-0E00-0000A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7" name="Text Box 36">
          <a:extLst>
            <a:ext uri="{FF2B5EF4-FFF2-40B4-BE49-F238E27FC236}">
              <a16:creationId xmlns:a16="http://schemas.microsoft.com/office/drawing/2014/main" id="{00000000-0008-0000-0E00-0000A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8" name="Text Box 37">
          <a:extLst>
            <a:ext uri="{FF2B5EF4-FFF2-40B4-BE49-F238E27FC236}">
              <a16:creationId xmlns:a16="http://schemas.microsoft.com/office/drawing/2014/main" id="{00000000-0008-0000-0E00-0000A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39" name="Text Box 38">
          <a:extLst>
            <a:ext uri="{FF2B5EF4-FFF2-40B4-BE49-F238E27FC236}">
              <a16:creationId xmlns:a16="http://schemas.microsoft.com/office/drawing/2014/main" id="{00000000-0008-0000-0E00-0000A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0" name="Text Box 39">
          <a:extLst>
            <a:ext uri="{FF2B5EF4-FFF2-40B4-BE49-F238E27FC236}">
              <a16:creationId xmlns:a16="http://schemas.microsoft.com/office/drawing/2014/main" id="{00000000-0008-0000-0E00-0000A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1" name="Text Box 40">
          <a:extLst>
            <a:ext uri="{FF2B5EF4-FFF2-40B4-BE49-F238E27FC236}">
              <a16:creationId xmlns:a16="http://schemas.microsoft.com/office/drawing/2014/main" id="{00000000-0008-0000-0E00-0000A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2" name="Text Box 41">
          <a:extLst>
            <a:ext uri="{FF2B5EF4-FFF2-40B4-BE49-F238E27FC236}">
              <a16:creationId xmlns:a16="http://schemas.microsoft.com/office/drawing/2014/main" id="{00000000-0008-0000-0E00-0000A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3" name="Text Box 42">
          <a:extLst>
            <a:ext uri="{FF2B5EF4-FFF2-40B4-BE49-F238E27FC236}">
              <a16:creationId xmlns:a16="http://schemas.microsoft.com/office/drawing/2014/main" id="{00000000-0008-0000-0E00-0000A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4" name="Text Box 43">
          <a:extLst>
            <a:ext uri="{FF2B5EF4-FFF2-40B4-BE49-F238E27FC236}">
              <a16:creationId xmlns:a16="http://schemas.microsoft.com/office/drawing/2014/main" id="{00000000-0008-0000-0E00-0000B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5" name="Text Box 44">
          <a:extLst>
            <a:ext uri="{FF2B5EF4-FFF2-40B4-BE49-F238E27FC236}">
              <a16:creationId xmlns:a16="http://schemas.microsoft.com/office/drawing/2014/main" id="{00000000-0008-0000-0E00-0000B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6" name="Text Box 45">
          <a:extLst>
            <a:ext uri="{FF2B5EF4-FFF2-40B4-BE49-F238E27FC236}">
              <a16:creationId xmlns:a16="http://schemas.microsoft.com/office/drawing/2014/main" id="{00000000-0008-0000-0E00-0000B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7" name="Text Box 46">
          <a:extLst>
            <a:ext uri="{FF2B5EF4-FFF2-40B4-BE49-F238E27FC236}">
              <a16:creationId xmlns:a16="http://schemas.microsoft.com/office/drawing/2014/main" id="{00000000-0008-0000-0E00-0000B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8" name="Text Box 47">
          <a:extLst>
            <a:ext uri="{FF2B5EF4-FFF2-40B4-BE49-F238E27FC236}">
              <a16:creationId xmlns:a16="http://schemas.microsoft.com/office/drawing/2014/main" id="{00000000-0008-0000-0E00-0000B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49" name="Text Box 48">
          <a:extLst>
            <a:ext uri="{FF2B5EF4-FFF2-40B4-BE49-F238E27FC236}">
              <a16:creationId xmlns:a16="http://schemas.microsoft.com/office/drawing/2014/main" id="{00000000-0008-0000-0E00-0000B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0" name="Text Box 49">
          <a:extLst>
            <a:ext uri="{FF2B5EF4-FFF2-40B4-BE49-F238E27FC236}">
              <a16:creationId xmlns:a16="http://schemas.microsoft.com/office/drawing/2014/main" id="{00000000-0008-0000-0E00-0000B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1" name="Text Box 50">
          <a:extLst>
            <a:ext uri="{FF2B5EF4-FFF2-40B4-BE49-F238E27FC236}">
              <a16:creationId xmlns:a16="http://schemas.microsoft.com/office/drawing/2014/main" id="{00000000-0008-0000-0E00-0000B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2" name="Text Box 51">
          <a:extLst>
            <a:ext uri="{FF2B5EF4-FFF2-40B4-BE49-F238E27FC236}">
              <a16:creationId xmlns:a16="http://schemas.microsoft.com/office/drawing/2014/main" id="{00000000-0008-0000-0E00-0000B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3" name="Text Box 52">
          <a:extLst>
            <a:ext uri="{FF2B5EF4-FFF2-40B4-BE49-F238E27FC236}">
              <a16:creationId xmlns:a16="http://schemas.microsoft.com/office/drawing/2014/main" id="{00000000-0008-0000-0E00-0000B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4" name="Text Box 53">
          <a:extLst>
            <a:ext uri="{FF2B5EF4-FFF2-40B4-BE49-F238E27FC236}">
              <a16:creationId xmlns:a16="http://schemas.microsoft.com/office/drawing/2014/main" id="{00000000-0008-0000-0E00-0000B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5" name="Text Box 54">
          <a:extLst>
            <a:ext uri="{FF2B5EF4-FFF2-40B4-BE49-F238E27FC236}">
              <a16:creationId xmlns:a16="http://schemas.microsoft.com/office/drawing/2014/main" id="{00000000-0008-0000-0E00-0000B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6" name="Text Box 55">
          <a:extLst>
            <a:ext uri="{FF2B5EF4-FFF2-40B4-BE49-F238E27FC236}">
              <a16:creationId xmlns:a16="http://schemas.microsoft.com/office/drawing/2014/main" id="{00000000-0008-0000-0E00-0000B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7" name="Text Box 56">
          <a:extLst>
            <a:ext uri="{FF2B5EF4-FFF2-40B4-BE49-F238E27FC236}">
              <a16:creationId xmlns:a16="http://schemas.microsoft.com/office/drawing/2014/main" id="{00000000-0008-0000-0E00-0000B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8" name="Text Box 57">
          <a:extLst>
            <a:ext uri="{FF2B5EF4-FFF2-40B4-BE49-F238E27FC236}">
              <a16:creationId xmlns:a16="http://schemas.microsoft.com/office/drawing/2014/main" id="{00000000-0008-0000-0E00-0000B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59" name="Text Box 58">
          <a:extLst>
            <a:ext uri="{FF2B5EF4-FFF2-40B4-BE49-F238E27FC236}">
              <a16:creationId xmlns:a16="http://schemas.microsoft.com/office/drawing/2014/main" id="{00000000-0008-0000-0E00-0000B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0" name="Text Box 59">
          <a:extLst>
            <a:ext uri="{FF2B5EF4-FFF2-40B4-BE49-F238E27FC236}">
              <a16:creationId xmlns:a16="http://schemas.microsoft.com/office/drawing/2014/main" id="{00000000-0008-0000-0E00-0000C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1" name="Text Box 60">
          <a:extLst>
            <a:ext uri="{FF2B5EF4-FFF2-40B4-BE49-F238E27FC236}">
              <a16:creationId xmlns:a16="http://schemas.microsoft.com/office/drawing/2014/main" id="{00000000-0008-0000-0E00-0000C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2" name="Text Box 61">
          <a:extLst>
            <a:ext uri="{FF2B5EF4-FFF2-40B4-BE49-F238E27FC236}">
              <a16:creationId xmlns:a16="http://schemas.microsoft.com/office/drawing/2014/main" id="{00000000-0008-0000-0E00-0000C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3" name="Text Box 62">
          <a:extLst>
            <a:ext uri="{FF2B5EF4-FFF2-40B4-BE49-F238E27FC236}">
              <a16:creationId xmlns:a16="http://schemas.microsoft.com/office/drawing/2014/main" id="{00000000-0008-0000-0E00-0000C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4" name="Text Box 63">
          <a:extLst>
            <a:ext uri="{FF2B5EF4-FFF2-40B4-BE49-F238E27FC236}">
              <a16:creationId xmlns:a16="http://schemas.microsoft.com/office/drawing/2014/main" id="{00000000-0008-0000-0E00-0000C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5" name="Text Box 64">
          <a:extLst>
            <a:ext uri="{FF2B5EF4-FFF2-40B4-BE49-F238E27FC236}">
              <a16:creationId xmlns:a16="http://schemas.microsoft.com/office/drawing/2014/main" id="{00000000-0008-0000-0E00-0000C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6" name="Text Box 65">
          <a:extLst>
            <a:ext uri="{FF2B5EF4-FFF2-40B4-BE49-F238E27FC236}">
              <a16:creationId xmlns:a16="http://schemas.microsoft.com/office/drawing/2014/main" id="{00000000-0008-0000-0E00-0000C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7" name="Text Box 66">
          <a:extLst>
            <a:ext uri="{FF2B5EF4-FFF2-40B4-BE49-F238E27FC236}">
              <a16:creationId xmlns:a16="http://schemas.microsoft.com/office/drawing/2014/main" id="{00000000-0008-0000-0E00-0000C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8" name="Text Box 67">
          <a:extLst>
            <a:ext uri="{FF2B5EF4-FFF2-40B4-BE49-F238E27FC236}">
              <a16:creationId xmlns:a16="http://schemas.microsoft.com/office/drawing/2014/main" id="{00000000-0008-0000-0E00-0000C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69" name="Text Box 68">
          <a:extLst>
            <a:ext uri="{FF2B5EF4-FFF2-40B4-BE49-F238E27FC236}">
              <a16:creationId xmlns:a16="http://schemas.microsoft.com/office/drawing/2014/main" id="{00000000-0008-0000-0E00-0000C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0" name="Text Box 69">
          <a:extLst>
            <a:ext uri="{FF2B5EF4-FFF2-40B4-BE49-F238E27FC236}">
              <a16:creationId xmlns:a16="http://schemas.microsoft.com/office/drawing/2014/main" id="{00000000-0008-0000-0E00-0000C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1" name="Text Box 70">
          <a:extLst>
            <a:ext uri="{FF2B5EF4-FFF2-40B4-BE49-F238E27FC236}">
              <a16:creationId xmlns:a16="http://schemas.microsoft.com/office/drawing/2014/main" id="{00000000-0008-0000-0E00-0000C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2" name="Text Box 71">
          <a:extLst>
            <a:ext uri="{FF2B5EF4-FFF2-40B4-BE49-F238E27FC236}">
              <a16:creationId xmlns:a16="http://schemas.microsoft.com/office/drawing/2014/main" id="{00000000-0008-0000-0E00-0000C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3" name="Text Box 72">
          <a:extLst>
            <a:ext uri="{FF2B5EF4-FFF2-40B4-BE49-F238E27FC236}">
              <a16:creationId xmlns:a16="http://schemas.microsoft.com/office/drawing/2014/main" id="{00000000-0008-0000-0E00-0000C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4" name="Text Box 73">
          <a:extLst>
            <a:ext uri="{FF2B5EF4-FFF2-40B4-BE49-F238E27FC236}">
              <a16:creationId xmlns:a16="http://schemas.microsoft.com/office/drawing/2014/main" id="{00000000-0008-0000-0E00-0000C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5" name="Text Box 74">
          <a:extLst>
            <a:ext uri="{FF2B5EF4-FFF2-40B4-BE49-F238E27FC236}">
              <a16:creationId xmlns:a16="http://schemas.microsoft.com/office/drawing/2014/main" id="{00000000-0008-0000-0E00-0000C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6" name="Text Box 75">
          <a:extLst>
            <a:ext uri="{FF2B5EF4-FFF2-40B4-BE49-F238E27FC236}">
              <a16:creationId xmlns:a16="http://schemas.microsoft.com/office/drawing/2014/main" id="{00000000-0008-0000-0E00-0000D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7" name="Text Box 76">
          <a:extLst>
            <a:ext uri="{FF2B5EF4-FFF2-40B4-BE49-F238E27FC236}">
              <a16:creationId xmlns:a16="http://schemas.microsoft.com/office/drawing/2014/main" id="{00000000-0008-0000-0E00-0000D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8" name="Text Box 77">
          <a:extLst>
            <a:ext uri="{FF2B5EF4-FFF2-40B4-BE49-F238E27FC236}">
              <a16:creationId xmlns:a16="http://schemas.microsoft.com/office/drawing/2014/main" id="{00000000-0008-0000-0E00-0000D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79" name="Text Box 78">
          <a:extLst>
            <a:ext uri="{FF2B5EF4-FFF2-40B4-BE49-F238E27FC236}">
              <a16:creationId xmlns:a16="http://schemas.microsoft.com/office/drawing/2014/main" id="{00000000-0008-0000-0E00-0000D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0" name="Text Box 79">
          <a:extLst>
            <a:ext uri="{FF2B5EF4-FFF2-40B4-BE49-F238E27FC236}">
              <a16:creationId xmlns:a16="http://schemas.microsoft.com/office/drawing/2014/main" id="{00000000-0008-0000-0E00-0000D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1" name="Text Box 80">
          <a:extLst>
            <a:ext uri="{FF2B5EF4-FFF2-40B4-BE49-F238E27FC236}">
              <a16:creationId xmlns:a16="http://schemas.microsoft.com/office/drawing/2014/main" id="{00000000-0008-0000-0E00-0000D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2" name="Text Box 81">
          <a:extLst>
            <a:ext uri="{FF2B5EF4-FFF2-40B4-BE49-F238E27FC236}">
              <a16:creationId xmlns:a16="http://schemas.microsoft.com/office/drawing/2014/main" id="{00000000-0008-0000-0E00-0000D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3" name="Text Box 82">
          <a:extLst>
            <a:ext uri="{FF2B5EF4-FFF2-40B4-BE49-F238E27FC236}">
              <a16:creationId xmlns:a16="http://schemas.microsoft.com/office/drawing/2014/main" id="{00000000-0008-0000-0E00-0000D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4" name="Text Box 83">
          <a:extLst>
            <a:ext uri="{FF2B5EF4-FFF2-40B4-BE49-F238E27FC236}">
              <a16:creationId xmlns:a16="http://schemas.microsoft.com/office/drawing/2014/main" id="{00000000-0008-0000-0E00-0000D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5" name="Text Box 84">
          <a:extLst>
            <a:ext uri="{FF2B5EF4-FFF2-40B4-BE49-F238E27FC236}">
              <a16:creationId xmlns:a16="http://schemas.microsoft.com/office/drawing/2014/main" id="{00000000-0008-0000-0E00-0000D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6" name="Text Box 85">
          <a:extLst>
            <a:ext uri="{FF2B5EF4-FFF2-40B4-BE49-F238E27FC236}">
              <a16:creationId xmlns:a16="http://schemas.microsoft.com/office/drawing/2014/main" id="{00000000-0008-0000-0E00-0000D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7" name="Text Box 86">
          <a:extLst>
            <a:ext uri="{FF2B5EF4-FFF2-40B4-BE49-F238E27FC236}">
              <a16:creationId xmlns:a16="http://schemas.microsoft.com/office/drawing/2014/main" id="{00000000-0008-0000-0E00-0000D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8" name="Text Box 87">
          <a:extLst>
            <a:ext uri="{FF2B5EF4-FFF2-40B4-BE49-F238E27FC236}">
              <a16:creationId xmlns:a16="http://schemas.microsoft.com/office/drawing/2014/main" id="{00000000-0008-0000-0E00-0000D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89" name="Text Box 88">
          <a:extLst>
            <a:ext uri="{FF2B5EF4-FFF2-40B4-BE49-F238E27FC236}">
              <a16:creationId xmlns:a16="http://schemas.microsoft.com/office/drawing/2014/main" id="{00000000-0008-0000-0E00-0000D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0" name="Text Box 89">
          <a:extLst>
            <a:ext uri="{FF2B5EF4-FFF2-40B4-BE49-F238E27FC236}">
              <a16:creationId xmlns:a16="http://schemas.microsoft.com/office/drawing/2014/main" id="{00000000-0008-0000-0E00-0000D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1" name="Text Box 90">
          <a:extLst>
            <a:ext uri="{FF2B5EF4-FFF2-40B4-BE49-F238E27FC236}">
              <a16:creationId xmlns:a16="http://schemas.microsoft.com/office/drawing/2014/main" id="{00000000-0008-0000-0E00-0000D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2" name="Text Box 91">
          <a:extLst>
            <a:ext uri="{FF2B5EF4-FFF2-40B4-BE49-F238E27FC236}">
              <a16:creationId xmlns:a16="http://schemas.microsoft.com/office/drawing/2014/main" id="{00000000-0008-0000-0E00-0000E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3" name="Text Box 92">
          <a:extLst>
            <a:ext uri="{FF2B5EF4-FFF2-40B4-BE49-F238E27FC236}">
              <a16:creationId xmlns:a16="http://schemas.microsoft.com/office/drawing/2014/main" id="{00000000-0008-0000-0E00-0000E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4" name="Text Box 93">
          <a:extLst>
            <a:ext uri="{FF2B5EF4-FFF2-40B4-BE49-F238E27FC236}">
              <a16:creationId xmlns:a16="http://schemas.microsoft.com/office/drawing/2014/main" id="{00000000-0008-0000-0E00-0000E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5" name="Text Box 94">
          <a:extLst>
            <a:ext uri="{FF2B5EF4-FFF2-40B4-BE49-F238E27FC236}">
              <a16:creationId xmlns:a16="http://schemas.microsoft.com/office/drawing/2014/main" id="{00000000-0008-0000-0E00-0000E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6" name="Text Box 95">
          <a:extLst>
            <a:ext uri="{FF2B5EF4-FFF2-40B4-BE49-F238E27FC236}">
              <a16:creationId xmlns:a16="http://schemas.microsoft.com/office/drawing/2014/main" id="{00000000-0008-0000-0E00-0000E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7" name="Text Box 96">
          <a:extLst>
            <a:ext uri="{FF2B5EF4-FFF2-40B4-BE49-F238E27FC236}">
              <a16:creationId xmlns:a16="http://schemas.microsoft.com/office/drawing/2014/main" id="{00000000-0008-0000-0E00-0000E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8" name="Text Box 97">
          <a:extLst>
            <a:ext uri="{FF2B5EF4-FFF2-40B4-BE49-F238E27FC236}">
              <a16:creationId xmlns:a16="http://schemas.microsoft.com/office/drawing/2014/main" id="{00000000-0008-0000-0E00-0000E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999" name="Text Box 98">
          <a:extLst>
            <a:ext uri="{FF2B5EF4-FFF2-40B4-BE49-F238E27FC236}">
              <a16:creationId xmlns:a16="http://schemas.microsoft.com/office/drawing/2014/main" id="{00000000-0008-0000-0E00-0000E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0" name="Text Box 99">
          <a:extLst>
            <a:ext uri="{FF2B5EF4-FFF2-40B4-BE49-F238E27FC236}">
              <a16:creationId xmlns:a16="http://schemas.microsoft.com/office/drawing/2014/main" id="{00000000-0008-0000-0E00-0000E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1" name="Text Box 100">
          <a:extLst>
            <a:ext uri="{FF2B5EF4-FFF2-40B4-BE49-F238E27FC236}">
              <a16:creationId xmlns:a16="http://schemas.microsoft.com/office/drawing/2014/main" id="{00000000-0008-0000-0E00-0000E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2" name="Text Box 101">
          <a:extLst>
            <a:ext uri="{FF2B5EF4-FFF2-40B4-BE49-F238E27FC236}">
              <a16:creationId xmlns:a16="http://schemas.microsoft.com/office/drawing/2014/main" id="{00000000-0008-0000-0E00-0000E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3" name="Text Box 102">
          <a:extLst>
            <a:ext uri="{FF2B5EF4-FFF2-40B4-BE49-F238E27FC236}">
              <a16:creationId xmlns:a16="http://schemas.microsoft.com/office/drawing/2014/main" id="{00000000-0008-0000-0E00-0000E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4" name="Text Box 103">
          <a:extLst>
            <a:ext uri="{FF2B5EF4-FFF2-40B4-BE49-F238E27FC236}">
              <a16:creationId xmlns:a16="http://schemas.microsoft.com/office/drawing/2014/main" id="{00000000-0008-0000-0E00-0000E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5" name="Text Box 104">
          <a:extLst>
            <a:ext uri="{FF2B5EF4-FFF2-40B4-BE49-F238E27FC236}">
              <a16:creationId xmlns:a16="http://schemas.microsoft.com/office/drawing/2014/main" id="{00000000-0008-0000-0E00-0000E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6" name="Text Box 105">
          <a:extLst>
            <a:ext uri="{FF2B5EF4-FFF2-40B4-BE49-F238E27FC236}">
              <a16:creationId xmlns:a16="http://schemas.microsoft.com/office/drawing/2014/main" id="{00000000-0008-0000-0E00-0000E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7" name="Text Box 106">
          <a:extLst>
            <a:ext uri="{FF2B5EF4-FFF2-40B4-BE49-F238E27FC236}">
              <a16:creationId xmlns:a16="http://schemas.microsoft.com/office/drawing/2014/main" id="{00000000-0008-0000-0E00-0000E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8" name="Text Box 107">
          <a:extLst>
            <a:ext uri="{FF2B5EF4-FFF2-40B4-BE49-F238E27FC236}">
              <a16:creationId xmlns:a16="http://schemas.microsoft.com/office/drawing/2014/main" id="{00000000-0008-0000-0E00-0000F0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09" name="Text Box 108">
          <a:extLst>
            <a:ext uri="{FF2B5EF4-FFF2-40B4-BE49-F238E27FC236}">
              <a16:creationId xmlns:a16="http://schemas.microsoft.com/office/drawing/2014/main" id="{00000000-0008-0000-0E00-0000F1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0" name="Text Box 109">
          <a:extLst>
            <a:ext uri="{FF2B5EF4-FFF2-40B4-BE49-F238E27FC236}">
              <a16:creationId xmlns:a16="http://schemas.microsoft.com/office/drawing/2014/main" id="{00000000-0008-0000-0E00-0000F2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1" name="Text Box 110">
          <a:extLst>
            <a:ext uri="{FF2B5EF4-FFF2-40B4-BE49-F238E27FC236}">
              <a16:creationId xmlns:a16="http://schemas.microsoft.com/office/drawing/2014/main" id="{00000000-0008-0000-0E00-0000F3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2" name="Text Box 111">
          <a:extLst>
            <a:ext uri="{FF2B5EF4-FFF2-40B4-BE49-F238E27FC236}">
              <a16:creationId xmlns:a16="http://schemas.microsoft.com/office/drawing/2014/main" id="{00000000-0008-0000-0E00-0000F4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3" name="Text Box 112">
          <a:extLst>
            <a:ext uri="{FF2B5EF4-FFF2-40B4-BE49-F238E27FC236}">
              <a16:creationId xmlns:a16="http://schemas.microsoft.com/office/drawing/2014/main" id="{00000000-0008-0000-0E00-0000F5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4" name="Text Box 113">
          <a:extLst>
            <a:ext uri="{FF2B5EF4-FFF2-40B4-BE49-F238E27FC236}">
              <a16:creationId xmlns:a16="http://schemas.microsoft.com/office/drawing/2014/main" id="{00000000-0008-0000-0E00-0000F6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5" name="Text Box 114">
          <a:extLst>
            <a:ext uri="{FF2B5EF4-FFF2-40B4-BE49-F238E27FC236}">
              <a16:creationId xmlns:a16="http://schemas.microsoft.com/office/drawing/2014/main" id="{00000000-0008-0000-0E00-0000F7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6" name="Text Box 115">
          <a:extLst>
            <a:ext uri="{FF2B5EF4-FFF2-40B4-BE49-F238E27FC236}">
              <a16:creationId xmlns:a16="http://schemas.microsoft.com/office/drawing/2014/main" id="{00000000-0008-0000-0E00-0000F8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7" name="Text Box 116">
          <a:extLst>
            <a:ext uri="{FF2B5EF4-FFF2-40B4-BE49-F238E27FC236}">
              <a16:creationId xmlns:a16="http://schemas.microsoft.com/office/drawing/2014/main" id="{00000000-0008-0000-0E00-0000F9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8" name="Text Box 117">
          <a:extLst>
            <a:ext uri="{FF2B5EF4-FFF2-40B4-BE49-F238E27FC236}">
              <a16:creationId xmlns:a16="http://schemas.microsoft.com/office/drawing/2014/main" id="{00000000-0008-0000-0E00-0000FA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19" name="Text Box 118">
          <a:extLst>
            <a:ext uri="{FF2B5EF4-FFF2-40B4-BE49-F238E27FC236}">
              <a16:creationId xmlns:a16="http://schemas.microsoft.com/office/drawing/2014/main" id="{00000000-0008-0000-0E00-0000FB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0" name="Text Box 119">
          <a:extLst>
            <a:ext uri="{FF2B5EF4-FFF2-40B4-BE49-F238E27FC236}">
              <a16:creationId xmlns:a16="http://schemas.microsoft.com/office/drawing/2014/main" id="{00000000-0008-0000-0E00-0000FC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1" name="Text Box 120">
          <a:extLst>
            <a:ext uri="{FF2B5EF4-FFF2-40B4-BE49-F238E27FC236}">
              <a16:creationId xmlns:a16="http://schemas.microsoft.com/office/drawing/2014/main" id="{00000000-0008-0000-0E00-0000FD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2" name="Text Box 121">
          <a:extLst>
            <a:ext uri="{FF2B5EF4-FFF2-40B4-BE49-F238E27FC236}">
              <a16:creationId xmlns:a16="http://schemas.microsoft.com/office/drawing/2014/main" id="{00000000-0008-0000-0E00-0000FE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3" name="Text Box 122">
          <a:extLst>
            <a:ext uri="{FF2B5EF4-FFF2-40B4-BE49-F238E27FC236}">
              <a16:creationId xmlns:a16="http://schemas.microsoft.com/office/drawing/2014/main" id="{00000000-0008-0000-0E00-0000FF03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4" name="Text Box 123">
          <a:extLst>
            <a:ext uri="{FF2B5EF4-FFF2-40B4-BE49-F238E27FC236}">
              <a16:creationId xmlns:a16="http://schemas.microsoft.com/office/drawing/2014/main" id="{00000000-0008-0000-0E00-00000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5" name="Text Box 124">
          <a:extLst>
            <a:ext uri="{FF2B5EF4-FFF2-40B4-BE49-F238E27FC236}">
              <a16:creationId xmlns:a16="http://schemas.microsoft.com/office/drawing/2014/main" id="{00000000-0008-0000-0E00-00000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6" name="Text Box 125">
          <a:extLst>
            <a:ext uri="{FF2B5EF4-FFF2-40B4-BE49-F238E27FC236}">
              <a16:creationId xmlns:a16="http://schemas.microsoft.com/office/drawing/2014/main" id="{00000000-0008-0000-0E00-00000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7" name="Text Box 126">
          <a:extLst>
            <a:ext uri="{FF2B5EF4-FFF2-40B4-BE49-F238E27FC236}">
              <a16:creationId xmlns:a16="http://schemas.microsoft.com/office/drawing/2014/main" id="{00000000-0008-0000-0E00-00000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8" name="Text Box 127">
          <a:extLst>
            <a:ext uri="{FF2B5EF4-FFF2-40B4-BE49-F238E27FC236}">
              <a16:creationId xmlns:a16="http://schemas.microsoft.com/office/drawing/2014/main" id="{00000000-0008-0000-0E00-00000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29" name="Text Box 128">
          <a:extLst>
            <a:ext uri="{FF2B5EF4-FFF2-40B4-BE49-F238E27FC236}">
              <a16:creationId xmlns:a16="http://schemas.microsoft.com/office/drawing/2014/main" id="{00000000-0008-0000-0E00-00000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0" name="Text Box 129">
          <a:extLst>
            <a:ext uri="{FF2B5EF4-FFF2-40B4-BE49-F238E27FC236}">
              <a16:creationId xmlns:a16="http://schemas.microsoft.com/office/drawing/2014/main" id="{00000000-0008-0000-0E00-00000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1" name="Text Box 130">
          <a:extLst>
            <a:ext uri="{FF2B5EF4-FFF2-40B4-BE49-F238E27FC236}">
              <a16:creationId xmlns:a16="http://schemas.microsoft.com/office/drawing/2014/main" id="{00000000-0008-0000-0E00-00000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2" name="Text Box 131">
          <a:extLst>
            <a:ext uri="{FF2B5EF4-FFF2-40B4-BE49-F238E27FC236}">
              <a16:creationId xmlns:a16="http://schemas.microsoft.com/office/drawing/2014/main" id="{00000000-0008-0000-0E00-00000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3" name="Text Box 132">
          <a:extLst>
            <a:ext uri="{FF2B5EF4-FFF2-40B4-BE49-F238E27FC236}">
              <a16:creationId xmlns:a16="http://schemas.microsoft.com/office/drawing/2014/main" id="{00000000-0008-0000-0E00-00000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4" name="Text Box 133">
          <a:extLst>
            <a:ext uri="{FF2B5EF4-FFF2-40B4-BE49-F238E27FC236}">
              <a16:creationId xmlns:a16="http://schemas.microsoft.com/office/drawing/2014/main" id="{00000000-0008-0000-0E00-00000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5" name="Text Box 134">
          <a:extLst>
            <a:ext uri="{FF2B5EF4-FFF2-40B4-BE49-F238E27FC236}">
              <a16:creationId xmlns:a16="http://schemas.microsoft.com/office/drawing/2014/main" id="{00000000-0008-0000-0E00-00000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6" name="Text Box 135">
          <a:extLst>
            <a:ext uri="{FF2B5EF4-FFF2-40B4-BE49-F238E27FC236}">
              <a16:creationId xmlns:a16="http://schemas.microsoft.com/office/drawing/2014/main" id="{00000000-0008-0000-0E00-00000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7" name="Text Box 136">
          <a:extLst>
            <a:ext uri="{FF2B5EF4-FFF2-40B4-BE49-F238E27FC236}">
              <a16:creationId xmlns:a16="http://schemas.microsoft.com/office/drawing/2014/main" id="{00000000-0008-0000-0E00-00000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8" name="Text Box 137">
          <a:extLst>
            <a:ext uri="{FF2B5EF4-FFF2-40B4-BE49-F238E27FC236}">
              <a16:creationId xmlns:a16="http://schemas.microsoft.com/office/drawing/2014/main" id="{00000000-0008-0000-0E00-00000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39" name="Text Box 138">
          <a:extLst>
            <a:ext uri="{FF2B5EF4-FFF2-40B4-BE49-F238E27FC236}">
              <a16:creationId xmlns:a16="http://schemas.microsoft.com/office/drawing/2014/main" id="{00000000-0008-0000-0E00-00000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0" name="Text Box 139">
          <a:extLst>
            <a:ext uri="{FF2B5EF4-FFF2-40B4-BE49-F238E27FC236}">
              <a16:creationId xmlns:a16="http://schemas.microsoft.com/office/drawing/2014/main" id="{00000000-0008-0000-0E00-00001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1" name="Text Box 140">
          <a:extLst>
            <a:ext uri="{FF2B5EF4-FFF2-40B4-BE49-F238E27FC236}">
              <a16:creationId xmlns:a16="http://schemas.microsoft.com/office/drawing/2014/main" id="{00000000-0008-0000-0E00-00001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2" name="Text Box 141">
          <a:extLst>
            <a:ext uri="{FF2B5EF4-FFF2-40B4-BE49-F238E27FC236}">
              <a16:creationId xmlns:a16="http://schemas.microsoft.com/office/drawing/2014/main" id="{00000000-0008-0000-0E00-00001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3" name="Text Box 142">
          <a:extLst>
            <a:ext uri="{FF2B5EF4-FFF2-40B4-BE49-F238E27FC236}">
              <a16:creationId xmlns:a16="http://schemas.microsoft.com/office/drawing/2014/main" id="{00000000-0008-0000-0E00-00001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4" name="Text Box 143">
          <a:extLst>
            <a:ext uri="{FF2B5EF4-FFF2-40B4-BE49-F238E27FC236}">
              <a16:creationId xmlns:a16="http://schemas.microsoft.com/office/drawing/2014/main" id="{00000000-0008-0000-0E00-00001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5" name="Text Box 144">
          <a:extLst>
            <a:ext uri="{FF2B5EF4-FFF2-40B4-BE49-F238E27FC236}">
              <a16:creationId xmlns:a16="http://schemas.microsoft.com/office/drawing/2014/main" id="{00000000-0008-0000-0E00-00001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6" name="Text Box 145">
          <a:extLst>
            <a:ext uri="{FF2B5EF4-FFF2-40B4-BE49-F238E27FC236}">
              <a16:creationId xmlns:a16="http://schemas.microsoft.com/office/drawing/2014/main" id="{00000000-0008-0000-0E00-00001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7" name="Text Box 146">
          <a:extLst>
            <a:ext uri="{FF2B5EF4-FFF2-40B4-BE49-F238E27FC236}">
              <a16:creationId xmlns:a16="http://schemas.microsoft.com/office/drawing/2014/main" id="{00000000-0008-0000-0E00-00001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8" name="Text Box 147">
          <a:extLst>
            <a:ext uri="{FF2B5EF4-FFF2-40B4-BE49-F238E27FC236}">
              <a16:creationId xmlns:a16="http://schemas.microsoft.com/office/drawing/2014/main" id="{00000000-0008-0000-0E00-00001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49" name="Text Box 148">
          <a:extLst>
            <a:ext uri="{FF2B5EF4-FFF2-40B4-BE49-F238E27FC236}">
              <a16:creationId xmlns:a16="http://schemas.microsoft.com/office/drawing/2014/main" id="{00000000-0008-0000-0E00-00001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0" name="Text Box 149">
          <a:extLst>
            <a:ext uri="{FF2B5EF4-FFF2-40B4-BE49-F238E27FC236}">
              <a16:creationId xmlns:a16="http://schemas.microsoft.com/office/drawing/2014/main" id="{00000000-0008-0000-0E00-00001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1" name="Text Box 150">
          <a:extLst>
            <a:ext uri="{FF2B5EF4-FFF2-40B4-BE49-F238E27FC236}">
              <a16:creationId xmlns:a16="http://schemas.microsoft.com/office/drawing/2014/main" id="{00000000-0008-0000-0E00-00001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2" name="Text Box 151">
          <a:extLst>
            <a:ext uri="{FF2B5EF4-FFF2-40B4-BE49-F238E27FC236}">
              <a16:creationId xmlns:a16="http://schemas.microsoft.com/office/drawing/2014/main" id="{00000000-0008-0000-0E00-00001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3" name="Text Box 152">
          <a:extLst>
            <a:ext uri="{FF2B5EF4-FFF2-40B4-BE49-F238E27FC236}">
              <a16:creationId xmlns:a16="http://schemas.microsoft.com/office/drawing/2014/main" id="{00000000-0008-0000-0E00-00001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4" name="Text Box 153">
          <a:extLst>
            <a:ext uri="{FF2B5EF4-FFF2-40B4-BE49-F238E27FC236}">
              <a16:creationId xmlns:a16="http://schemas.microsoft.com/office/drawing/2014/main" id="{00000000-0008-0000-0E00-00001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5" name="Text Box 154">
          <a:extLst>
            <a:ext uri="{FF2B5EF4-FFF2-40B4-BE49-F238E27FC236}">
              <a16:creationId xmlns:a16="http://schemas.microsoft.com/office/drawing/2014/main" id="{00000000-0008-0000-0E00-00001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6" name="Text Box 155">
          <a:extLst>
            <a:ext uri="{FF2B5EF4-FFF2-40B4-BE49-F238E27FC236}">
              <a16:creationId xmlns:a16="http://schemas.microsoft.com/office/drawing/2014/main" id="{00000000-0008-0000-0E00-00002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7" name="Text Box 156">
          <a:extLst>
            <a:ext uri="{FF2B5EF4-FFF2-40B4-BE49-F238E27FC236}">
              <a16:creationId xmlns:a16="http://schemas.microsoft.com/office/drawing/2014/main" id="{00000000-0008-0000-0E00-00002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8" name="Text Box 157">
          <a:extLst>
            <a:ext uri="{FF2B5EF4-FFF2-40B4-BE49-F238E27FC236}">
              <a16:creationId xmlns:a16="http://schemas.microsoft.com/office/drawing/2014/main" id="{00000000-0008-0000-0E00-00002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59" name="Text Box 158">
          <a:extLst>
            <a:ext uri="{FF2B5EF4-FFF2-40B4-BE49-F238E27FC236}">
              <a16:creationId xmlns:a16="http://schemas.microsoft.com/office/drawing/2014/main" id="{00000000-0008-0000-0E00-00002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0" name="Text Box 159">
          <a:extLst>
            <a:ext uri="{FF2B5EF4-FFF2-40B4-BE49-F238E27FC236}">
              <a16:creationId xmlns:a16="http://schemas.microsoft.com/office/drawing/2014/main" id="{00000000-0008-0000-0E00-00002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1" name="Text Box 160">
          <a:extLst>
            <a:ext uri="{FF2B5EF4-FFF2-40B4-BE49-F238E27FC236}">
              <a16:creationId xmlns:a16="http://schemas.microsoft.com/office/drawing/2014/main" id="{00000000-0008-0000-0E00-00002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2" name="Text Box 161">
          <a:extLst>
            <a:ext uri="{FF2B5EF4-FFF2-40B4-BE49-F238E27FC236}">
              <a16:creationId xmlns:a16="http://schemas.microsoft.com/office/drawing/2014/main" id="{00000000-0008-0000-0E00-00002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3" name="Text Box 162">
          <a:extLst>
            <a:ext uri="{FF2B5EF4-FFF2-40B4-BE49-F238E27FC236}">
              <a16:creationId xmlns:a16="http://schemas.microsoft.com/office/drawing/2014/main" id="{00000000-0008-0000-0E00-00002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4" name="Text Box 163">
          <a:extLst>
            <a:ext uri="{FF2B5EF4-FFF2-40B4-BE49-F238E27FC236}">
              <a16:creationId xmlns:a16="http://schemas.microsoft.com/office/drawing/2014/main" id="{00000000-0008-0000-0E00-00002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5" name="Text Box 164">
          <a:extLst>
            <a:ext uri="{FF2B5EF4-FFF2-40B4-BE49-F238E27FC236}">
              <a16:creationId xmlns:a16="http://schemas.microsoft.com/office/drawing/2014/main" id="{00000000-0008-0000-0E00-00002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6" name="Text Box 165">
          <a:extLst>
            <a:ext uri="{FF2B5EF4-FFF2-40B4-BE49-F238E27FC236}">
              <a16:creationId xmlns:a16="http://schemas.microsoft.com/office/drawing/2014/main" id="{00000000-0008-0000-0E00-00002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7" name="Text Box 166">
          <a:extLst>
            <a:ext uri="{FF2B5EF4-FFF2-40B4-BE49-F238E27FC236}">
              <a16:creationId xmlns:a16="http://schemas.microsoft.com/office/drawing/2014/main" id="{00000000-0008-0000-0E00-00002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8" name="Text Box 167">
          <a:extLst>
            <a:ext uri="{FF2B5EF4-FFF2-40B4-BE49-F238E27FC236}">
              <a16:creationId xmlns:a16="http://schemas.microsoft.com/office/drawing/2014/main" id="{00000000-0008-0000-0E00-00002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69" name="Text Box 168">
          <a:extLst>
            <a:ext uri="{FF2B5EF4-FFF2-40B4-BE49-F238E27FC236}">
              <a16:creationId xmlns:a16="http://schemas.microsoft.com/office/drawing/2014/main" id="{00000000-0008-0000-0E00-00002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0" name="Text Box 169">
          <a:extLst>
            <a:ext uri="{FF2B5EF4-FFF2-40B4-BE49-F238E27FC236}">
              <a16:creationId xmlns:a16="http://schemas.microsoft.com/office/drawing/2014/main" id="{00000000-0008-0000-0E00-00002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1" name="Text Box 170">
          <a:extLst>
            <a:ext uri="{FF2B5EF4-FFF2-40B4-BE49-F238E27FC236}">
              <a16:creationId xmlns:a16="http://schemas.microsoft.com/office/drawing/2014/main" id="{00000000-0008-0000-0E00-00002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2" name="Text Box 171">
          <a:extLst>
            <a:ext uri="{FF2B5EF4-FFF2-40B4-BE49-F238E27FC236}">
              <a16:creationId xmlns:a16="http://schemas.microsoft.com/office/drawing/2014/main" id="{00000000-0008-0000-0E00-00003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3" name="Text Box 172">
          <a:extLst>
            <a:ext uri="{FF2B5EF4-FFF2-40B4-BE49-F238E27FC236}">
              <a16:creationId xmlns:a16="http://schemas.microsoft.com/office/drawing/2014/main" id="{00000000-0008-0000-0E00-00003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4" name="Text Box 173">
          <a:extLst>
            <a:ext uri="{FF2B5EF4-FFF2-40B4-BE49-F238E27FC236}">
              <a16:creationId xmlns:a16="http://schemas.microsoft.com/office/drawing/2014/main" id="{00000000-0008-0000-0E00-00003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5" name="Text Box 174">
          <a:extLst>
            <a:ext uri="{FF2B5EF4-FFF2-40B4-BE49-F238E27FC236}">
              <a16:creationId xmlns:a16="http://schemas.microsoft.com/office/drawing/2014/main" id="{00000000-0008-0000-0E00-00003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6" name="Text Box 175">
          <a:extLst>
            <a:ext uri="{FF2B5EF4-FFF2-40B4-BE49-F238E27FC236}">
              <a16:creationId xmlns:a16="http://schemas.microsoft.com/office/drawing/2014/main" id="{00000000-0008-0000-0E00-00003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7" name="Text Box 176">
          <a:extLst>
            <a:ext uri="{FF2B5EF4-FFF2-40B4-BE49-F238E27FC236}">
              <a16:creationId xmlns:a16="http://schemas.microsoft.com/office/drawing/2014/main" id="{00000000-0008-0000-0E00-00003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8" name="Text Box 177">
          <a:extLst>
            <a:ext uri="{FF2B5EF4-FFF2-40B4-BE49-F238E27FC236}">
              <a16:creationId xmlns:a16="http://schemas.microsoft.com/office/drawing/2014/main" id="{00000000-0008-0000-0E00-00003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79" name="Text Box 178">
          <a:extLst>
            <a:ext uri="{FF2B5EF4-FFF2-40B4-BE49-F238E27FC236}">
              <a16:creationId xmlns:a16="http://schemas.microsoft.com/office/drawing/2014/main" id="{00000000-0008-0000-0E00-00003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0" name="Text Box 179">
          <a:extLst>
            <a:ext uri="{FF2B5EF4-FFF2-40B4-BE49-F238E27FC236}">
              <a16:creationId xmlns:a16="http://schemas.microsoft.com/office/drawing/2014/main" id="{00000000-0008-0000-0E00-00003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1" name="Text Box 180">
          <a:extLst>
            <a:ext uri="{FF2B5EF4-FFF2-40B4-BE49-F238E27FC236}">
              <a16:creationId xmlns:a16="http://schemas.microsoft.com/office/drawing/2014/main" id="{00000000-0008-0000-0E00-00003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2" name="Text Box 181">
          <a:extLst>
            <a:ext uri="{FF2B5EF4-FFF2-40B4-BE49-F238E27FC236}">
              <a16:creationId xmlns:a16="http://schemas.microsoft.com/office/drawing/2014/main" id="{00000000-0008-0000-0E00-00003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3" name="Text Box 182">
          <a:extLst>
            <a:ext uri="{FF2B5EF4-FFF2-40B4-BE49-F238E27FC236}">
              <a16:creationId xmlns:a16="http://schemas.microsoft.com/office/drawing/2014/main" id="{00000000-0008-0000-0E00-00003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4" name="Text Box 183">
          <a:extLst>
            <a:ext uri="{FF2B5EF4-FFF2-40B4-BE49-F238E27FC236}">
              <a16:creationId xmlns:a16="http://schemas.microsoft.com/office/drawing/2014/main" id="{00000000-0008-0000-0E00-00003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5" name="Text Box 184">
          <a:extLst>
            <a:ext uri="{FF2B5EF4-FFF2-40B4-BE49-F238E27FC236}">
              <a16:creationId xmlns:a16="http://schemas.microsoft.com/office/drawing/2014/main" id="{00000000-0008-0000-0E00-00003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6" name="Text Box 185">
          <a:extLst>
            <a:ext uri="{FF2B5EF4-FFF2-40B4-BE49-F238E27FC236}">
              <a16:creationId xmlns:a16="http://schemas.microsoft.com/office/drawing/2014/main" id="{00000000-0008-0000-0E00-00003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7" name="Text Box 186">
          <a:extLst>
            <a:ext uri="{FF2B5EF4-FFF2-40B4-BE49-F238E27FC236}">
              <a16:creationId xmlns:a16="http://schemas.microsoft.com/office/drawing/2014/main" id="{00000000-0008-0000-0E00-00003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8" name="Text Box 187">
          <a:extLst>
            <a:ext uri="{FF2B5EF4-FFF2-40B4-BE49-F238E27FC236}">
              <a16:creationId xmlns:a16="http://schemas.microsoft.com/office/drawing/2014/main" id="{00000000-0008-0000-0E00-00004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89" name="Text Box 188">
          <a:extLst>
            <a:ext uri="{FF2B5EF4-FFF2-40B4-BE49-F238E27FC236}">
              <a16:creationId xmlns:a16="http://schemas.microsoft.com/office/drawing/2014/main" id="{00000000-0008-0000-0E00-00004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0" name="Text Box 189">
          <a:extLst>
            <a:ext uri="{FF2B5EF4-FFF2-40B4-BE49-F238E27FC236}">
              <a16:creationId xmlns:a16="http://schemas.microsoft.com/office/drawing/2014/main" id="{00000000-0008-0000-0E00-00004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1" name="Text Box 190">
          <a:extLst>
            <a:ext uri="{FF2B5EF4-FFF2-40B4-BE49-F238E27FC236}">
              <a16:creationId xmlns:a16="http://schemas.microsoft.com/office/drawing/2014/main" id="{00000000-0008-0000-0E00-00004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2" name="Text Box 191">
          <a:extLst>
            <a:ext uri="{FF2B5EF4-FFF2-40B4-BE49-F238E27FC236}">
              <a16:creationId xmlns:a16="http://schemas.microsoft.com/office/drawing/2014/main" id="{00000000-0008-0000-0E00-00004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3" name="Text Box 192">
          <a:extLst>
            <a:ext uri="{FF2B5EF4-FFF2-40B4-BE49-F238E27FC236}">
              <a16:creationId xmlns:a16="http://schemas.microsoft.com/office/drawing/2014/main" id="{00000000-0008-0000-0E00-00004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4" name="Text Box 193">
          <a:extLst>
            <a:ext uri="{FF2B5EF4-FFF2-40B4-BE49-F238E27FC236}">
              <a16:creationId xmlns:a16="http://schemas.microsoft.com/office/drawing/2014/main" id="{00000000-0008-0000-0E00-00004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5" name="Text Box 194">
          <a:extLst>
            <a:ext uri="{FF2B5EF4-FFF2-40B4-BE49-F238E27FC236}">
              <a16:creationId xmlns:a16="http://schemas.microsoft.com/office/drawing/2014/main" id="{00000000-0008-0000-0E00-00004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6" name="Text Box 195">
          <a:extLst>
            <a:ext uri="{FF2B5EF4-FFF2-40B4-BE49-F238E27FC236}">
              <a16:creationId xmlns:a16="http://schemas.microsoft.com/office/drawing/2014/main" id="{00000000-0008-0000-0E00-00004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7" name="Text Box 196">
          <a:extLst>
            <a:ext uri="{FF2B5EF4-FFF2-40B4-BE49-F238E27FC236}">
              <a16:creationId xmlns:a16="http://schemas.microsoft.com/office/drawing/2014/main" id="{00000000-0008-0000-0E00-00004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8" name="Text Box 197">
          <a:extLst>
            <a:ext uri="{FF2B5EF4-FFF2-40B4-BE49-F238E27FC236}">
              <a16:creationId xmlns:a16="http://schemas.microsoft.com/office/drawing/2014/main" id="{00000000-0008-0000-0E00-00004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099" name="Text Box 198">
          <a:extLst>
            <a:ext uri="{FF2B5EF4-FFF2-40B4-BE49-F238E27FC236}">
              <a16:creationId xmlns:a16="http://schemas.microsoft.com/office/drawing/2014/main" id="{00000000-0008-0000-0E00-00004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0" name="Text Box 199">
          <a:extLst>
            <a:ext uri="{FF2B5EF4-FFF2-40B4-BE49-F238E27FC236}">
              <a16:creationId xmlns:a16="http://schemas.microsoft.com/office/drawing/2014/main" id="{00000000-0008-0000-0E00-00004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1" name="Text Box 200">
          <a:extLst>
            <a:ext uri="{FF2B5EF4-FFF2-40B4-BE49-F238E27FC236}">
              <a16:creationId xmlns:a16="http://schemas.microsoft.com/office/drawing/2014/main" id="{00000000-0008-0000-0E00-00004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2" name="Text Box 201">
          <a:extLst>
            <a:ext uri="{FF2B5EF4-FFF2-40B4-BE49-F238E27FC236}">
              <a16:creationId xmlns:a16="http://schemas.microsoft.com/office/drawing/2014/main" id="{00000000-0008-0000-0E00-00004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3" name="Text Box 202">
          <a:extLst>
            <a:ext uri="{FF2B5EF4-FFF2-40B4-BE49-F238E27FC236}">
              <a16:creationId xmlns:a16="http://schemas.microsoft.com/office/drawing/2014/main" id="{00000000-0008-0000-0E00-00004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4" name="Text Box 203">
          <a:extLst>
            <a:ext uri="{FF2B5EF4-FFF2-40B4-BE49-F238E27FC236}">
              <a16:creationId xmlns:a16="http://schemas.microsoft.com/office/drawing/2014/main" id="{00000000-0008-0000-0E00-00005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5" name="Text Box 204">
          <a:extLst>
            <a:ext uri="{FF2B5EF4-FFF2-40B4-BE49-F238E27FC236}">
              <a16:creationId xmlns:a16="http://schemas.microsoft.com/office/drawing/2014/main" id="{00000000-0008-0000-0E00-00005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6" name="Text Box 205">
          <a:extLst>
            <a:ext uri="{FF2B5EF4-FFF2-40B4-BE49-F238E27FC236}">
              <a16:creationId xmlns:a16="http://schemas.microsoft.com/office/drawing/2014/main" id="{00000000-0008-0000-0E00-00005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7" name="Text Box 206">
          <a:extLst>
            <a:ext uri="{FF2B5EF4-FFF2-40B4-BE49-F238E27FC236}">
              <a16:creationId xmlns:a16="http://schemas.microsoft.com/office/drawing/2014/main" id="{00000000-0008-0000-0E00-00005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8" name="Text Box 207">
          <a:extLst>
            <a:ext uri="{FF2B5EF4-FFF2-40B4-BE49-F238E27FC236}">
              <a16:creationId xmlns:a16="http://schemas.microsoft.com/office/drawing/2014/main" id="{00000000-0008-0000-0E00-00005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09" name="Text Box 208">
          <a:extLst>
            <a:ext uri="{FF2B5EF4-FFF2-40B4-BE49-F238E27FC236}">
              <a16:creationId xmlns:a16="http://schemas.microsoft.com/office/drawing/2014/main" id="{00000000-0008-0000-0E00-00005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0" name="Text Box 209">
          <a:extLst>
            <a:ext uri="{FF2B5EF4-FFF2-40B4-BE49-F238E27FC236}">
              <a16:creationId xmlns:a16="http://schemas.microsoft.com/office/drawing/2014/main" id="{00000000-0008-0000-0E00-00005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1" name="Text Box 210">
          <a:extLst>
            <a:ext uri="{FF2B5EF4-FFF2-40B4-BE49-F238E27FC236}">
              <a16:creationId xmlns:a16="http://schemas.microsoft.com/office/drawing/2014/main" id="{00000000-0008-0000-0E00-00005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2" name="Text Box 211">
          <a:extLst>
            <a:ext uri="{FF2B5EF4-FFF2-40B4-BE49-F238E27FC236}">
              <a16:creationId xmlns:a16="http://schemas.microsoft.com/office/drawing/2014/main" id="{00000000-0008-0000-0E00-00005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3" name="Text Box 212">
          <a:extLst>
            <a:ext uri="{FF2B5EF4-FFF2-40B4-BE49-F238E27FC236}">
              <a16:creationId xmlns:a16="http://schemas.microsoft.com/office/drawing/2014/main" id="{00000000-0008-0000-0E00-00005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4" name="Text Box 213">
          <a:extLst>
            <a:ext uri="{FF2B5EF4-FFF2-40B4-BE49-F238E27FC236}">
              <a16:creationId xmlns:a16="http://schemas.microsoft.com/office/drawing/2014/main" id="{00000000-0008-0000-0E00-00005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5" name="Text Box 214">
          <a:extLst>
            <a:ext uri="{FF2B5EF4-FFF2-40B4-BE49-F238E27FC236}">
              <a16:creationId xmlns:a16="http://schemas.microsoft.com/office/drawing/2014/main" id="{00000000-0008-0000-0E00-00005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6" name="Text Box 215">
          <a:extLst>
            <a:ext uri="{FF2B5EF4-FFF2-40B4-BE49-F238E27FC236}">
              <a16:creationId xmlns:a16="http://schemas.microsoft.com/office/drawing/2014/main" id="{00000000-0008-0000-0E00-00005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7" name="Text Box 216">
          <a:extLst>
            <a:ext uri="{FF2B5EF4-FFF2-40B4-BE49-F238E27FC236}">
              <a16:creationId xmlns:a16="http://schemas.microsoft.com/office/drawing/2014/main" id="{00000000-0008-0000-0E00-00005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8" name="Text Box 217">
          <a:extLst>
            <a:ext uri="{FF2B5EF4-FFF2-40B4-BE49-F238E27FC236}">
              <a16:creationId xmlns:a16="http://schemas.microsoft.com/office/drawing/2014/main" id="{00000000-0008-0000-0E00-00005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19" name="Text Box 218">
          <a:extLst>
            <a:ext uri="{FF2B5EF4-FFF2-40B4-BE49-F238E27FC236}">
              <a16:creationId xmlns:a16="http://schemas.microsoft.com/office/drawing/2014/main" id="{00000000-0008-0000-0E00-00005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0" name="Text Box 219">
          <a:extLst>
            <a:ext uri="{FF2B5EF4-FFF2-40B4-BE49-F238E27FC236}">
              <a16:creationId xmlns:a16="http://schemas.microsoft.com/office/drawing/2014/main" id="{00000000-0008-0000-0E00-00006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1" name="Text Box 220">
          <a:extLst>
            <a:ext uri="{FF2B5EF4-FFF2-40B4-BE49-F238E27FC236}">
              <a16:creationId xmlns:a16="http://schemas.microsoft.com/office/drawing/2014/main" id="{00000000-0008-0000-0E00-00006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2" name="Text Box 221">
          <a:extLst>
            <a:ext uri="{FF2B5EF4-FFF2-40B4-BE49-F238E27FC236}">
              <a16:creationId xmlns:a16="http://schemas.microsoft.com/office/drawing/2014/main" id="{00000000-0008-0000-0E00-00006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3" name="Text Box 222">
          <a:extLst>
            <a:ext uri="{FF2B5EF4-FFF2-40B4-BE49-F238E27FC236}">
              <a16:creationId xmlns:a16="http://schemas.microsoft.com/office/drawing/2014/main" id="{00000000-0008-0000-0E00-00006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4" name="Text Box 223">
          <a:extLst>
            <a:ext uri="{FF2B5EF4-FFF2-40B4-BE49-F238E27FC236}">
              <a16:creationId xmlns:a16="http://schemas.microsoft.com/office/drawing/2014/main" id="{00000000-0008-0000-0E00-00006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5" name="Text Box 224">
          <a:extLst>
            <a:ext uri="{FF2B5EF4-FFF2-40B4-BE49-F238E27FC236}">
              <a16:creationId xmlns:a16="http://schemas.microsoft.com/office/drawing/2014/main" id="{00000000-0008-0000-0E00-00006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6" name="Text Box 225">
          <a:extLst>
            <a:ext uri="{FF2B5EF4-FFF2-40B4-BE49-F238E27FC236}">
              <a16:creationId xmlns:a16="http://schemas.microsoft.com/office/drawing/2014/main" id="{00000000-0008-0000-0E00-00006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7" name="Text Box 226">
          <a:extLst>
            <a:ext uri="{FF2B5EF4-FFF2-40B4-BE49-F238E27FC236}">
              <a16:creationId xmlns:a16="http://schemas.microsoft.com/office/drawing/2014/main" id="{00000000-0008-0000-0E00-00006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8" name="Text Box 227">
          <a:extLst>
            <a:ext uri="{FF2B5EF4-FFF2-40B4-BE49-F238E27FC236}">
              <a16:creationId xmlns:a16="http://schemas.microsoft.com/office/drawing/2014/main" id="{00000000-0008-0000-0E00-00006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29" name="Text Box 228">
          <a:extLst>
            <a:ext uri="{FF2B5EF4-FFF2-40B4-BE49-F238E27FC236}">
              <a16:creationId xmlns:a16="http://schemas.microsoft.com/office/drawing/2014/main" id="{00000000-0008-0000-0E00-00006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0" name="Text Box 229">
          <a:extLst>
            <a:ext uri="{FF2B5EF4-FFF2-40B4-BE49-F238E27FC236}">
              <a16:creationId xmlns:a16="http://schemas.microsoft.com/office/drawing/2014/main" id="{00000000-0008-0000-0E00-00006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1" name="Text Box 230">
          <a:extLst>
            <a:ext uri="{FF2B5EF4-FFF2-40B4-BE49-F238E27FC236}">
              <a16:creationId xmlns:a16="http://schemas.microsoft.com/office/drawing/2014/main" id="{00000000-0008-0000-0E00-00006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2" name="Text Box 231">
          <a:extLst>
            <a:ext uri="{FF2B5EF4-FFF2-40B4-BE49-F238E27FC236}">
              <a16:creationId xmlns:a16="http://schemas.microsoft.com/office/drawing/2014/main" id="{00000000-0008-0000-0E00-00006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3" name="Text Box 232">
          <a:extLst>
            <a:ext uri="{FF2B5EF4-FFF2-40B4-BE49-F238E27FC236}">
              <a16:creationId xmlns:a16="http://schemas.microsoft.com/office/drawing/2014/main" id="{00000000-0008-0000-0E00-00006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4" name="Text Box 233">
          <a:extLst>
            <a:ext uri="{FF2B5EF4-FFF2-40B4-BE49-F238E27FC236}">
              <a16:creationId xmlns:a16="http://schemas.microsoft.com/office/drawing/2014/main" id="{00000000-0008-0000-0E00-00006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5" name="Text Box 234">
          <a:extLst>
            <a:ext uri="{FF2B5EF4-FFF2-40B4-BE49-F238E27FC236}">
              <a16:creationId xmlns:a16="http://schemas.microsoft.com/office/drawing/2014/main" id="{00000000-0008-0000-0E00-00006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6" name="Text Box 235">
          <a:extLst>
            <a:ext uri="{FF2B5EF4-FFF2-40B4-BE49-F238E27FC236}">
              <a16:creationId xmlns:a16="http://schemas.microsoft.com/office/drawing/2014/main" id="{00000000-0008-0000-0E00-00007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7" name="Text Box 236">
          <a:extLst>
            <a:ext uri="{FF2B5EF4-FFF2-40B4-BE49-F238E27FC236}">
              <a16:creationId xmlns:a16="http://schemas.microsoft.com/office/drawing/2014/main" id="{00000000-0008-0000-0E00-00007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8" name="Text Box 237">
          <a:extLst>
            <a:ext uri="{FF2B5EF4-FFF2-40B4-BE49-F238E27FC236}">
              <a16:creationId xmlns:a16="http://schemas.microsoft.com/office/drawing/2014/main" id="{00000000-0008-0000-0E00-00007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39" name="Text Box 238">
          <a:extLst>
            <a:ext uri="{FF2B5EF4-FFF2-40B4-BE49-F238E27FC236}">
              <a16:creationId xmlns:a16="http://schemas.microsoft.com/office/drawing/2014/main" id="{00000000-0008-0000-0E00-00007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0" name="Text Box 239">
          <a:extLst>
            <a:ext uri="{FF2B5EF4-FFF2-40B4-BE49-F238E27FC236}">
              <a16:creationId xmlns:a16="http://schemas.microsoft.com/office/drawing/2014/main" id="{00000000-0008-0000-0E00-00007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1" name="Text Box 240">
          <a:extLst>
            <a:ext uri="{FF2B5EF4-FFF2-40B4-BE49-F238E27FC236}">
              <a16:creationId xmlns:a16="http://schemas.microsoft.com/office/drawing/2014/main" id="{00000000-0008-0000-0E00-00007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2" name="Text Box 241">
          <a:extLst>
            <a:ext uri="{FF2B5EF4-FFF2-40B4-BE49-F238E27FC236}">
              <a16:creationId xmlns:a16="http://schemas.microsoft.com/office/drawing/2014/main" id="{00000000-0008-0000-0E00-00007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3" name="Text Box 242">
          <a:extLst>
            <a:ext uri="{FF2B5EF4-FFF2-40B4-BE49-F238E27FC236}">
              <a16:creationId xmlns:a16="http://schemas.microsoft.com/office/drawing/2014/main" id="{00000000-0008-0000-0E00-00007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4" name="Text Box 243">
          <a:extLst>
            <a:ext uri="{FF2B5EF4-FFF2-40B4-BE49-F238E27FC236}">
              <a16:creationId xmlns:a16="http://schemas.microsoft.com/office/drawing/2014/main" id="{00000000-0008-0000-0E00-00007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5" name="Text Box 244">
          <a:extLst>
            <a:ext uri="{FF2B5EF4-FFF2-40B4-BE49-F238E27FC236}">
              <a16:creationId xmlns:a16="http://schemas.microsoft.com/office/drawing/2014/main" id="{00000000-0008-0000-0E00-00007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6" name="Text Box 245">
          <a:extLst>
            <a:ext uri="{FF2B5EF4-FFF2-40B4-BE49-F238E27FC236}">
              <a16:creationId xmlns:a16="http://schemas.microsoft.com/office/drawing/2014/main" id="{00000000-0008-0000-0E00-00007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7" name="Text Box 246">
          <a:extLst>
            <a:ext uri="{FF2B5EF4-FFF2-40B4-BE49-F238E27FC236}">
              <a16:creationId xmlns:a16="http://schemas.microsoft.com/office/drawing/2014/main" id="{00000000-0008-0000-0E00-00007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8" name="Text Box 247">
          <a:extLst>
            <a:ext uri="{FF2B5EF4-FFF2-40B4-BE49-F238E27FC236}">
              <a16:creationId xmlns:a16="http://schemas.microsoft.com/office/drawing/2014/main" id="{00000000-0008-0000-0E00-00007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49" name="Text Box 248">
          <a:extLst>
            <a:ext uri="{FF2B5EF4-FFF2-40B4-BE49-F238E27FC236}">
              <a16:creationId xmlns:a16="http://schemas.microsoft.com/office/drawing/2014/main" id="{00000000-0008-0000-0E00-00007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0" name="Text Box 249">
          <a:extLst>
            <a:ext uri="{FF2B5EF4-FFF2-40B4-BE49-F238E27FC236}">
              <a16:creationId xmlns:a16="http://schemas.microsoft.com/office/drawing/2014/main" id="{00000000-0008-0000-0E00-00007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1" name="Text Box 250">
          <a:extLst>
            <a:ext uri="{FF2B5EF4-FFF2-40B4-BE49-F238E27FC236}">
              <a16:creationId xmlns:a16="http://schemas.microsoft.com/office/drawing/2014/main" id="{00000000-0008-0000-0E00-00007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2" name="Text Box 251">
          <a:extLst>
            <a:ext uri="{FF2B5EF4-FFF2-40B4-BE49-F238E27FC236}">
              <a16:creationId xmlns:a16="http://schemas.microsoft.com/office/drawing/2014/main" id="{00000000-0008-0000-0E00-00008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3" name="Text Box 252">
          <a:extLst>
            <a:ext uri="{FF2B5EF4-FFF2-40B4-BE49-F238E27FC236}">
              <a16:creationId xmlns:a16="http://schemas.microsoft.com/office/drawing/2014/main" id="{00000000-0008-0000-0E00-00008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4" name="Text Box 253">
          <a:extLst>
            <a:ext uri="{FF2B5EF4-FFF2-40B4-BE49-F238E27FC236}">
              <a16:creationId xmlns:a16="http://schemas.microsoft.com/office/drawing/2014/main" id="{00000000-0008-0000-0E00-00008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5" name="Text Box 254">
          <a:extLst>
            <a:ext uri="{FF2B5EF4-FFF2-40B4-BE49-F238E27FC236}">
              <a16:creationId xmlns:a16="http://schemas.microsoft.com/office/drawing/2014/main" id="{00000000-0008-0000-0E00-00008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6" name="Text Box 255">
          <a:extLst>
            <a:ext uri="{FF2B5EF4-FFF2-40B4-BE49-F238E27FC236}">
              <a16:creationId xmlns:a16="http://schemas.microsoft.com/office/drawing/2014/main" id="{00000000-0008-0000-0E00-00008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7" name="Text Box 256">
          <a:extLst>
            <a:ext uri="{FF2B5EF4-FFF2-40B4-BE49-F238E27FC236}">
              <a16:creationId xmlns:a16="http://schemas.microsoft.com/office/drawing/2014/main" id="{00000000-0008-0000-0E00-00008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8" name="Text Box 257">
          <a:extLst>
            <a:ext uri="{FF2B5EF4-FFF2-40B4-BE49-F238E27FC236}">
              <a16:creationId xmlns:a16="http://schemas.microsoft.com/office/drawing/2014/main" id="{00000000-0008-0000-0E00-00008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59" name="Text Box 258">
          <a:extLst>
            <a:ext uri="{FF2B5EF4-FFF2-40B4-BE49-F238E27FC236}">
              <a16:creationId xmlns:a16="http://schemas.microsoft.com/office/drawing/2014/main" id="{00000000-0008-0000-0E00-00008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0" name="Text Box 259">
          <a:extLst>
            <a:ext uri="{FF2B5EF4-FFF2-40B4-BE49-F238E27FC236}">
              <a16:creationId xmlns:a16="http://schemas.microsoft.com/office/drawing/2014/main" id="{00000000-0008-0000-0E00-00008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1" name="Text Box 260">
          <a:extLst>
            <a:ext uri="{FF2B5EF4-FFF2-40B4-BE49-F238E27FC236}">
              <a16:creationId xmlns:a16="http://schemas.microsoft.com/office/drawing/2014/main" id="{00000000-0008-0000-0E00-00008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2" name="Text Box 261">
          <a:extLst>
            <a:ext uri="{FF2B5EF4-FFF2-40B4-BE49-F238E27FC236}">
              <a16:creationId xmlns:a16="http://schemas.microsoft.com/office/drawing/2014/main" id="{00000000-0008-0000-0E00-00008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3" name="Text Box 262">
          <a:extLst>
            <a:ext uri="{FF2B5EF4-FFF2-40B4-BE49-F238E27FC236}">
              <a16:creationId xmlns:a16="http://schemas.microsoft.com/office/drawing/2014/main" id="{00000000-0008-0000-0E00-00008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4" name="Text Box 263">
          <a:extLst>
            <a:ext uri="{FF2B5EF4-FFF2-40B4-BE49-F238E27FC236}">
              <a16:creationId xmlns:a16="http://schemas.microsoft.com/office/drawing/2014/main" id="{00000000-0008-0000-0E00-00008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5" name="Text Box 264">
          <a:extLst>
            <a:ext uri="{FF2B5EF4-FFF2-40B4-BE49-F238E27FC236}">
              <a16:creationId xmlns:a16="http://schemas.microsoft.com/office/drawing/2014/main" id="{00000000-0008-0000-0E00-00008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6" name="Text Box 265">
          <a:extLst>
            <a:ext uri="{FF2B5EF4-FFF2-40B4-BE49-F238E27FC236}">
              <a16:creationId xmlns:a16="http://schemas.microsoft.com/office/drawing/2014/main" id="{00000000-0008-0000-0E00-00008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7" name="Text Box 266">
          <a:extLst>
            <a:ext uri="{FF2B5EF4-FFF2-40B4-BE49-F238E27FC236}">
              <a16:creationId xmlns:a16="http://schemas.microsoft.com/office/drawing/2014/main" id="{00000000-0008-0000-0E00-00008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8" name="Text Box 267">
          <a:extLst>
            <a:ext uri="{FF2B5EF4-FFF2-40B4-BE49-F238E27FC236}">
              <a16:creationId xmlns:a16="http://schemas.microsoft.com/office/drawing/2014/main" id="{00000000-0008-0000-0E00-00009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69" name="Text Box 268">
          <a:extLst>
            <a:ext uri="{FF2B5EF4-FFF2-40B4-BE49-F238E27FC236}">
              <a16:creationId xmlns:a16="http://schemas.microsoft.com/office/drawing/2014/main" id="{00000000-0008-0000-0E00-00009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0" name="Text Box 269">
          <a:extLst>
            <a:ext uri="{FF2B5EF4-FFF2-40B4-BE49-F238E27FC236}">
              <a16:creationId xmlns:a16="http://schemas.microsoft.com/office/drawing/2014/main" id="{00000000-0008-0000-0E00-00009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1" name="Text Box 270">
          <a:extLst>
            <a:ext uri="{FF2B5EF4-FFF2-40B4-BE49-F238E27FC236}">
              <a16:creationId xmlns:a16="http://schemas.microsoft.com/office/drawing/2014/main" id="{00000000-0008-0000-0E00-00009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2" name="Text Box 271">
          <a:extLst>
            <a:ext uri="{FF2B5EF4-FFF2-40B4-BE49-F238E27FC236}">
              <a16:creationId xmlns:a16="http://schemas.microsoft.com/office/drawing/2014/main" id="{00000000-0008-0000-0E00-00009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3" name="Text Box 272">
          <a:extLst>
            <a:ext uri="{FF2B5EF4-FFF2-40B4-BE49-F238E27FC236}">
              <a16:creationId xmlns:a16="http://schemas.microsoft.com/office/drawing/2014/main" id="{00000000-0008-0000-0E00-00009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4" name="Text Box 273">
          <a:extLst>
            <a:ext uri="{FF2B5EF4-FFF2-40B4-BE49-F238E27FC236}">
              <a16:creationId xmlns:a16="http://schemas.microsoft.com/office/drawing/2014/main" id="{00000000-0008-0000-0E00-00009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5" name="Text Box 274">
          <a:extLst>
            <a:ext uri="{FF2B5EF4-FFF2-40B4-BE49-F238E27FC236}">
              <a16:creationId xmlns:a16="http://schemas.microsoft.com/office/drawing/2014/main" id="{00000000-0008-0000-0E00-00009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6" name="Text Box 275">
          <a:extLst>
            <a:ext uri="{FF2B5EF4-FFF2-40B4-BE49-F238E27FC236}">
              <a16:creationId xmlns:a16="http://schemas.microsoft.com/office/drawing/2014/main" id="{00000000-0008-0000-0E00-00009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7" name="Text Box 276">
          <a:extLst>
            <a:ext uri="{FF2B5EF4-FFF2-40B4-BE49-F238E27FC236}">
              <a16:creationId xmlns:a16="http://schemas.microsoft.com/office/drawing/2014/main" id="{00000000-0008-0000-0E00-00009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8" name="Text Box 277">
          <a:extLst>
            <a:ext uri="{FF2B5EF4-FFF2-40B4-BE49-F238E27FC236}">
              <a16:creationId xmlns:a16="http://schemas.microsoft.com/office/drawing/2014/main" id="{00000000-0008-0000-0E00-00009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79" name="Text Box 278">
          <a:extLst>
            <a:ext uri="{FF2B5EF4-FFF2-40B4-BE49-F238E27FC236}">
              <a16:creationId xmlns:a16="http://schemas.microsoft.com/office/drawing/2014/main" id="{00000000-0008-0000-0E00-00009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0" name="Text Box 279">
          <a:extLst>
            <a:ext uri="{FF2B5EF4-FFF2-40B4-BE49-F238E27FC236}">
              <a16:creationId xmlns:a16="http://schemas.microsoft.com/office/drawing/2014/main" id="{00000000-0008-0000-0E00-00009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1" name="Text Box 280">
          <a:extLst>
            <a:ext uri="{FF2B5EF4-FFF2-40B4-BE49-F238E27FC236}">
              <a16:creationId xmlns:a16="http://schemas.microsoft.com/office/drawing/2014/main" id="{00000000-0008-0000-0E00-00009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2" name="Text Box 281">
          <a:extLst>
            <a:ext uri="{FF2B5EF4-FFF2-40B4-BE49-F238E27FC236}">
              <a16:creationId xmlns:a16="http://schemas.microsoft.com/office/drawing/2014/main" id="{00000000-0008-0000-0E00-00009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3" name="Text Box 282">
          <a:extLst>
            <a:ext uri="{FF2B5EF4-FFF2-40B4-BE49-F238E27FC236}">
              <a16:creationId xmlns:a16="http://schemas.microsoft.com/office/drawing/2014/main" id="{00000000-0008-0000-0E00-00009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4" name="Text Box 283">
          <a:extLst>
            <a:ext uri="{FF2B5EF4-FFF2-40B4-BE49-F238E27FC236}">
              <a16:creationId xmlns:a16="http://schemas.microsoft.com/office/drawing/2014/main" id="{00000000-0008-0000-0E00-0000A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5" name="Text Box 284">
          <a:extLst>
            <a:ext uri="{FF2B5EF4-FFF2-40B4-BE49-F238E27FC236}">
              <a16:creationId xmlns:a16="http://schemas.microsoft.com/office/drawing/2014/main" id="{00000000-0008-0000-0E00-0000A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6" name="Text Box 285">
          <a:extLst>
            <a:ext uri="{FF2B5EF4-FFF2-40B4-BE49-F238E27FC236}">
              <a16:creationId xmlns:a16="http://schemas.microsoft.com/office/drawing/2014/main" id="{00000000-0008-0000-0E00-0000A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7" name="Text Box 286">
          <a:extLst>
            <a:ext uri="{FF2B5EF4-FFF2-40B4-BE49-F238E27FC236}">
              <a16:creationId xmlns:a16="http://schemas.microsoft.com/office/drawing/2014/main" id="{00000000-0008-0000-0E00-0000A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8" name="Text Box 287">
          <a:extLst>
            <a:ext uri="{FF2B5EF4-FFF2-40B4-BE49-F238E27FC236}">
              <a16:creationId xmlns:a16="http://schemas.microsoft.com/office/drawing/2014/main" id="{00000000-0008-0000-0E00-0000A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89" name="Text Box 288">
          <a:extLst>
            <a:ext uri="{FF2B5EF4-FFF2-40B4-BE49-F238E27FC236}">
              <a16:creationId xmlns:a16="http://schemas.microsoft.com/office/drawing/2014/main" id="{00000000-0008-0000-0E00-0000A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0" name="Text Box 289">
          <a:extLst>
            <a:ext uri="{FF2B5EF4-FFF2-40B4-BE49-F238E27FC236}">
              <a16:creationId xmlns:a16="http://schemas.microsoft.com/office/drawing/2014/main" id="{00000000-0008-0000-0E00-0000A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1" name="Text Box 290">
          <a:extLst>
            <a:ext uri="{FF2B5EF4-FFF2-40B4-BE49-F238E27FC236}">
              <a16:creationId xmlns:a16="http://schemas.microsoft.com/office/drawing/2014/main" id="{00000000-0008-0000-0E00-0000A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2" name="Text Box 291">
          <a:extLst>
            <a:ext uri="{FF2B5EF4-FFF2-40B4-BE49-F238E27FC236}">
              <a16:creationId xmlns:a16="http://schemas.microsoft.com/office/drawing/2014/main" id="{00000000-0008-0000-0E00-0000A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3" name="Text Box 292">
          <a:extLst>
            <a:ext uri="{FF2B5EF4-FFF2-40B4-BE49-F238E27FC236}">
              <a16:creationId xmlns:a16="http://schemas.microsoft.com/office/drawing/2014/main" id="{00000000-0008-0000-0E00-0000A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4" name="Text Box 293">
          <a:extLst>
            <a:ext uri="{FF2B5EF4-FFF2-40B4-BE49-F238E27FC236}">
              <a16:creationId xmlns:a16="http://schemas.microsoft.com/office/drawing/2014/main" id="{00000000-0008-0000-0E00-0000A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5" name="Text Box 294">
          <a:extLst>
            <a:ext uri="{FF2B5EF4-FFF2-40B4-BE49-F238E27FC236}">
              <a16:creationId xmlns:a16="http://schemas.microsoft.com/office/drawing/2014/main" id="{00000000-0008-0000-0E00-0000A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6" name="Text Box 295">
          <a:extLst>
            <a:ext uri="{FF2B5EF4-FFF2-40B4-BE49-F238E27FC236}">
              <a16:creationId xmlns:a16="http://schemas.microsoft.com/office/drawing/2014/main" id="{00000000-0008-0000-0E00-0000A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7" name="Text Box 296">
          <a:extLst>
            <a:ext uri="{FF2B5EF4-FFF2-40B4-BE49-F238E27FC236}">
              <a16:creationId xmlns:a16="http://schemas.microsoft.com/office/drawing/2014/main" id="{00000000-0008-0000-0E00-0000A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8" name="Text Box 297">
          <a:extLst>
            <a:ext uri="{FF2B5EF4-FFF2-40B4-BE49-F238E27FC236}">
              <a16:creationId xmlns:a16="http://schemas.microsoft.com/office/drawing/2014/main" id="{00000000-0008-0000-0E00-0000A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199" name="Text Box 298">
          <a:extLst>
            <a:ext uri="{FF2B5EF4-FFF2-40B4-BE49-F238E27FC236}">
              <a16:creationId xmlns:a16="http://schemas.microsoft.com/office/drawing/2014/main" id="{00000000-0008-0000-0E00-0000A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0" name="Text Box 299">
          <a:extLst>
            <a:ext uri="{FF2B5EF4-FFF2-40B4-BE49-F238E27FC236}">
              <a16:creationId xmlns:a16="http://schemas.microsoft.com/office/drawing/2014/main" id="{00000000-0008-0000-0E00-0000B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1" name="Text Box 300">
          <a:extLst>
            <a:ext uri="{FF2B5EF4-FFF2-40B4-BE49-F238E27FC236}">
              <a16:creationId xmlns:a16="http://schemas.microsoft.com/office/drawing/2014/main" id="{00000000-0008-0000-0E00-0000B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2" name="Text Box 301">
          <a:extLst>
            <a:ext uri="{FF2B5EF4-FFF2-40B4-BE49-F238E27FC236}">
              <a16:creationId xmlns:a16="http://schemas.microsoft.com/office/drawing/2014/main" id="{00000000-0008-0000-0E00-0000B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3" name="Text Box 302">
          <a:extLst>
            <a:ext uri="{FF2B5EF4-FFF2-40B4-BE49-F238E27FC236}">
              <a16:creationId xmlns:a16="http://schemas.microsoft.com/office/drawing/2014/main" id="{00000000-0008-0000-0E00-0000B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4" name="Text Box 303">
          <a:extLst>
            <a:ext uri="{FF2B5EF4-FFF2-40B4-BE49-F238E27FC236}">
              <a16:creationId xmlns:a16="http://schemas.microsoft.com/office/drawing/2014/main" id="{00000000-0008-0000-0E00-0000B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5" name="Text Box 304">
          <a:extLst>
            <a:ext uri="{FF2B5EF4-FFF2-40B4-BE49-F238E27FC236}">
              <a16:creationId xmlns:a16="http://schemas.microsoft.com/office/drawing/2014/main" id="{00000000-0008-0000-0E00-0000B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6" name="Text Box 305">
          <a:extLst>
            <a:ext uri="{FF2B5EF4-FFF2-40B4-BE49-F238E27FC236}">
              <a16:creationId xmlns:a16="http://schemas.microsoft.com/office/drawing/2014/main" id="{00000000-0008-0000-0E00-0000B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7" name="Text Box 306">
          <a:extLst>
            <a:ext uri="{FF2B5EF4-FFF2-40B4-BE49-F238E27FC236}">
              <a16:creationId xmlns:a16="http://schemas.microsoft.com/office/drawing/2014/main" id="{00000000-0008-0000-0E00-0000B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8" name="Text Box 307">
          <a:extLst>
            <a:ext uri="{FF2B5EF4-FFF2-40B4-BE49-F238E27FC236}">
              <a16:creationId xmlns:a16="http://schemas.microsoft.com/office/drawing/2014/main" id="{00000000-0008-0000-0E00-0000B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09" name="Text Box 308">
          <a:extLst>
            <a:ext uri="{FF2B5EF4-FFF2-40B4-BE49-F238E27FC236}">
              <a16:creationId xmlns:a16="http://schemas.microsoft.com/office/drawing/2014/main" id="{00000000-0008-0000-0E00-0000B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0" name="Text Box 309">
          <a:extLst>
            <a:ext uri="{FF2B5EF4-FFF2-40B4-BE49-F238E27FC236}">
              <a16:creationId xmlns:a16="http://schemas.microsoft.com/office/drawing/2014/main" id="{00000000-0008-0000-0E00-0000B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1" name="Text Box 310">
          <a:extLst>
            <a:ext uri="{FF2B5EF4-FFF2-40B4-BE49-F238E27FC236}">
              <a16:creationId xmlns:a16="http://schemas.microsoft.com/office/drawing/2014/main" id="{00000000-0008-0000-0E00-0000B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2" name="Text Box 311">
          <a:extLst>
            <a:ext uri="{FF2B5EF4-FFF2-40B4-BE49-F238E27FC236}">
              <a16:creationId xmlns:a16="http://schemas.microsoft.com/office/drawing/2014/main" id="{00000000-0008-0000-0E00-0000B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3" name="Text Box 312">
          <a:extLst>
            <a:ext uri="{FF2B5EF4-FFF2-40B4-BE49-F238E27FC236}">
              <a16:creationId xmlns:a16="http://schemas.microsoft.com/office/drawing/2014/main" id="{00000000-0008-0000-0E00-0000B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4" name="Text Box 313">
          <a:extLst>
            <a:ext uri="{FF2B5EF4-FFF2-40B4-BE49-F238E27FC236}">
              <a16:creationId xmlns:a16="http://schemas.microsoft.com/office/drawing/2014/main" id="{00000000-0008-0000-0E00-0000B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5" name="Text Box 314">
          <a:extLst>
            <a:ext uri="{FF2B5EF4-FFF2-40B4-BE49-F238E27FC236}">
              <a16:creationId xmlns:a16="http://schemas.microsoft.com/office/drawing/2014/main" id="{00000000-0008-0000-0E00-0000B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6" name="Text Box 315">
          <a:extLst>
            <a:ext uri="{FF2B5EF4-FFF2-40B4-BE49-F238E27FC236}">
              <a16:creationId xmlns:a16="http://schemas.microsoft.com/office/drawing/2014/main" id="{00000000-0008-0000-0E00-0000C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7" name="Text Box 316">
          <a:extLst>
            <a:ext uri="{FF2B5EF4-FFF2-40B4-BE49-F238E27FC236}">
              <a16:creationId xmlns:a16="http://schemas.microsoft.com/office/drawing/2014/main" id="{00000000-0008-0000-0E00-0000C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8" name="Text Box 317">
          <a:extLst>
            <a:ext uri="{FF2B5EF4-FFF2-40B4-BE49-F238E27FC236}">
              <a16:creationId xmlns:a16="http://schemas.microsoft.com/office/drawing/2014/main" id="{00000000-0008-0000-0E00-0000C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19" name="Text Box 318">
          <a:extLst>
            <a:ext uri="{FF2B5EF4-FFF2-40B4-BE49-F238E27FC236}">
              <a16:creationId xmlns:a16="http://schemas.microsoft.com/office/drawing/2014/main" id="{00000000-0008-0000-0E00-0000C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0" name="Text Box 319">
          <a:extLst>
            <a:ext uri="{FF2B5EF4-FFF2-40B4-BE49-F238E27FC236}">
              <a16:creationId xmlns:a16="http://schemas.microsoft.com/office/drawing/2014/main" id="{00000000-0008-0000-0E00-0000C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1" name="Text Box 320">
          <a:extLst>
            <a:ext uri="{FF2B5EF4-FFF2-40B4-BE49-F238E27FC236}">
              <a16:creationId xmlns:a16="http://schemas.microsoft.com/office/drawing/2014/main" id="{00000000-0008-0000-0E00-0000C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2" name="Text Box 321">
          <a:extLst>
            <a:ext uri="{FF2B5EF4-FFF2-40B4-BE49-F238E27FC236}">
              <a16:creationId xmlns:a16="http://schemas.microsoft.com/office/drawing/2014/main" id="{00000000-0008-0000-0E00-0000C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3" name="Text Box 322">
          <a:extLst>
            <a:ext uri="{FF2B5EF4-FFF2-40B4-BE49-F238E27FC236}">
              <a16:creationId xmlns:a16="http://schemas.microsoft.com/office/drawing/2014/main" id="{00000000-0008-0000-0E00-0000C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4" name="Text Box 323">
          <a:extLst>
            <a:ext uri="{FF2B5EF4-FFF2-40B4-BE49-F238E27FC236}">
              <a16:creationId xmlns:a16="http://schemas.microsoft.com/office/drawing/2014/main" id="{00000000-0008-0000-0E00-0000C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5" name="Text Box 324">
          <a:extLst>
            <a:ext uri="{FF2B5EF4-FFF2-40B4-BE49-F238E27FC236}">
              <a16:creationId xmlns:a16="http://schemas.microsoft.com/office/drawing/2014/main" id="{00000000-0008-0000-0E00-0000C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6" name="Text Box 325">
          <a:extLst>
            <a:ext uri="{FF2B5EF4-FFF2-40B4-BE49-F238E27FC236}">
              <a16:creationId xmlns:a16="http://schemas.microsoft.com/office/drawing/2014/main" id="{00000000-0008-0000-0E00-0000C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7" name="Text Box 326">
          <a:extLst>
            <a:ext uri="{FF2B5EF4-FFF2-40B4-BE49-F238E27FC236}">
              <a16:creationId xmlns:a16="http://schemas.microsoft.com/office/drawing/2014/main" id="{00000000-0008-0000-0E00-0000C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8" name="Text Box 327">
          <a:extLst>
            <a:ext uri="{FF2B5EF4-FFF2-40B4-BE49-F238E27FC236}">
              <a16:creationId xmlns:a16="http://schemas.microsoft.com/office/drawing/2014/main" id="{00000000-0008-0000-0E00-0000C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29" name="Text Box 328">
          <a:extLst>
            <a:ext uri="{FF2B5EF4-FFF2-40B4-BE49-F238E27FC236}">
              <a16:creationId xmlns:a16="http://schemas.microsoft.com/office/drawing/2014/main" id="{00000000-0008-0000-0E00-0000C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0" name="Text Box 329">
          <a:extLst>
            <a:ext uri="{FF2B5EF4-FFF2-40B4-BE49-F238E27FC236}">
              <a16:creationId xmlns:a16="http://schemas.microsoft.com/office/drawing/2014/main" id="{00000000-0008-0000-0E00-0000C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1" name="Text Box 330">
          <a:extLst>
            <a:ext uri="{FF2B5EF4-FFF2-40B4-BE49-F238E27FC236}">
              <a16:creationId xmlns:a16="http://schemas.microsoft.com/office/drawing/2014/main" id="{00000000-0008-0000-0E00-0000C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2" name="Text Box 331">
          <a:extLst>
            <a:ext uri="{FF2B5EF4-FFF2-40B4-BE49-F238E27FC236}">
              <a16:creationId xmlns:a16="http://schemas.microsoft.com/office/drawing/2014/main" id="{00000000-0008-0000-0E00-0000D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3" name="Text Box 332">
          <a:extLst>
            <a:ext uri="{FF2B5EF4-FFF2-40B4-BE49-F238E27FC236}">
              <a16:creationId xmlns:a16="http://schemas.microsoft.com/office/drawing/2014/main" id="{00000000-0008-0000-0E00-0000D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4" name="Text Box 333">
          <a:extLst>
            <a:ext uri="{FF2B5EF4-FFF2-40B4-BE49-F238E27FC236}">
              <a16:creationId xmlns:a16="http://schemas.microsoft.com/office/drawing/2014/main" id="{00000000-0008-0000-0E00-0000D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5" name="Text Box 334">
          <a:extLst>
            <a:ext uri="{FF2B5EF4-FFF2-40B4-BE49-F238E27FC236}">
              <a16:creationId xmlns:a16="http://schemas.microsoft.com/office/drawing/2014/main" id="{00000000-0008-0000-0E00-0000D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6" name="Text Box 335">
          <a:extLst>
            <a:ext uri="{FF2B5EF4-FFF2-40B4-BE49-F238E27FC236}">
              <a16:creationId xmlns:a16="http://schemas.microsoft.com/office/drawing/2014/main" id="{00000000-0008-0000-0E00-0000D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7" name="Text Box 336">
          <a:extLst>
            <a:ext uri="{FF2B5EF4-FFF2-40B4-BE49-F238E27FC236}">
              <a16:creationId xmlns:a16="http://schemas.microsoft.com/office/drawing/2014/main" id="{00000000-0008-0000-0E00-0000D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8" name="Text Box 337">
          <a:extLst>
            <a:ext uri="{FF2B5EF4-FFF2-40B4-BE49-F238E27FC236}">
              <a16:creationId xmlns:a16="http://schemas.microsoft.com/office/drawing/2014/main" id="{00000000-0008-0000-0E00-0000D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39" name="Text Box 338">
          <a:extLst>
            <a:ext uri="{FF2B5EF4-FFF2-40B4-BE49-F238E27FC236}">
              <a16:creationId xmlns:a16="http://schemas.microsoft.com/office/drawing/2014/main" id="{00000000-0008-0000-0E00-0000D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0" name="Text Box 339">
          <a:extLst>
            <a:ext uri="{FF2B5EF4-FFF2-40B4-BE49-F238E27FC236}">
              <a16:creationId xmlns:a16="http://schemas.microsoft.com/office/drawing/2014/main" id="{00000000-0008-0000-0E00-0000D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1" name="Text Box 340">
          <a:extLst>
            <a:ext uri="{FF2B5EF4-FFF2-40B4-BE49-F238E27FC236}">
              <a16:creationId xmlns:a16="http://schemas.microsoft.com/office/drawing/2014/main" id="{00000000-0008-0000-0E00-0000D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2" name="Text Box 341">
          <a:extLst>
            <a:ext uri="{FF2B5EF4-FFF2-40B4-BE49-F238E27FC236}">
              <a16:creationId xmlns:a16="http://schemas.microsoft.com/office/drawing/2014/main" id="{00000000-0008-0000-0E00-0000D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3" name="Text Box 342">
          <a:extLst>
            <a:ext uri="{FF2B5EF4-FFF2-40B4-BE49-F238E27FC236}">
              <a16:creationId xmlns:a16="http://schemas.microsoft.com/office/drawing/2014/main" id="{00000000-0008-0000-0E00-0000D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4" name="Text Box 343">
          <a:extLst>
            <a:ext uri="{FF2B5EF4-FFF2-40B4-BE49-F238E27FC236}">
              <a16:creationId xmlns:a16="http://schemas.microsoft.com/office/drawing/2014/main" id="{00000000-0008-0000-0E00-0000D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5" name="Text Box 344">
          <a:extLst>
            <a:ext uri="{FF2B5EF4-FFF2-40B4-BE49-F238E27FC236}">
              <a16:creationId xmlns:a16="http://schemas.microsoft.com/office/drawing/2014/main" id="{00000000-0008-0000-0E00-0000D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6" name="Text Box 345">
          <a:extLst>
            <a:ext uri="{FF2B5EF4-FFF2-40B4-BE49-F238E27FC236}">
              <a16:creationId xmlns:a16="http://schemas.microsoft.com/office/drawing/2014/main" id="{00000000-0008-0000-0E00-0000D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7" name="Text Box 346">
          <a:extLst>
            <a:ext uri="{FF2B5EF4-FFF2-40B4-BE49-F238E27FC236}">
              <a16:creationId xmlns:a16="http://schemas.microsoft.com/office/drawing/2014/main" id="{00000000-0008-0000-0E00-0000D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8" name="Text Box 347">
          <a:extLst>
            <a:ext uri="{FF2B5EF4-FFF2-40B4-BE49-F238E27FC236}">
              <a16:creationId xmlns:a16="http://schemas.microsoft.com/office/drawing/2014/main" id="{00000000-0008-0000-0E00-0000E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49" name="Text Box 348">
          <a:extLst>
            <a:ext uri="{FF2B5EF4-FFF2-40B4-BE49-F238E27FC236}">
              <a16:creationId xmlns:a16="http://schemas.microsoft.com/office/drawing/2014/main" id="{00000000-0008-0000-0E00-0000E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0" name="Text Box 349">
          <a:extLst>
            <a:ext uri="{FF2B5EF4-FFF2-40B4-BE49-F238E27FC236}">
              <a16:creationId xmlns:a16="http://schemas.microsoft.com/office/drawing/2014/main" id="{00000000-0008-0000-0E00-0000E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1" name="Text Box 350">
          <a:extLst>
            <a:ext uri="{FF2B5EF4-FFF2-40B4-BE49-F238E27FC236}">
              <a16:creationId xmlns:a16="http://schemas.microsoft.com/office/drawing/2014/main" id="{00000000-0008-0000-0E00-0000E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2" name="Text Box 351">
          <a:extLst>
            <a:ext uri="{FF2B5EF4-FFF2-40B4-BE49-F238E27FC236}">
              <a16:creationId xmlns:a16="http://schemas.microsoft.com/office/drawing/2014/main" id="{00000000-0008-0000-0E00-0000E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3" name="Text Box 352">
          <a:extLst>
            <a:ext uri="{FF2B5EF4-FFF2-40B4-BE49-F238E27FC236}">
              <a16:creationId xmlns:a16="http://schemas.microsoft.com/office/drawing/2014/main" id="{00000000-0008-0000-0E00-0000E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4" name="Text Box 353">
          <a:extLst>
            <a:ext uri="{FF2B5EF4-FFF2-40B4-BE49-F238E27FC236}">
              <a16:creationId xmlns:a16="http://schemas.microsoft.com/office/drawing/2014/main" id="{00000000-0008-0000-0E00-0000E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5" name="Text Box 354">
          <a:extLst>
            <a:ext uri="{FF2B5EF4-FFF2-40B4-BE49-F238E27FC236}">
              <a16:creationId xmlns:a16="http://schemas.microsoft.com/office/drawing/2014/main" id="{00000000-0008-0000-0E00-0000E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6" name="Text Box 355">
          <a:extLst>
            <a:ext uri="{FF2B5EF4-FFF2-40B4-BE49-F238E27FC236}">
              <a16:creationId xmlns:a16="http://schemas.microsoft.com/office/drawing/2014/main" id="{00000000-0008-0000-0E00-0000E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7" name="Text Box 356">
          <a:extLst>
            <a:ext uri="{FF2B5EF4-FFF2-40B4-BE49-F238E27FC236}">
              <a16:creationId xmlns:a16="http://schemas.microsoft.com/office/drawing/2014/main" id="{00000000-0008-0000-0E00-0000E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8" name="Text Box 357">
          <a:extLst>
            <a:ext uri="{FF2B5EF4-FFF2-40B4-BE49-F238E27FC236}">
              <a16:creationId xmlns:a16="http://schemas.microsoft.com/office/drawing/2014/main" id="{00000000-0008-0000-0E00-0000E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59" name="Text Box 358">
          <a:extLst>
            <a:ext uri="{FF2B5EF4-FFF2-40B4-BE49-F238E27FC236}">
              <a16:creationId xmlns:a16="http://schemas.microsoft.com/office/drawing/2014/main" id="{00000000-0008-0000-0E00-0000E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0" name="Text Box 359">
          <a:extLst>
            <a:ext uri="{FF2B5EF4-FFF2-40B4-BE49-F238E27FC236}">
              <a16:creationId xmlns:a16="http://schemas.microsoft.com/office/drawing/2014/main" id="{00000000-0008-0000-0E00-0000E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1" name="Text Box 360">
          <a:extLst>
            <a:ext uri="{FF2B5EF4-FFF2-40B4-BE49-F238E27FC236}">
              <a16:creationId xmlns:a16="http://schemas.microsoft.com/office/drawing/2014/main" id="{00000000-0008-0000-0E00-0000E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2" name="Text Box 361">
          <a:extLst>
            <a:ext uri="{FF2B5EF4-FFF2-40B4-BE49-F238E27FC236}">
              <a16:creationId xmlns:a16="http://schemas.microsoft.com/office/drawing/2014/main" id="{00000000-0008-0000-0E00-0000E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3" name="Text Box 362">
          <a:extLst>
            <a:ext uri="{FF2B5EF4-FFF2-40B4-BE49-F238E27FC236}">
              <a16:creationId xmlns:a16="http://schemas.microsoft.com/office/drawing/2014/main" id="{00000000-0008-0000-0E00-0000E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4" name="Text Box 363">
          <a:extLst>
            <a:ext uri="{FF2B5EF4-FFF2-40B4-BE49-F238E27FC236}">
              <a16:creationId xmlns:a16="http://schemas.microsoft.com/office/drawing/2014/main" id="{00000000-0008-0000-0E00-0000F0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5" name="Text Box 364">
          <a:extLst>
            <a:ext uri="{FF2B5EF4-FFF2-40B4-BE49-F238E27FC236}">
              <a16:creationId xmlns:a16="http://schemas.microsoft.com/office/drawing/2014/main" id="{00000000-0008-0000-0E00-0000F1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6" name="Text Box 365">
          <a:extLst>
            <a:ext uri="{FF2B5EF4-FFF2-40B4-BE49-F238E27FC236}">
              <a16:creationId xmlns:a16="http://schemas.microsoft.com/office/drawing/2014/main" id="{00000000-0008-0000-0E00-0000F2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7" name="Text Box 366">
          <a:extLst>
            <a:ext uri="{FF2B5EF4-FFF2-40B4-BE49-F238E27FC236}">
              <a16:creationId xmlns:a16="http://schemas.microsoft.com/office/drawing/2014/main" id="{00000000-0008-0000-0E00-0000F3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8" name="Text Box 367">
          <a:extLst>
            <a:ext uri="{FF2B5EF4-FFF2-40B4-BE49-F238E27FC236}">
              <a16:creationId xmlns:a16="http://schemas.microsoft.com/office/drawing/2014/main" id="{00000000-0008-0000-0E00-0000F4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69" name="Text Box 368">
          <a:extLst>
            <a:ext uri="{FF2B5EF4-FFF2-40B4-BE49-F238E27FC236}">
              <a16:creationId xmlns:a16="http://schemas.microsoft.com/office/drawing/2014/main" id="{00000000-0008-0000-0E00-0000F5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0" name="Text Box 369">
          <a:extLst>
            <a:ext uri="{FF2B5EF4-FFF2-40B4-BE49-F238E27FC236}">
              <a16:creationId xmlns:a16="http://schemas.microsoft.com/office/drawing/2014/main" id="{00000000-0008-0000-0E00-0000F6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1" name="Text Box 370">
          <a:extLst>
            <a:ext uri="{FF2B5EF4-FFF2-40B4-BE49-F238E27FC236}">
              <a16:creationId xmlns:a16="http://schemas.microsoft.com/office/drawing/2014/main" id="{00000000-0008-0000-0E00-0000F7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2" name="Text Box 371">
          <a:extLst>
            <a:ext uri="{FF2B5EF4-FFF2-40B4-BE49-F238E27FC236}">
              <a16:creationId xmlns:a16="http://schemas.microsoft.com/office/drawing/2014/main" id="{00000000-0008-0000-0E00-0000F8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3" name="Text Box 372">
          <a:extLst>
            <a:ext uri="{FF2B5EF4-FFF2-40B4-BE49-F238E27FC236}">
              <a16:creationId xmlns:a16="http://schemas.microsoft.com/office/drawing/2014/main" id="{00000000-0008-0000-0E00-0000F9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4" name="Text Box 373">
          <a:extLst>
            <a:ext uri="{FF2B5EF4-FFF2-40B4-BE49-F238E27FC236}">
              <a16:creationId xmlns:a16="http://schemas.microsoft.com/office/drawing/2014/main" id="{00000000-0008-0000-0E00-0000FA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5" name="Text Box 374">
          <a:extLst>
            <a:ext uri="{FF2B5EF4-FFF2-40B4-BE49-F238E27FC236}">
              <a16:creationId xmlns:a16="http://schemas.microsoft.com/office/drawing/2014/main" id="{00000000-0008-0000-0E00-0000FB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6" name="Text Box 375">
          <a:extLst>
            <a:ext uri="{FF2B5EF4-FFF2-40B4-BE49-F238E27FC236}">
              <a16:creationId xmlns:a16="http://schemas.microsoft.com/office/drawing/2014/main" id="{00000000-0008-0000-0E00-0000FC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7" name="Text Box 376">
          <a:extLst>
            <a:ext uri="{FF2B5EF4-FFF2-40B4-BE49-F238E27FC236}">
              <a16:creationId xmlns:a16="http://schemas.microsoft.com/office/drawing/2014/main" id="{00000000-0008-0000-0E00-0000FD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8" name="Text Box 377">
          <a:extLst>
            <a:ext uri="{FF2B5EF4-FFF2-40B4-BE49-F238E27FC236}">
              <a16:creationId xmlns:a16="http://schemas.microsoft.com/office/drawing/2014/main" id="{00000000-0008-0000-0E00-0000FE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79" name="Text Box 378">
          <a:extLst>
            <a:ext uri="{FF2B5EF4-FFF2-40B4-BE49-F238E27FC236}">
              <a16:creationId xmlns:a16="http://schemas.microsoft.com/office/drawing/2014/main" id="{00000000-0008-0000-0E00-0000FF04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0" name="Text Box 379">
          <a:extLst>
            <a:ext uri="{FF2B5EF4-FFF2-40B4-BE49-F238E27FC236}">
              <a16:creationId xmlns:a16="http://schemas.microsoft.com/office/drawing/2014/main" id="{00000000-0008-0000-0E00-00000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1" name="Text Box 380">
          <a:extLst>
            <a:ext uri="{FF2B5EF4-FFF2-40B4-BE49-F238E27FC236}">
              <a16:creationId xmlns:a16="http://schemas.microsoft.com/office/drawing/2014/main" id="{00000000-0008-0000-0E00-00000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2" name="Text Box 381">
          <a:extLst>
            <a:ext uri="{FF2B5EF4-FFF2-40B4-BE49-F238E27FC236}">
              <a16:creationId xmlns:a16="http://schemas.microsoft.com/office/drawing/2014/main" id="{00000000-0008-0000-0E00-00000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3" name="Text Box 382">
          <a:extLst>
            <a:ext uri="{FF2B5EF4-FFF2-40B4-BE49-F238E27FC236}">
              <a16:creationId xmlns:a16="http://schemas.microsoft.com/office/drawing/2014/main" id="{00000000-0008-0000-0E00-00000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4" name="Text Box 383">
          <a:extLst>
            <a:ext uri="{FF2B5EF4-FFF2-40B4-BE49-F238E27FC236}">
              <a16:creationId xmlns:a16="http://schemas.microsoft.com/office/drawing/2014/main" id="{00000000-0008-0000-0E00-00000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5" name="Text Box 384">
          <a:extLst>
            <a:ext uri="{FF2B5EF4-FFF2-40B4-BE49-F238E27FC236}">
              <a16:creationId xmlns:a16="http://schemas.microsoft.com/office/drawing/2014/main" id="{00000000-0008-0000-0E00-00000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6" name="Text Box 385">
          <a:extLst>
            <a:ext uri="{FF2B5EF4-FFF2-40B4-BE49-F238E27FC236}">
              <a16:creationId xmlns:a16="http://schemas.microsoft.com/office/drawing/2014/main" id="{00000000-0008-0000-0E00-00000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7" name="Text Box 386">
          <a:extLst>
            <a:ext uri="{FF2B5EF4-FFF2-40B4-BE49-F238E27FC236}">
              <a16:creationId xmlns:a16="http://schemas.microsoft.com/office/drawing/2014/main" id="{00000000-0008-0000-0E00-00000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8" name="Text Box 387">
          <a:extLst>
            <a:ext uri="{FF2B5EF4-FFF2-40B4-BE49-F238E27FC236}">
              <a16:creationId xmlns:a16="http://schemas.microsoft.com/office/drawing/2014/main" id="{00000000-0008-0000-0E00-00000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89" name="Text Box 388">
          <a:extLst>
            <a:ext uri="{FF2B5EF4-FFF2-40B4-BE49-F238E27FC236}">
              <a16:creationId xmlns:a16="http://schemas.microsoft.com/office/drawing/2014/main" id="{00000000-0008-0000-0E00-00000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0" name="Text Box 389">
          <a:extLst>
            <a:ext uri="{FF2B5EF4-FFF2-40B4-BE49-F238E27FC236}">
              <a16:creationId xmlns:a16="http://schemas.microsoft.com/office/drawing/2014/main" id="{00000000-0008-0000-0E00-00000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1" name="Text Box 390">
          <a:extLst>
            <a:ext uri="{FF2B5EF4-FFF2-40B4-BE49-F238E27FC236}">
              <a16:creationId xmlns:a16="http://schemas.microsoft.com/office/drawing/2014/main" id="{00000000-0008-0000-0E00-00000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2" name="Text Box 391">
          <a:extLst>
            <a:ext uri="{FF2B5EF4-FFF2-40B4-BE49-F238E27FC236}">
              <a16:creationId xmlns:a16="http://schemas.microsoft.com/office/drawing/2014/main" id="{00000000-0008-0000-0E00-00000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3" name="Text Box 392">
          <a:extLst>
            <a:ext uri="{FF2B5EF4-FFF2-40B4-BE49-F238E27FC236}">
              <a16:creationId xmlns:a16="http://schemas.microsoft.com/office/drawing/2014/main" id="{00000000-0008-0000-0E00-00000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4" name="Text Box 393">
          <a:extLst>
            <a:ext uri="{FF2B5EF4-FFF2-40B4-BE49-F238E27FC236}">
              <a16:creationId xmlns:a16="http://schemas.microsoft.com/office/drawing/2014/main" id="{00000000-0008-0000-0E00-00000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5" name="Text Box 394">
          <a:extLst>
            <a:ext uri="{FF2B5EF4-FFF2-40B4-BE49-F238E27FC236}">
              <a16:creationId xmlns:a16="http://schemas.microsoft.com/office/drawing/2014/main" id="{00000000-0008-0000-0E00-00000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6" name="Text Box 395">
          <a:extLst>
            <a:ext uri="{FF2B5EF4-FFF2-40B4-BE49-F238E27FC236}">
              <a16:creationId xmlns:a16="http://schemas.microsoft.com/office/drawing/2014/main" id="{00000000-0008-0000-0E00-00001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7" name="Text Box 396">
          <a:extLst>
            <a:ext uri="{FF2B5EF4-FFF2-40B4-BE49-F238E27FC236}">
              <a16:creationId xmlns:a16="http://schemas.microsoft.com/office/drawing/2014/main" id="{00000000-0008-0000-0E00-00001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8" name="Text Box 397">
          <a:extLst>
            <a:ext uri="{FF2B5EF4-FFF2-40B4-BE49-F238E27FC236}">
              <a16:creationId xmlns:a16="http://schemas.microsoft.com/office/drawing/2014/main" id="{00000000-0008-0000-0E00-00001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299" name="Text Box 398">
          <a:extLst>
            <a:ext uri="{FF2B5EF4-FFF2-40B4-BE49-F238E27FC236}">
              <a16:creationId xmlns:a16="http://schemas.microsoft.com/office/drawing/2014/main" id="{00000000-0008-0000-0E00-00001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0" name="Text Box 399">
          <a:extLst>
            <a:ext uri="{FF2B5EF4-FFF2-40B4-BE49-F238E27FC236}">
              <a16:creationId xmlns:a16="http://schemas.microsoft.com/office/drawing/2014/main" id="{00000000-0008-0000-0E00-00001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1" name="Text Box 400">
          <a:extLst>
            <a:ext uri="{FF2B5EF4-FFF2-40B4-BE49-F238E27FC236}">
              <a16:creationId xmlns:a16="http://schemas.microsoft.com/office/drawing/2014/main" id="{00000000-0008-0000-0E00-00001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2" name="Text Box 401">
          <a:extLst>
            <a:ext uri="{FF2B5EF4-FFF2-40B4-BE49-F238E27FC236}">
              <a16:creationId xmlns:a16="http://schemas.microsoft.com/office/drawing/2014/main" id="{00000000-0008-0000-0E00-00001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3" name="Text Box 402">
          <a:extLst>
            <a:ext uri="{FF2B5EF4-FFF2-40B4-BE49-F238E27FC236}">
              <a16:creationId xmlns:a16="http://schemas.microsoft.com/office/drawing/2014/main" id="{00000000-0008-0000-0E00-00001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4" name="Text Box 403">
          <a:extLst>
            <a:ext uri="{FF2B5EF4-FFF2-40B4-BE49-F238E27FC236}">
              <a16:creationId xmlns:a16="http://schemas.microsoft.com/office/drawing/2014/main" id="{00000000-0008-0000-0E00-00001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5" name="Text Box 404">
          <a:extLst>
            <a:ext uri="{FF2B5EF4-FFF2-40B4-BE49-F238E27FC236}">
              <a16:creationId xmlns:a16="http://schemas.microsoft.com/office/drawing/2014/main" id="{00000000-0008-0000-0E00-00001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6" name="Text Box 405">
          <a:extLst>
            <a:ext uri="{FF2B5EF4-FFF2-40B4-BE49-F238E27FC236}">
              <a16:creationId xmlns:a16="http://schemas.microsoft.com/office/drawing/2014/main" id="{00000000-0008-0000-0E00-00001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7" name="Text Box 406">
          <a:extLst>
            <a:ext uri="{FF2B5EF4-FFF2-40B4-BE49-F238E27FC236}">
              <a16:creationId xmlns:a16="http://schemas.microsoft.com/office/drawing/2014/main" id="{00000000-0008-0000-0E00-00001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8" name="Text Box 407">
          <a:extLst>
            <a:ext uri="{FF2B5EF4-FFF2-40B4-BE49-F238E27FC236}">
              <a16:creationId xmlns:a16="http://schemas.microsoft.com/office/drawing/2014/main" id="{00000000-0008-0000-0E00-00001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09" name="Text Box 408">
          <a:extLst>
            <a:ext uri="{FF2B5EF4-FFF2-40B4-BE49-F238E27FC236}">
              <a16:creationId xmlns:a16="http://schemas.microsoft.com/office/drawing/2014/main" id="{00000000-0008-0000-0E00-00001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0" name="Text Box 409">
          <a:extLst>
            <a:ext uri="{FF2B5EF4-FFF2-40B4-BE49-F238E27FC236}">
              <a16:creationId xmlns:a16="http://schemas.microsoft.com/office/drawing/2014/main" id="{00000000-0008-0000-0E00-00001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1" name="Text Box 410">
          <a:extLst>
            <a:ext uri="{FF2B5EF4-FFF2-40B4-BE49-F238E27FC236}">
              <a16:creationId xmlns:a16="http://schemas.microsoft.com/office/drawing/2014/main" id="{00000000-0008-0000-0E00-00001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2" name="Text Box 411">
          <a:extLst>
            <a:ext uri="{FF2B5EF4-FFF2-40B4-BE49-F238E27FC236}">
              <a16:creationId xmlns:a16="http://schemas.microsoft.com/office/drawing/2014/main" id="{00000000-0008-0000-0E00-00002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3" name="Text Box 412">
          <a:extLst>
            <a:ext uri="{FF2B5EF4-FFF2-40B4-BE49-F238E27FC236}">
              <a16:creationId xmlns:a16="http://schemas.microsoft.com/office/drawing/2014/main" id="{00000000-0008-0000-0E00-00002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4" name="Text Box 413">
          <a:extLst>
            <a:ext uri="{FF2B5EF4-FFF2-40B4-BE49-F238E27FC236}">
              <a16:creationId xmlns:a16="http://schemas.microsoft.com/office/drawing/2014/main" id="{00000000-0008-0000-0E00-00002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5" name="Text Box 414">
          <a:extLst>
            <a:ext uri="{FF2B5EF4-FFF2-40B4-BE49-F238E27FC236}">
              <a16:creationId xmlns:a16="http://schemas.microsoft.com/office/drawing/2014/main" id="{00000000-0008-0000-0E00-00002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6" name="Text Box 415">
          <a:extLst>
            <a:ext uri="{FF2B5EF4-FFF2-40B4-BE49-F238E27FC236}">
              <a16:creationId xmlns:a16="http://schemas.microsoft.com/office/drawing/2014/main" id="{00000000-0008-0000-0E00-00002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7" name="Text Box 416">
          <a:extLst>
            <a:ext uri="{FF2B5EF4-FFF2-40B4-BE49-F238E27FC236}">
              <a16:creationId xmlns:a16="http://schemas.microsoft.com/office/drawing/2014/main" id="{00000000-0008-0000-0E00-00002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8" name="Text Box 417">
          <a:extLst>
            <a:ext uri="{FF2B5EF4-FFF2-40B4-BE49-F238E27FC236}">
              <a16:creationId xmlns:a16="http://schemas.microsoft.com/office/drawing/2014/main" id="{00000000-0008-0000-0E00-00002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19" name="Text Box 418">
          <a:extLst>
            <a:ext uri="{FF2B5EF4-FFF2-40B4-BE49-F238E27FC236}">
              <a16:creationId xmlns:a16="http://schemas.microsoft.com/office/drawing/2014/main" id="{00000000-0008-0000-0E00-00002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0" name="Text Box 419">
          <a:extLst>
            <a:ext uri="{FF2B5EF4-FFF2-40B4-BE49-F238E27FC236}">
              <a16:creationId xmlns:a16="http://schemas.microsoft.com/office/drawing/2014/main" id="{00000000-0008-0000-0E00-00002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1" name="Text Box 420">
          <a:extLst>
            <a:ext uri="{FF2B5EF4-FFF2-40B4-BE49-F238E27FC236}">
              <a16:creationId xmlns:a16="http://schemas.microsoft.com/office/drawing/2014/main" id="{00000000-0008-0000-0E00-00002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2" name="Text Box 421">
          <a:extLst>
            <a:ext uri="{FF2B5EF4-FFF2-40B4-BE49-F238E27FC236}">
              <a16:creationId xmlns:a16="http://schemas.microsoft.com/office/drawing/2014/main" id="{00000000-0008-0000-0E00-00002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3" name="Text Box 422">
          <a:extLst>
            <a:ext uri="{FF2B5EF4-FFF2-40B4-BE49-F238E27FC236}">
              <a16:creationId xmlns:a16="http://schemas.microsoft.com/office/drawing/2014/main" id="{00000000-0008-0000-0E00-00002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4" name="Text Box 423">
          <a:extLst>
            <a:ext uri="{FF2B5EF4-FFF2-40B4-BE49-F238E27FC236}">
              <a16:creationId xmlns:a16="http://schemas.microsoft.com/office/drawing/2014/main" id="{00000000-0008-0000-0E00-00002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5" name="Text Box 424">
          <a:extLst>
            <a:ext uri="{FF2B5EF4-FFF2-40B4-BE49-F238E27FC236}">
              <a16:creationId xmlns:a16="http://schemas.microsoft.com/office/drawing/2014/main" id="{00000000-0008-0000-0E00-00002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6" name="Text Box 425">
          <a:extLst>
            <a:ext uri="{FF2B5EF4-FFF2-40B4-BE49-F238E27FC236}">
              <a16:creationId xmlns:a16="http://schemas.microsoft.com/office/drawing/2014/main" id="{00000000-0008-0000-0E00-00002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7" name="Text Box 426">
          <a:extLst>
            <a:ext uri="{FF2B5EF4-FFF2-40B4-BE49-F238E27FC236}">
              <a16:creationId xmlns:a16="http://schemas.microsoft.com/office/drawing/2014/main" id="{00000000-0008-0000-0E00-00002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8" name="Text Box 427">
          <a:extLst>
            <a:ext uri="{FF2B5EF4-FFF2-40B4-BE49-F238E27FC236}">
              <a16:creationId xmlns:a16="http://schemas.microsoft.com/office/drawing/2014/main" id="{00000000-0008-0000-0E00-00003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29" name="Text Box 428">
          <a:extLst>
            <a:ext uri="{FF2B5EF4-FFF2-40B4-BE49-F238E27FC236}">
              <a16:creationId xmlns:a16="http://schemas.microsoft.com/office/drawing/2014/main" id="{00000000-0008-0000-0E00-00003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0" name="Text Box 429">
          <a:extLst>
            <a:ext uri="{FF2B5EF4-FFF2-40B4-BE49-F238E27FC236}">
              <a16:creationId xmlns:a16="http://schemas.microsoft.com/office/drawing/2014/main" id="{00000000-0008-0000-0E00-00003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1" name="Text Box 430">
          <a:extLst>
            <a:ext uri="{FF2B5EF4-FFF2-40B4-BE49-F238E27FC236}">
              <a16:creationId xmlns:a16="http://schemas.microsoft.com/office/drawing/2014/main" id="{00000000-0008-0000-0E00-00003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2" name="Text Box 431">
          <a:extLst>
            <a:ext uri="{FF2B5EF4-FFF2-40B4-BE49-F238E27FC236}">
              <a16:creationId xmlns:a16="http://schemas.microsoft.com/office/drawing/2014/main" id="{00000000-0008-0000-0E00-00003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3" name="Text Box 432">
          <a:extLst>
            <a:ext uri="{FF2B5EF4-FFF2-40B4-BE49-F238E27FC236}">
              <a16:creationId xmlns:a16="http://schemas.microsoft.com/office/drawing/2014/main" id="{00000000-0008-0000-0E00-00003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4" name="Text Box 433">
          <a:extLst>
            <a:ext uri="{FF2B5EF4-FFF2-40B4-BE49-F238E27FC236}">
              <a16:creationId xmlns:a16="http://schemas.microsoft.com/office/drawing/2014/main" id="{00000000-0008-0000-0E00-00003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5" name="Text Box 434">
          <a:extLst>
            <a:ext uri="{FF2B5EF4-FFF2-40B4-BE49-F238E27FC236}">
              <a16:creationId xmlns:a16="http://schemas.microsoft.com/office/drawing/2014/main" id="{00000000-0008-0000-0E00-00003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6" name="Text Box 435">
          <a:extLst>
            <a:ext uri="{FF2B5EF4-FFF2-40B4-BE49-F238E27FC236}">
              <a16:creationId xmlns:a16="http://schemas.microsoft.com/office/drawing/2014/main" id="{00000000-0008-0000-0E00-00003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7" name="Text Box 436">
          <a:extLst>
            <a:ext uri="{FF2B5EF4-FFF2-40B4-BE49-F238E27FC236}">
              <a16:creationId xmlns:a16="http://schemas.microsoft.com/office/drawing/2014/main" id="{00000000-0008-0000-0E00-00003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8" name="Text Box 437">
          <a:extLst>
            <a:ext uri="{FF2B5EF4-FFF2-40B4-BE49-F238E27FC236}">
              <a16:creationId xmlns:a16="http://schemas.microsoft.com/office/drawing/2014/main" id="{00000000-0008-0000-0E00-00003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39" name="Text Box 438">
          <a:extLst>
            <a:ext uri="{FF2B5EF4-FFF2-40B4-BE49-F238E27FC236}">
              <a16:creationId xmlns:a16="http://schemas.microsoft.com/office/drawing/2014/main" id="{00000000-0008-0000-0E00-00003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0" name="Text Box 439">
          <a:extLst>
            <a:ext uri="{FF2B5EF4-FFF2-40B4-BE49-F238E27FC236}">
              <a16:creationId xmlns:a16="http://schemas.microsoft.com/office/drawing/2014/main" id="{00000000-0008-0000-0E00-00003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1" name="Text Box 440">
          <a:extLst>
            <a:ext uri="{FF2B5EF4-FFF2-40B4-BE49-F238E27FC236}">
              <a16:creationId xmlns:a16="http://schemas.microsoft.com/office/drawing/2014/main" id="{00000000-0008-0000-0E00-00003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2" name="Text Box 441">
          <a:extLst>
            <a:ext uri="{FF2B5EF4-FFF2-40B4-BE49-F238E27FC236}">
              <a16:creationId xmlns:a16="http://schemas.microsoft.com/office/drawing/2014/main" id="{00000000-0008-0000-0E00-00003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3" name="Text Box 442">
          <a:extLst>
            <a:ext uri="{FF2B5EF4-FFF2-40B4-BE49-F238E27FC236}">
              <a16:creationId xmlns:a16="http://schemas.microsoft.com/office/drawing/2014/main" id="{00000000-0008-0000-0E00-00003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4" name="Text Box 443">
          <a:extLst>
            <a:ext uri="{FF2B5EF4-FFF2-40B4-BE49-F238E27FC236}">
              <a16:creationId xmlns:a16="http://schemas.microsoft.com/office/drawing/2014/main" id="{00000000-0008-0000-0E00-00004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5" name="Text Box 444">
          <a:extLst>
            <a:ext uri="{FF2B5EF4-FFF2-40B4-BE49-F238E27FC236}">
              <a16:creationId xmlns:a16="http://schemas.microsoft.com/office/drawing/2014/main" id="{00000000-0008-0000-0E00-00004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6" name="Text Box 445">
          <a:extLst>
            <a:ext uri="{FF2B5EF4-FFF2-40B4-BE49-F238E27FC236}">
              <a16:creationId xmlns:a16="http://schemas.microsoft.com/office/drawing/2014/main" id="{00000000-0008-0000-0E00-00004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7" name="Text Box 446">
          <a:extLst>
            <a:ext uri="{FF2B5EF4-FFF2-40B4-BE49-F238E27FC236}">
              <a16:creationId xmlns:a16="http://schemas.microsoft.com/office/drawing/2014/main" id="{00000000-0008-0000-0E00-00004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8" name="Text Box 447">
          <a:extLst>
            <a:ext uri="{FF2B5EF4-FFF2-40B4-BE49-F238E27FC236}">
              <a16:creationId xmlns:a16="http://schemas.microsoft.com/office/drawing/2014/main" id="{00000000-0008-0000-0E00-00004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49" name="Text Box 448">
          <a:extLst>
            <a:ext uri="{FF2B5EF4-FFF2-40B4-BE49-F238E27FC236}">
              <a16:creationId xmlns:a16="http://schemas.microsoft.com/office/drawing/2014/main" id="{00000000-0008-0000-0E00-00004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0" name="Text Box 449">
          <a:extLst>
            <a:ext uri="{FF2B5EF4-FFF2-40B4-BE49-F238E27FC236}">
              <a16:creationId xmlns:a16="http://schemas.microsoft.com/office/drawing/2014/main" id="{00000000-0008-0000-0E00-00004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1" name="Text Box 450">
          <a:extLst>
            <a:ext uri="{FF2B5EF4-FFF2-40B4-BE49-F238E27FC236}">
              <a16:creationId xmlns:a16="http://schemas.microsoft.com/office/drawing/2014/main" id="{00000000-0008-0000-0E00-00004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2" name="Text Box 451">
          <a:extLst>
            <a:ext uri="{FF2B5EF4-FFF2-40B4-BE49-F238E27FC236}">
              <a16:creationId xmlns:a16="http://schemas.microsoft.com/office/drawing/2014/main" id="{00000000-0008-0000-0E00-00004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3" name="Text Box 452">
          <a:extLst>
            <a:ext uri="{FF2B5EF4-FFF2-40B4-BE49-F238E27FC236}">
              <a16:creationId xmlns:a16="http://schemas.microsoft.com/office/drawing/2014/main" id="{00000000-0008-0000-0E00-00004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4" name="Text Box 453">
          <a:extLst>
            <a:ext uri="{FF2B5EF4-FFF2-40B4-BE49-F238E27FC236}">
              <a16:creationId xmlns:a16="http://schemas.microsoft.com/office/drawing/2014/main" id="{00000000-0008-0000-0E00-00004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5" name="Text Box 454">
          <a:extLst>
            <a:ext uri="{FF2B5EF4-FFF2-40B4-BE49-F238E27FC236}">
              <a16:creationId xmlns:a16="http://schemas.microsoft.com/office/drawing/2014/main" id="{00000000-0008-0000-0E00-00004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6" name="Text Box 455">
          <a:extLst>
            <a:ext uri="{FF2B5EF4-FFF2-40B4-BE49-F238E27FC236}">
              <a16:creationId xmlns:a16="http://schemas.microsoft.com/office/drawing/2014/main" id="{00000000-0008-0000-0E00-00004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7" name="Text Box 456">
          <a:extLst>
            <a:ext uri="{FF2B5EF4-FFF2-40B4-BE49-F238E27FC236}">
              <a16:creationId xmlns:a16="http://schemas.microsoft.com/office/drawing/2014/main" id="{00000000-0008-0000-0E00-00004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8" name="Text Box 457">
          <a:extLst>
            <a:ext uri="{FF2B5EF4-FFF2-40B4-BE49-F238E27FC236}">
              <a16:creationId xmlns:a16="http://schemas.microsoft.com/office/drawing/2014/main" id="{00000000-0008-0000-0E00-00004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59" name="Text Box 458">
          <a:extLst>
            <a:ext uri="{FF2B5EF4-FFF2-40B4-BE49-F238E27FC236}">
              <a16:creationId xmlns:a16="http://schemas.microsoft.com/office/drawing/2014/main" id="{00000000-0008-0000-0E00-00004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0" name="Text Box 459">
          <a:extLst>
            <a:ext uri="{FF2B5EF4-FFF2-40B4-BE49-F238E27FC236}">
              <a16:creationId xmlns:a16="http://schemas.microsoft.com/office/drawing/2014/main" id="{00000000-0008-0000-0E00-00005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1" name="Text Box 460">
          <a:extLst>
            <a:ext uri="{FF2B5EF4-FFF2-40B4-BE49-F238E27FC236}">
              <a16:creationId xmlns:a16="http://schemas.microsoft.com/office/drawing/2014/main" id="{00000000-0008-0000-0E00-00005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2" name="Text Box 461">
          <a:extLst>
            <a:ext uri="{FF2B5EF4-FFF2-40B4-BE49-F238E27FC236}">
              <a16:creationId xmlns:a16="http://schemas.microsoft.com/office/drawing/2014/main" id="{00000000-0008-0000-0E00-00005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3" name="Text Box 462">
          <a:extLst>
            <a:ext uri="{FF2B5EF4-FFF2-40B4-BE49-F238E27FC236}">
              <a16:creationId xmlns:a16="http://schemas.microsoft.com/office/drawing/2014/main" id="{00000000-0008-0000-0E00-00005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4" name="Text Box 463">
          <a:extLst>
            <a:ext uri="{FF2B5EF4-FFF2-40B4-BE49-F238E27FC236}">
              <a16:creationId xmlns:a16="http://schemas.microsoft.com/office/drawing/2014/main" id="{00000000-0008-0000-0E00-00005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5" name="Text Box 464">
          <a:extLst>
            <a:ext uri="{FF2B5EF4-FFF2-40B4-BE49-F238E27FC236}">
              <a16:creationId xmlns:a16="http://schemas.microsoft.com/office/drawing/2014/main" id="{00000000-0008-0000-0E00-00005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6" name="Text Box 465">
          <a:extLst>
            <a:ext uri="{FF2B5EF4-FFF2-40B4-BE49-F238E27FC236}">
              <a16:creationId xmlns:a16="http://schemas.microsoft.com/office/drawing/2014/main" id="{00000000-0008-0000-0E00-00005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7" name="Text Box 466">
          <a:extLst>
            <a:ext uri="{FF2B5EF4-FFF2-40B4-BE49-F238E27FC236}">
              <a16:creationId xmlns:a16="http://schemas.microsoft.com/office/drawing/2014/main" id="{00000000-0008-0000-0E00-00005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8" name="Text Box 467">
          <a:extLst>
            <a:ext uri="{FF2B5EF4-FFF2-40B4-BE49-F238E27FC236}">
              <a16:creationId xmlns:a16="http://schemas.microsoft.com/office/drawing/2014/main" id="{00000000-0008-0000-0E00-00005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69" name="Text Box 468">
          <a:extLst>
            <a:ext uri="{FF2B5EF4-FFF2-40B4-BE49-F238E27FC236}">
              <a16:creationId xmlns:a16="http://schemas.microsoft.com/office/drawing/2014/main" id="{00000000-0008-0000-0E00-00005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0" name="Text Box 469">
          <a:extLst>
            <a:ext uri="{FF2B5EF4-FFF2-40B4-BE49-F238E27FC236}">
              <a16:creationId xmlns:a16="http://schemas.microsoft.com/office/drawing/2014/main" id="{00000000-0008-0000-0E00-00005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1" name="Text Box 470">
          <a:extLst>
            <a:ext uri="{FF2B5EF4-FFF2-40B4-BE49-F238E27FC236}">
              <a16:creationId xmlns:a16="http://schemas.microsoft.com/office/drawing/2014/main" id="{00000000-0008-0000-0E00-00005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2" name="Text Box 471">
          <a:extLst>
            <a:ext uri="{FF2B5EF4-FFF2-40B4-BE49-F238E27FC236}">
              <a16:creationId xmlns:a16="http://schemas.microsoft.com/office/drawing/2014/main" id="{00000000-0008-0000-0E00-00005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3" name="Text Box 472">
          <a:extLst>
            <a:ext uri="{FF2B5EF4-FFF2-40B4-BE49-F238E27FC236}">
              <a16:creationId xmlns:a16="http://schemas.microsoft.com/office/drawing/2014/main" id="{00000000-0008-0000-0E00-00005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4" name="Text Box 473">
          <a:extLst>
            <a:ext uri="{FF2B5EF4-FFF2-40B4-BE49-F238E27FC236}">
              <a16:creationId xmlns:a16="http://schemas.microsoft.com/office/drawing/2014/main" id="{00000000-0008-0000-0E00-00005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5" name="Text Box 474">
          <a:extLst>
            <a:ext uri="{FF2B5EF4-FFF2-40B4-BE49-F238E27FC236}">
              <a16:creationId xmlns:a16="http://schemas.microsoft.com/office/drawing/2014/main" id="{00000000-0008-0000-0E00-00005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6" name="Text Box 475">
          <a:extLst>
            <a:ext uri="{FF2B5EF4-FFF2-40B4-BE49-F238E27FC236}">
              <a16:creationId xmlns:a16="http://schemas.microsoft.com/office/drawing/2014/main" id="{00000000-0008-0000-0E00-00006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7" name="Text Box 476">
          <a:extLst>
            <a:ext uri="{FF2B5EF4-FFF2-40B4-BE49-F238E27FC236}">
              <a16:creationId xmlns:a16="http://schemas.microsoft.com/office/drawing/2014/main" id="{00000000-0008-0000-0E00-00006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8" name="Text Box 477">
          <a:extLst>
            <a:ext uri="{FF2B5EF4-FFF2-40B4-BE49-F238E27FC236}">
              <a16:creationId xmlns:a16="http://schemas.microsoft.com/office/drawing/2014/main" id="{00000000-0008-0000-0E00-00006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79" name="Text Box 478">
          <a:extLst>
            <a:ext uri="{FF2B5EF4-FFF2-40B4-BE49-F238E27FC236}">
              <a16:creationId xmlns:a16="http://schemas.microsoft.com/office/drawing/2014/main" id="{00000000-0008-0000-0E00-00006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0" name="Text Box 479">
          <a:extLst>
            <a:ext uri="{FF2B5EF4-FFF2-40B4-BE49-F238E27FC236}">
              <a16:creationId xmlns:a16="http://schemas.microsoft.com/office/drawing/2014/main" id="{00000000-0008-0000-0E00-00006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1" name="Text Box 480">
          <a:extLst>
            <a:ext uri="{FF2B5EF4-FFF2-40B4-BE49-F238E27FC236}">
              <a16:creationId xmlns:a16="http://schemas.microsoft.com/office/drawing/2014/main" id="{00000000-0008-0000-0E00-00006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2" name="Text Box 481">
          <a:extLst>
            <a:ext uri="{FF2B5EF4-FFF2-40B4-BE49-F238E27FC236}">
              <a16:creationId xmlns:a16="http://schemas.microsoft.com/office/drawing/2014/main" id="{00000000-0008-0000-0E00-00006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3" name="Text Box 482">
          <a:extLst>
            <a:ext uri="{FF2B5EF4-FFF2-40B4-BE49-F238E27FC236}">
              <a16:creationId xmlns:a16="http://schemas.microsoft.com/office/drawing/2014/main" id="{00000000-0008-0000-0E00-00006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4" name="Text Box 483">
          <a:extLst>
            <a:ext uri="{FF2B5EF4-FFF2-40B4-BE49-F238E27FC236}">
              <a16:creationId xmlns:a16="http://schemas.microsoft.com/office/drawing/2014/main" id="{00000000-0008-0000-0E00-00006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5" name="Text Box 484">
          <a:extLst>
            <a:ext uri="{FF2B5EF4-FFF2-40B4-BE49-F238E27FC236}">
              <a16:creationId xmlns:a16="http://schemas.microsoft.com/office/drawing/2014/main" id="{00000000-0008-0000-0E00-00006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6" name="Text Box 485">
          <a:extLst>
            <a:ext uri="{FF2B5EF4-FFF2-40B4-BE49-F238E27FC236}">
              <a16:creationId xmlns:a16="http://schemas.microsoft.com/office/drawing/2014/main" id="{00000000-0008-0000-0E00-00006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7" name="Text Box 486">
          <a:extLst>
            <a:ext uri="{FF2B5EF4-FFF2-40B4-BE49-F238E27FC236}">
              <a16:creationId xmlns:a16="http://schemas.microsoft.com/office/drawing/2014/main" id="{00000000-0008-0000-0E00-00006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8" name="Text Box 487">
          <a:extLst>
            <a:ext uri="{FF2B5EF4-FFF2-40B4-BE49-F238E27FC236}">
              <a16:creationId xmlns:a16="http://schemas.microsoft.com/office/drawing/2014/main" id="{00000000-0008-0000-0E00-00006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89" name="Text Box 488">
          <a:extLst>
            <a:ext uri="{FF2B5EF4-FFF2-40B4-BE49-F238E27FC236}">
              <a16:creationId xmlns:a16="http://schemas.microsoft.com/office/drawing/2014/main" id="{00000000-0008-0000-0E00-00006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0" name="Text Box 489">
          <a:extLst>
            <a:ext uri="{FF2B5EF4-FFF2-40B4-BE49-F238E27FC236}">
              <a16:creationId xmlns:a16="http://schemas.microsoft.com/office/drawing/2014/main" id="{00000000-0008-0000-0E00-00006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1" name="Text Box 490">
          <a:extLst>
            <a:ext uri="{FF2B5EF4-FFF2-40B4-BE49-F238E27FC236}">
              <a16:creationId xmlns:a16="http://schemas.microsoft.com/office/drawing/2014/main" id="{00000000-0008-0000-0E00-00006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2" name="Text Box 491">
          <a:extLst>
            <a:ext uri="{FF2B5EF4-FFF2-40B4-BE49-F238E27FC236}">
              <a16:creationId xmlns:a16="http://schemas.microsoft.com/office/drawing/2014/main" id="{00000000-0008-0000-0E00-00007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3" name="Text Box 492">
          <a:extLst>
            <a:ext uri="{FF2B5EF4-FFF2-40B4-BE49-F238E27FC236}">
              <a16:creationId xmlns:a16="http://schemas.microsoft.com/office/drawing/2014/main" id="{00000000-0008-0000-0E00-00007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4" name="Text Box 493">
          <a:extLst>
            <a:ext uri="{FF2B5EF4-FFF2-40B4-BE49-F238E27FC236}">
              <a16:creationId xmlns:a16="http://schemas.microsoft.com/office/drawing/2014/main" id="{00000000-0008-0000-0E00-00007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5" name="Text Box 494">
          <a:extLst>
            <a:ext uri="{FF2B5EF4-FFF2-40B4-BE49-F238E27FC236}">
              <a16:creationId xmlns:a16="http://schemas.microsoft.com/office/drawing/2014/main" id="{00000000-0008-0000-0E00-00007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6" name="Text Box 495">
          <a:extLst>
            <a:ext uri="{FF2B5EF4-FFF2-40B4-BE49-F238E27FC236}">
              <a16:creationId xmlns:a16="http://schemas.microsoft.com/office/drawing/2014/main" id="{00000000-0008-0000-0E00-00007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7" name="Text Box 496">
          <a:extLst>
            <a:ext uri="{FF2B5EF4-FFF2-40B4-BE49-F238E27FC236}">
              <a16:creationId xmlns:a16="http://schemas.microsoft.com/office/drawing/2014/main" id="{00000000-0008-0000-0E00-00007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8" name="Text Box 497">
          <a:extLst>
            <a:ext uri="{FF2B5EF4-FFF2-40B4-BE49-F238E27FC236}">
              <a16:creationId xmlns:a16="http://schemas.microsoft.com/office/drawing/2014/main" id="{00000000-0008-0000-0E00-00007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399" name="Text Box 498">
          <a:extLst>
            <a:ext uri="{FF2B5EF4-FFF2-40B4-BE49-F238E27FC236}">
              <a16:creationId xmlns:a16="http://schemas.microsoft.com/office/drawing/2014/main" id="{00000000-0008-0000-0E00-00007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0" name="Text Box 499">
          <a:extLst>
            <a:ext uri="{FF2B5EF4-FFF2-40B4-BE49-F238E27FC236}">
              <a16:creationId xmlns:a16="http://schemas.microsoft.com/office/drawing/2014/main" id="{00000000-0008-0000-0E00-00007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1" name="Text Box 500">
          <a:extLst>
            <a:ext uri="{FF2B5EF4-FFF2-40B4-BE49-F238E27FC236}">
              <a16:creationId xmlns:a16="http://schemas.microsoft.com/office/drawing/2014/main" id="{00000000-0008-0000-0E00-00007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2" name="Text Box 501">
          <a:extLst>
            <a:ext uri="{FF2B5EF4-FFF2-40B4-BE49-F238E27FC236}">
              <a16:creationId xmlns:a16="http://schemas.microsoft.com/office/drawing/2014/main" id="{00000000-0008-0000-0E00-00007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3" name="Text Box 502">
          <a:extLst>
            <a:ext uri="{FF2B5EF4-FFF2-40B4-BE49-F238E27FC236}">
              <a16:creationId xmlns:a16="http://schemas.microsoft.com/office/drawing/2014/main" id="{00000000-0008-0000-0E00-00007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4" name="Text Box 503">
          <a:extLst>
            <a:ext uri="{FF2B5EF4-FFF2-40B4-BE49-F238E27FC236}">
              <a16:creationId xmlns:a16="http://schemas.microsoft.com/office/drawing/2014/main" id="{00000000-0008-0000-0E00-00007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5" name="Text Box 504">
          <a:extLst>
            <a:ext uri="{FF2B5EF4-FFF2-40B4-BE49-F238E27FC236}">
              <a16:creationId xmlns:a16="http://schemas.microsoft.com/office/drawing/2014/main" id="{00000000-0008-0000-0E00-00007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6" name="Text Box 505">
          <a:extLst>
            <a:ext uri="{FF2B5EF4-FFF2-40B4-BE49-F238E27FC236}">
              <a16:creationId xmlns:a16="http://schemas.microsoft.com/office/drawing/2014/main" id="{00000000-0008-0000-0E00-00007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7" name="Text Box 506">
          <a:extLst>
            <a:ext uri="{FF2B5EF4-FFF2-40B4-BE49-F238E27FC236}">
              <a16:creationId xmlns:a16="http://schemas.microsoft.com/office/drawing/2014/main" id="{00000000-0008-0000-0E00-00007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8" name="Text Box 507">
          <a:extLst>
            <a:ext uri="{FF2B5EF4-FFF2-40B4-BE49-F238E27FC236}">
              <a16:creationId xmlns:a16="http://schemas.microsoft.com/office/drawing/2014/main" id="{00000000-0008-0000-0E00-00008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09" name="Text Box 508">
          <a:extLst>
            <a:ext uri="{FF2B5EF4-FFF2-40B4-BE49-F238E27FC236}">
              <a16:creationId xmlns:a16="http://schemas.microsoft.com/office/drawing/2014/main" id="{00000000-0008-0000-0E00-00008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0" name="Text Box 509">
          <a:extLst>
            <a:ext uri="{FF2B5EF4-FFF2-40B4-BE49-F238E27FC236}">
              <a16:creationId xmlns:a16="http://schemas.microsoft.com/office/drawing/2014/main" id="{00000000-0008-0000-0E00-00008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1" name="Text Box 510">
          <a:extLst>
            <a:ext uri="{FF2B5EF4-FFF2-40B4-BE49-F238E27FC236}">
              <a16:creationId xmlns:a16="http://schemas.microsoft.com/office/drawing/2014/main" id="{00000000-0008-0000-0E00-00008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2" name="Text Box 511">
          <a:extLst>
            <a:ext uri="{FF2B5EF4-FFF2-40B4-BE49-F238E27FC236}">
              <a16:creationId xmlns:a16="http://schemas.microsoft.com/office/drawing/2014/main" id="{00000000-0008-0000-0E00-00008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3" name="Text Box 512">
          <a:extLst>
            <a:ext uri="{FF2B5EF4-FFF2-40B4-BE49-F238E27FC236}">
              <a16:creationId xmlns:a16="http://schemas.microsoft.com/office/drawing/2014/main" id="{00000000-0008-0000-0E00-00008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4" name="Text Box 513">
          <a:extLst>
            <a:ext uri="{FF2B5EF4-FFF2-40B4-BE49-F238E27FC236}">
              <a16:creationId xmlns:a16="http://schemas.microsoft.com/office/drawing/2014/main" id="{00000000-0008-0000-0E00-00008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5" name="Text Box 514">
          <a:extLst>
            <a:ext uri="{FF2B5EF4-FFF2-40B4-BE49-F238E27FC236}">
              <a16:creationId xmlns:a16="http://schemas.microsoft.com/office/drawing/2014/main" id="{00000000-0008-0000-0E00-00008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6" name="Text Box 515">
          <a:extLst>
            <a:ext uri="{FF2B5EF4-FFF2-40B4-BE49-F238E27FC236}">
              <a16:creationId xmlns:a16="http://schemas.microsoft.com/office/drawing/2014/main" id="{00000000-0008-0000-0E00-00008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7" name="Text Box 516">
          <a:extLst>
            <a:ext uri="{FF2B5EF4-FFF2-40B4-BE49-F238E27FC236}">
              <a16:creationId xmlns:a16="http://schemas.microsoft.com/office/drawing/2014/main" id="{00000000-0008-0000-0E00-00008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8" name="Text Box 517">
          <a:extLst>
            <a:ext uri="{FF2B5EF4-FFF2-40B4-BE49-F238E27FC236}">
              <a16:creationId xmlns:a16="http://schemas.microsoft.com/office/drawing/2014/main" id="{00000000-0008-0000-0E00-00008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19" name="Text Box 518">
          <a:extLst>
            <a:ext uri="{FF2B5EF4-FFF2-40B4-BE49-F238E27FC236}">
              <a16:creationId xmlns:a16="http://schemas.microsoft.com/office/drawing/2014/main" id="{00000000-0008-0000-0E00-00008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0" name="Text Box 519">
          <a:extLst>
            <a:ext uri="{FF2B5EF4-FFF2-40B4-BE49-F238E27FC236}">
              <a16:creationId xmlns:a16="http://schemas.microsoft.com/office/drawing/2014/main" id="{00000000-0008-0000-0E00-00008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1" name="Text Box 520">
          <a:extLst>
            <a:ext uri="{FF2B5EF4-FFF2-40B4-BE49-F238E27FC236}">
              <a16:creationId xmlns:a16="http://schemas.microsoft.com/office/drawing/2014/main" id="{00000000-0008-0000-0E00-00008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2" name="Text Box 521">
          <a:extLst>
            <a:ext uri="{FF2B5EF4-FFF2-40B4-BE49-F238E27FC236}">
              <a16:creationId xmlns:a16="http://schemas.microsoft.com/office/drawing/2014/main" id="{00000000-0008-0000-0E00-00008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3" name="Text Box 522">
          <a:extLst>
            <a:ext uri="{FF2B5EF4-FFF2-40B4-BE49-F238E27FC236}">
              <a16:creationId xmlns:a16="http://schemas.microsoft.com/office/drawing/2014/main" id="{00000000-0008-0000-0E00-00008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4" name="Text Box 523">
          <a:extLst>
            <a:ext uri="{FF2B5EF4-FFF2-40B4-BE49-F238E27FC236}">
              <a16:creationId xmlns:a16="http://schemas.microsoft.com/office/drawing/2014/main" id="{00000000-0008-0000-0E00-00009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5" name="Text Box 524">
          <a:extLst>
            <a:ext uri="{FF2B5EF4-FFF2-40B4-BE49-F238E27FC236}">
              <a16:creationId xmlns:a16="http://schemas.microsoft.com/office/drawing/2014/main" id="{00000000-0008-0000-0E00-00009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6" name="Text Box 525">
          <a:extLst>
            <a:ext uri="{FF2B5EF4-FFF2-40B4-BE49-F238E27FC236}">
              <a16:creationId xmlns:a16="http://schemas.microsoft.com/office/drawing/2014/main" id="{00000000-0008-0000-0E00-00009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7" name="Text Box 526">
          <a:extLst>
            <a:ext uri="{FF2B5EF4-FFF2-40B4-BE49-F238E27FC236}">
              <a16:creationId xmlns:a16="http://schemas.microsoft.com/office/drawing/2014/main" id="{00000000-0008-0000-0E00-00009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8" name="Text Box 527">
          <a:extLst>
            <a:ext uri="{FF2B5EF4-FFF2-40B4-BE49-F238E27FC236}">
              <a16:creationId xmlns:a16="http://schemas.microsoft.com/office/drawing/2014/main" id="{00000000-0008-0000-0E00-00009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29" name="Text Box 528">
          <a:extLst>
            <a:ext uri="{FF2B5EF4-FFF2-40B4-BE49-F238E27FC236}">
              <a16:creationId xmlns:a16="http://schemas.microsoft.com/office/drawing/2014/main" id="{00000000-0008-0000-0E00-00009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0" name="Text Box 529">
          <a:extLst>
            <a:ext uri="{FF2B5EF4-FFF2-40B4-BE49-F238E27FC236}">
              <a16:creationId xmlns:a16="http://schemas.microsoft.com/office/drawing/2014/main" id="{00000000-0008-0000-0E00-00009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1" name="Text Box 530">
          <a:extLst>
            <a:ext uri="{FF2B5EF4-FFF2-40B4-BE49-F238E27FC236}">
              <a16:creationId xmlns:a16="http://schemas.microsoft.com/office/drawing/2014/main" id="{00000000-0008-0000-0E00-00009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2" name="Text Box 531">
          <a:extLst>
            <a:ext uri="{FF2B5EF4-FFF2-40B4-BE49-F238E27FC236}">
              <a16:creationId xmlns:a16="http://schemas.microsoft.com/office/drawing/2014/main" id="{00000000-0008-0000-0E00-00009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3" name="Text Box 532">
          <a:extLst>
            <a:ext uri="{FF2B5EF4-FFF2-40B4-BE49-F238E27FC236}">
              <a16:creationId xmlns:a16="http://schemas.microsoft.com/office/drawing/2014/main" id="{00000000-0008-0000-0E00-00009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4" name="Text Box 533">
          <a:extLst>
            <a:ext uri="{FF2B5EF4-FFF2-40B4-BE49-F238E27FC236}">
              <a16:creationId xmlns:a16="http://schemas.microsoft.com/office/drawing/2014/main" id="{00000000-0008-0000-0E00-00009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5" name="Text Box 534">
          <a:extLst>
            <a:ext uri="{FF2B5EF4-FFF2-40B4-BE49-F238E27FC236}">
              <a16:creationId xmlns:a16="http://schemas.microsoft.com/office/drawing/2014/main" id="{00000000-0008-0000-0E00-00009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6" name="Text Box 535">
          <a:extLst>
            <a:ext uri="{FF2B5EF4-FFF2-40B4-BE49-F238E27FC236}">
              <a16:creationId xmlns:a16="http://schemas.microsoft.com/office/drawing/2014/main" id="{00000000-0008-0000-0E00-00009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7" name="Text Box 536">
          <a:extLst>
            <a:ext uri="{FF2B5EF4-FFF2-40B4-BE49-F238E27FC236}">
              <a16:creationId xmlns:a16="http://schemas.microsoft.com/office/drawing/2014/main" id="{00000000-0008-0000-0E00-00009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8" name="Text Box 537">
          <a:extLst>
            <a:ext uri="{FF2B5EF4-FFF2-40B4-BE49-F238E27FC236}">
              <a16:creationId xmlns:a16="http://schemas.microsoft.com/office/drawing/2014/main" id="{00000000-0008-0000-0E00-00009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39" name="Text Box 538">
          <a:extLst>
            <a:ext uri="{FF2B5EF4-FFF2-40B4-BE49-F238E27FC236}">
              <a16:creationId xmlns:a16="http://schemas.microsoft.com/office/drawing/2014/main" id="{00000000-0008-0000-0E00-00009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0" name="Text Box 539">
          <a:extLst>
            <a:ext uri="{FF2B5EF4-FFF2-40B4-BE49-F238E27FC236}">
              <a16:creationId xmlns:a16="http://schemas.microsoft.com/office/drawing/2014/main" id="{00000000-0008-0000-0E00-0000A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1" name="Text Box 540">
          <a:extLst>
            <a:ext uri="{FF2B5EF4-FFF2-40B4-BE49-F238E27FC236}">
              <a16:creationId xmlns:a16="http://schemas.microsoft.com/office/drawing/2014/main" id="{00000000-0008-0000-0E00-0000A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2" name="Text Box 541">
          <a:extLst>
            <a:ext uri="{FF2B5EF4-FFF2-40B4-BE49-F238E27FC236}">
              <a16:creationId xmlns:a16="http://schemas.microsoft.com/office/drawing/2014/main" id="{00000000-0008-0000-0E00-0000A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3" name="Text Box 542">
          <a:extLst>
            <a:ext uri="{FF2B5EF4-FFF2-40B4-BE49-F238E27FC236}">
              <a16:creationId xmlns:a16="http://schemas.microsoft.com/office/drawing/2014/main" id="{00000000-0008-0000-0E00-0000A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4" name="Text Box 543">
          <a:extLst>
            <a:ext uri="{FF2B5EF4-FFF2-40B4-BE49-F238E27FC236}">
              <a16:creationId xmlns:a16="http://schemas.microsoft.com/office/drawing/2014/main" id="{00000000-0008-0000-0E00-0000A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5" name="Text Box 544">
          <a:extLst>
            <a:ext uri="{FF2B5EF4-FFF2-40B4-BE49-F238E27FC236}">
              <a16:creationId xmlns:a16="http://schemas.microsoft.com/office/drawing/2014/main" id="{00000000-0008-0000-0E00-0000A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6" name="Text Box 545">
          <a:extLst>
            <a:ext uri="{FF2B5EF4-FFF2-40B4-BE49-F238E27FC236}">
              <a16:creationId xmlns:a16="http://schemas.microsoft.com/office/drawing/2014/main" id="{00000000-0008-0000-0E00-0000A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7" name="Text Box 546">
          <a:extLst>
            <a:ext uri="{FF2B5EF4-FFF2-40B4-BE49-F238E27FC236}">
              <a16:creationId xmlns:a16="http://schemas.microsoft.com/office/drawing/2014/main" id="{00000000-0008-0000-0E00-0000A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8" name="Text Box 547">
          <a:extLst>
            <a:ext uri="{FF2B5EF4-FFF2-40B4-BE49-F238E27FC236}">
              <a16:creationId xmlns:a16="http://schemas.microsoft.com/office/drawing/2014/main" id="{00000000-0008-0000-0E00-0000A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49" name="Text Box 548">
          <a:extLst>
            <a:ext uri="{FF2B5EF4-FFF2-40B4-BE49-F238E27FC236}">
              <a16:creationId xmlns:a16="http://schemas.microsoft.com/office/drawing/2014/main" id="{00000000-0008-0000-0E00-0000A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0" name="Text Box 549">
          <a:extLst>
            <a:ext uri="{FF2B5EF4-FFF2-40B4-BE49-F238E27FC236}">
              <a16:creationId xmlns:a16="http://schemas.microsoft.com/office/drawing/2014/main" id="{00000000-0008-0000-0E00-0000A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1" name="Text Box 550">
          <a:extLst>
            <a:ext uri="{FF2B5EF4-FFF2-40B4-BE49-F238E27FC236}">
              <a16:creationId xmlns:a16="http://schemas.microsoft.com/office/drawing/2014/main" id="{00000000-0008-0000-0E00-0000A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2" name="Text Box 551">
          <a:extLst>
            <a:ext uri="{FF2B5EF4-FFF2-40B4-BE49-F238E27FC236}">
              <a16:creationId xmlns:a16="http://schemas.microsoft.com/office/drawing/2014/main" id="{00000000-0008-0000-0E00-0000A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3" name="Text Box 552">
          <a:extLst>
            <a:ext uri="{FF2B5EF4-FFF2-40B4-BE49-F238E27FC236}">
              <a16:creationId xmlns:a16="http://schemas.microsoft.com/office/drawing/2014/main" id="{00000000-0008-0000-0E00-0000A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4" name="Text Box 553">
          <a:extLst>
            <a:ext uri="{FF2B5EF4-FFF2-40B4-BE49-F238E27FC236}">
              <a16:creationId xmlns:a16="http://schemas.microsoft.com/office/drawing/2014/main" id="{00000000-0008-0000-0E00-0000A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5" name="Text Box 554">
          <a:extLst>
            <a:ext uri="{FF2B5EF4-FFF2-40B4-BE49-F238E27FC236}">
              <a16:creationId xmlns:a16="http://schemas.microsoft.com/office/drawing/2014/main" id="{00000000-0008-0000-0E00-0000A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6" name="Text Box 555">
          <a:extLst>
            <a:ext uri="{FF2B5EF4-FFF2-40B4-BE49-F238E27FC236}">
              <a16:creationId xmlns:a16="http://schemas.microsoft.com/office/drawing/2014/main" id="{00000000-0008-0000-0E00-0000B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7" name="Text Box 556">
          <a:extLst>
            <a:ext uri="{FF2B5EF4-FFF2-40B4-BE49-F238E27FC236}">
              <a16:creationId xmlns:a16="http://schemas.microsoft.com/office/drawing/2014/main" id="{00000000-0008-0000-0E00-0000B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8" name="Text Box 557">
          <a:extLst>
            <a:ext uri="{FF2B5EF4-FFF2-40B4-BE49-F238E27FC236}">
              <a16:creationId xmlns:a16="http://schemas.microsoft.com/office/drawing/2014/main" id="{00000000-0008-0000-0E00-0000B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59" name="Text Box 558">
          <a:extLst>
            <a:ext uri="{FF2B5EF4-FFF2-40B4-BE49-F238E27FC236}">
              <a16:creationId xmlns:a16="http://schemas.microsoft.com/office/drawing/2014/main" id="{00000000-0008-0000-0E00-0000B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0" name="Text Box 559">
          <a:extLst>
            <a:ext uri="{FF2B5EF4-FFF2-40B4-BE49-F238E27FC236}">
              <a16:creationId xmlns:a16="http://schemas.microsoft.com/office/drawing/2014/main" id="{00000000-0008-0000-0E00-0000B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1" name="Text Box 560">
          <a:extLst>
            <a:ext uri="{FF2B5EF4-FFF2-40B4-BE49-F238E27FC236}">
              <a16:creationId xmlns:a16="http://schemas.microsoft.com/office/drawing/2014/main" id="{00000000-0008-0000-0E00-0000B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2" name="Text Box 561">
          <a:extLst>
            <a:ext uri="{FF2B5EF4-FFF2-40B4-BE49-F238E27FC236}">
              <a16:creationId xmlns:a16="http://schemas.microsoft.com/office/drawing/2014/main" id="{00000000-0008-0000-0E00-0000B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3" name="Text Box 562">
          <a:extLst>
            <a:ext uri="{FF2B5EF4-FFF2-40B4-BE49-F238E27FC236}">
              <a16:creationId xmlns:a16="http://schemas.microsoft.com/office/drawing/2014/main" id="{00000000-0008-0000-0E00-0000B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4" name="Text Box 563">
          <a:extLst>
            <a:ext uri="{FF2B5EF4-FFF2-40B4-BE49-F238E27FC236}">
              <a16:creationId xmlns:a16="http://schemas.microsoft.com/office/drawing/2014/main" id="{00000000-0008-0000-0E00-0000B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5" name="Text Box 564">
          <a:extLst>
            <a:ext uri="{FF2B5EF4-FFF2-40B4-BE49-F238E27FC236}">
              <a16:creationId xmlns:a16="http://schemas.microsoft.com/office/drawing/2014/main" id="{00000000-0008-0000-0E00-0000B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6" name="Text Box 565">
          <a:extLst>
            <a:ext uri="{FF2B5EF4-FFF2-40B4-BE49-F238E27FC236}">
              <a16:creationId xmlns:a16="http://schemas.microsoft.com/office/drawing/2014/main" id="{00000000-0008-0000-0E00-0000B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7" name="Text Box 566">
          <a:extLst>
            <a:ext uri="{FF2B5EF4-FFF2-40B4-BE49-F238E27FC236}">
              <a16:creationId xmlns:a16="http://schemas.microsoft.com/office/drawing/2014/main" id="{00000000-0008-0000-0E00-0000B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8" name="Text Box 567">
          <a:extLst>
            <a:ext uri="{FF2B5EF4-FFF2-40B4-BE49-F238E27FC236}">
              <a16:creationId xmlns:a16="http://schemas.microsoft.com/office/drawing/2014/main" id="{00000000-0008-0000-0E00-0000B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69" name="Text Box 568">
          <a:extLst>
            <a:ext uri="{FF2B5EF4-FFF2-40B4-BE49-F238E27FC236}">
              <a16:creationId xmlns:a16="http://schemas.microsoft.com/office/drawing/2014/main" id="{00000000-0008-0000-0E00-0000B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0" name="Text Box 569">
          <a:extLst>
            <a:ext uri="{FF2B5EF4-FFF2-40B4-BE49-F238E27FC236}">
              <a16:creationId xmlns:a16="http://schemas.microsoft.com/office/drawing/2014/main" id="{00000000-0008-0000-0E00-0000B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1" name="Text Box 570">
          <a:extLst>
            <a:ext uri="{FF2B5EF4-FFF2-40B4-BE49-F238E27FC236}">
              <a16:creationId xmlns:a16="http://schemas.microsoft.com/office/drawing/2014/main" id="{00000000-0008-0000-0E00-0000B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2" name="Text Box 571">
          <a:extLst>
            <a:ext uri="{FF2B5EF4-FFF2-40B4-BE49-F238E27FC236}">
              <a16:creationId xmlns:a16="http://schemas.microsoft.com/office/drawing/2014/main" id="{00000000-0008-0000-0E00-0000C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3" name="Text Box 572">
          <a:extLst>
            <a:ext uri="{FF2B5EF4-FFF2-40B4-BE49-F238E27FC236}">
              <a16:creationId xmlns:a16="http://schemas.microsoft.com/office/drawing/2014/main" id="{00000000-0008-0000-0E00-0000C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4" name="Text Box 573">
          <a:extLst>
            <a:ext uri="{FF2B5EF4-FFF2-40B4-BE49-F238E27FC236}">
              <a16:creationId xmlns:a16="http://schemas.microsoft.com/office/drawing/2014/main" id="{00000000-0008-0000-0E00-0000C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5" name="Text Box 574">
          <a:extLst>
            <a:ext uri="{FF2B5EF4-FFF2-40B4-BE49-F238E27FC236}">
              <a16:creationId xmlns:a16="http://schemas.microsoft.com/office/drawing/2014/main" id="{00000000-0008-0000-0E00-0000C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6" name="Text Box 575">
          <a:extLst>
            <a:ext uri="{FF2B5EF4-FFF2-40B4-BE49-F238E27FC236}">
              <a16:creationId xmlns:a16="http://schemas.microsoft.com/office/drawing/2014/main" id="{00000000-0008-0000-0E00-0000C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7" name="Text Box 576">
          <a:extLst>
            <a:ext uri="{FF2B5EF4-FFF2-40B4-BE49-F238E27FC236}">
              <a16:creationId xmlns:a16="http://schemas.microsoft.com/office/drawing/2014/main" id="{00000000-0008-0000-0E00-0000C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8" name="Text Box 577">
          <a:extLst>
            <a:ext uri="{FF2B5EF4-FFF2-40B4-BE49-F238E27FC236}">
              <a16:creationId xmlns:a16="http://schemas.microsoft.com/office/drawing/2014/main" id="{00000000-0008-0000-0E00-0000C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79" name="Text Box 578">
          <a:extLst>
            <a:ext uri="{FF2B5EF4-FFF2-40B4-BE49-F238E27FC236}">
              <a16:creationId xmlns:a16="http://schemas.microsoft.com/office/drawing/2014/main" id="{00000000-0008-0000-0E00-0000C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0" name="Text Box 579">
          <a:extLst>
            <a:ext uri="{FF2B5EF4-FFF2-40B4-BE49-F238E27FC236}">
              <a16:creationId xmlns:a16="http://schemas.microsoft.com/office/drawing/2014/main" id="{00000000-0008-0000-0E00-0000C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1" name="Text Box 580">
          <a:extLst>
            <a:ext uri="{FF2B5EF4-FFF2-40B4-BE49-F238E27FC236}">
              <a16:creationId xmlns:a16="http://schemas.microsoft.com/office/drawing/2014/main" id="{00000000-0008-0000-0E00-0000C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2" name="Text Box 581">
          <a:extLst>
            <a:ext uri="{FF2B5EF4-FFF2-40B4-BE49-F238E27FC236}">
              <a16:creationId xmlns:a16="http://schemas.microsoft.com/office/drawing/2014/main" id="{00000000-0008-0000-0E00-0000C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3" name="Text Box 582">
          <a:extLst>
            <a:ext uri="{FF2B5EF4-FFF2-40B4-BE49-F238E27FC236}">
              <a16:creationId xmlns:a16="http://schemas.microsoft.com/office/drawing/2014/main" id="{00000000-0008-0000-0E00-0000C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4" name="Text Box 583">
          <a:extLst>
            <a:ext uri="{FF2B5EF4-FFF2-40B4-BE49-F238E27FC236}">
              <a16:creationId xmlns:a16="http://schemas.microsoft.com/office/drawing/2014/main" id="{00000000-0008-0000-0E00-0000C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5" name="Text Box 584">
          <a:extLst>
            <a:ext uri="{FF2B5EF4-FFF2-40B4-BE49-F238E27FC236}">
              <a16:creationId xmlns:a16="http://schemas.microsoft.com/office/drawing/2014/main" id="{00000000-0008-0000-0E00-0000C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6" name="Text Box 585">
          <a:extLst>
            <a:ext uri="{FF2B5EF4-FFF2-40B4-BE49-F238E27FC236}">
              <a16:creationId xmlns:a16="http://schemas.microsoft.com/office/drawing/2014/main" id="{00000000-0008-0000-0E00-0000C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7" name="Text Box 586">
          <a:extLst>
            <a:ext uri="{FF2B5EF4-FFF2-40B4-BE49-F238E27FC236}">
              <a16:creationId xmlns:a16="http://schemas.microsoft.com/office/drawing/2014/main" id="{00000000-0008-0000-0E00-0000C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8" name="Text Box 587">
          <a:extLst>
            <a:ext uri="{FF2B5EF4-FFF2-40B4-BE49-F238E27FC236}">
              <a16:creationId xmlns:a16="http://schemas.microsoft.com/office/drawing/2014/main" id="{00000000-0008-0000-0E00-0000D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89" name="Text Box 588">
          <a:extLst>
            <a:ext uri="{FF2B5EF4-FFF2-40B4-BE49-F238E27FC236}">
              <a16:creationId xmlns:a16="http://schemas.microsoft.com/office/drawing/2014/main" id="{00000000-0008-0000-0E00-0000D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0" name="Text Box 589">
          <a:extLst>
            <a:ext uri="{FF2B5EF4-FFF2-40B4-BE49-F238E27FC236}">
              <a16:creationId xmlns:a16="http://schemas.microsoft.com/office/drawing/2014/main" id="{00000000-0008-0000-0E00-0000D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1" name="Text Box 590">
          <a:extLst>
            <a:ext uri="{FF2B5EF4-FFF2-40B4-BE49-F238E27FC236}">
              <a16:creationId xmlns:a16="http://schemas.microsoft.com/office/drawing/2014/main" id="{00000000-0008-0000-0E00-0000D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2" name="Text Box 591">
          <a:extLst>
            <a:ext uri="{FF2B5EF4-FFF2-40B4-BE49-F238E27FC236}">
              <a16:creationId xmlns:a16="http://schemas.microsoft.com/office/drawing/2014/main" id="{00000000-0008-0000-0E00-0000D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3" name="Text Box 592">
          <a:extLst>
            <a:ext uri="{FF2B5EF4-FFF2-40B4-BE49-F238E27FC236}">
              <a16:creationId xmlns:a16="http://schemas.microsoft.com/office/drawing/2014/main" id="{00000000-0008-0000-0E00-0000D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4" name="Text Box 593">
          <a:extLst>
            <a:ext uri="{FF2B5EF4-FFF2-40B4-BE49-F238E27FC236}">
              <a16:creationId xmlns:a16="http://schemas.microsoft.com/office/drawing/2014/main" id="{00000000-0008-0000-0E00-0000D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5" name="Text Box 594">
          <a:extLst>
            <a:ext uri="{FF2B5EF4-FFF2-40B4-BE49-F238E27FC236}">
              <a16:creationId xmlns:a16="http://schemas.microsoft.com/office/drawing/2014/main" id="{00000000-0008-0000-0E00-0000D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6" name="Text Box 595">
          <a:extLst>
            <a:ext uri="{FF2B5EF4-FFF2-40B4-BE49-F238E27FC236}">
              <a16:creationId xmlns:a16="http://schemas.microsoft.com/office/drawing/2014/main" id="{00000000-0008-0000-0E00-0000D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7" name="Text Box 596">
          <a:extLst>
            <a:ext uri="{FF2B5EF4-FFF2-40B4-BE49-F238E27FC236}">
              <a16:creationId xmlns:a16="http://schemas.microsoft.com/office/drawing/2014/main" id="{00000000-0008-0000-0E00-0000D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8" name="Text Box 597">
          <a:extLst>
            <a:ext uri="{FF2B5EF4-FFF2-40B4-BE49-F238E27FC236}">
              <a16:creationId xmlns:a16="http://schemas.microsoft.com/office/drawing/2014/main" id="{00000000-0008-0000-0E00-0000D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499" name="Text Box 598">
          <a:extLst>
            <a:ext uri="{FF2B5EF4-FFF2-40B4-BE49-F238E27FC236}">
              <a16:creationId xmlns:a16="http://schemas.microsoft.com/office/drawing/2014/main" id="{00000000-0008-0000-0E00-0000D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0" name="Text Box 599">
          <a:extLst>
            <a:ext uri="{FF2B5EF4-FFF2-40B4-BE49-F238E27FC236}">
              <a16:creationId xmlns:a16="http://schemas.microsoft.com/office/drawing/2014/main" id="{00000000-0008-0000-0E00-0000D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1" name="Text Box 600">
          <a:extLst>
            <a:ext uri="{FF2B5EF4-FFF2-40B4-BE49-F238E27FC236}">
              <a16:creationId xmlns:a16="http://schemas.microsoft.com/office/drawing/2014/main" id="{00000000-0008-0000-0E00-0000D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2" name="Text Box 601">
          <a:extLst>
            <a:ext uri="{FF2B5EF4-FFF2-40B4-BE49-F238E27FC236}">
              <a16:creationId xmlns:a16="http://schemas.microsoft.com/office/drawing/2014/main" id="{00000000-0008-0000-0E00-0000D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3" name="Text Box 602">
          <a:extLst>
            <a:ext uri="{FF2B5EF4-FFF2-40B4-BE49-F238E27FC236}">
              <a16:creationId xmlns:a16="http://schemas.microsoft.com/office/drawing/2014/main" id="{00000000-0008-0000-0E00-0000D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4" name="Text Box 603">
          <a:extLst>
            <a:ext uri="{FF2B5EF4-FFF2-40B4-BE49-F238E27FC236}">
              <a16:creationId xmlns:a16="http://schemas.microsoft.com/office/drawing/2014/main" id="{00000000-0008-0000-0E00-0000E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5" name="Text Box 604">
          <a:extLst>
            <a:ext uri="{FF2B5EF4-FFF2-40B4-BE49-F238E27FC236}">
              <a16:creationId xmlns:a16="http://schemas.microsoft.com/office/drawing/2014/main" id="{00000000-0008-0000-0E00-0000E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6" name="Text Box 605">
          <a:extLst>
            <a:ext uri="{FF2B5EF4-FFF2-40B4-BE49-F238E27FC236}">
              <a16:creationId xmlns:a16="http://schemas.microsoft.com/office/drawing/2014/main" id="{00000000-0008-0000-0E00-0000E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7" name="Text Box 606">
          <a:extLst>
            <a:ext uri="{FF2B5EF4-FFF2-40B4-BE49-F238E27FC236}">
              <a16:creationId xmlns:a16="http://schemas.microsoft.com/office/drawing/2014/main" id="{00000000-0008-0000-0E00-0000E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8" name="Text Box 607">
          <a:extLst>
            <a:ext uri="{FF2B5EF4-FFF2-40B4-BE49-F238E27FC236}">
              <a16:creationId xmlns:a16="http://schemas.microsoft.com/office/drawing/2014/main" id="{00000000-0008-0000-0E00-0000E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09" name="Text Box 608">
          <a:extLst>
            <a:ext uri="{FF2B5EF4-FFF2-40B4-BE49-F238E27FC236}">
              <a16:creationId xmlns:a16="http://schemas.microsoft.com/office/drawing/2014/main" id="{00000000-0008-0000-0E00-0000E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0" name="Text Box 609">
          <a:extLst>
            <a:ext uri="{FF2B5EF4-FFF2-40B4-BE49-F238E27FC236}">
              <a16:creationId xmlns:a16="http://schemas.microsoft.com/office/drawing/2014/main" id="{00000000-0008-0000-0E00-0000E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1" name="Text Box 610">
          <a:extLst>
            <a:ext uri="{FF2B5EF4-FFF2-40B4-BE49-F238E27FC236}">
              <a16:creationId xmlns:a16="http://schemas.microsoft.com/office/drawing/2014/main" id="{00000000-0008-0000-0E00-0000E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2" name="Text Box 611">
          <a:extLst>
            <a:ext uri="{FF2B5EF4-FFF2-40B4-BE49-F238E27FC236}">
              <a16:creationId xmlns:a16="http://schemas.microsoft.com/office/drawing/2014/main" id="{00000000-0008-0000-0E00-0000E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3" name="Text Box 612">
          <a:extLst>
            <a:ext uri="{FF2B5EF4-FFF2-40B4-BE49-F238E27FC236}">
              <a16:creationId xmlns:a16="http://schemas.microsoft.com/office/drawing/2014/main" id="{00000000-0008-0000-0E00-0000E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4" name="Text Box 613">
          <a:extLst>
            <a:ext uri="{FF2B5EF4-FFF2-40B4-BE49-F238E27FC236}">
              <a16:creationId xmlns:a16="http://schemas.microsoft.com/office/drawing/2014/main" id="{00000000-0008-0000-0E00-0000E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5" name="Text Box 614">
          <a:extLst>
            <a:ext uri="{FF2B5EF4-FFF2-40B4-BE49-F238E27FC236}">
              <a16:creationId xmlns:a16="http://schemas.microsoft.com/office/drawing/2014/main" id="{00000000-0008-0000-0E00-0000E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6" name="Text Box 615">
          <a:extLst>
            <a:ext uri="{FF2B5EF4-FFF2-40B4-BE49-F238E27FC236}">
              <a16:creationId xmlns:a16="http://schemas.microsoft.com/office/drawing/2014/main" id="{00000000-0008-0000-0E00-0000E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7" name="Text Box 616">
          <a:extLst>
            <a:ext uri="{FF2B5EF4-FFF2-40B4-BE49-F238E27FC236}">
              <a16:creationId xmlns:a16="http://schemas.microsoft.com/office/drawing/2014/main" id="{00000000-0008-0000-0E00-0000E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8" name="Text Box 617">
          <a:extLst>
            <a:ext uri="{FF2B5EF4-FFF2-40B4-BE49-F238E27FC236}">
              <a16:creationId xmlns:a16="http://schemas.microsoft.com/office/drawing/2014/main" id="{00000000-0008-0000-0E00-0000E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19" name="Text Box 618">
          <a:extLst>
            <a:ext uri="{FF2B5EF4-FFF2-40B4-BE49-F238E27FC236}">
              <a16:creationId xmlns:a16="http://schemas.microsoft.com/office/drawing/2014/main" id="{00000000-0008-0000-0E00-0000E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0" name="Text Box 619">
          <a:extLst>
            <a:ext uri="{FF2B5EF4-FFF2-40B4-BE49-F238E27FC236}">
              <a16:creationId xmlns:a16="http://schemas.microsoft.com/office/drawing/2014/main" id="{00000000-0008-0000-0E00-0000F0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1" name="Text Box 620">
          <a:extLst>
            <a:ext uri="{FF2B5EF4-FFF2-40B4-BE49-F238E27FC236}">
              <a16:creationId xmlns:a16="http://schemas.microsoft.com/office/drawing/2014/main" id="{00000000-0008-0000-0E00-0000F1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2" name="Text Box 621">
          <a:extLst>
            <a:ext uri="{FF2B5EF4-FFF2-40B4-BE49-F238E27FC236}">
              <a16:creationId xmlns:a16="http://schemas.microsoft.com/office/drawing/2014/main" id="{00000000-0008-0000-0E00-0000F2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3" name="Text Box 622">
          <a:extLst>
            <a:ext uri="{FF2B5EF4-FFF2-40B4-BE49-F238E27FC236}">
              <a16:creationId xmlns:a16="http://schemas.microsoft.com/office/drawing/2014/main" id="{00000000-0008-0000-0E00-0000F3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4" name="Text Box 623">
          <a:extLst>
            <a:ext uri="{FF2B5EF4-FFF2-40B4-BE49-F238E27FC236}">
              <a16:creationId xmlns:a16="http://schemas.microsoft.com/office/drawing/2014/main" id="{00000000-0008-0000-0E00-0000F4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5" name="Text Box 624">
          <a:extLst>
            <a:ext uri="{FF2B5EF4-FFF2-40B4-BE49-F238E27FC236}">
              <a16:creationId xmlns:a16="http://schemas.microsoft.com/office/drawing/2014/main" id="{00000000-0008-0000-0E00-0000F5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6" name="Text Box 625">
          <a:extLst>
            <a:ext uri="{FF2B5EF4-FFF2-40B4-BE49-F238E27FC236}">
              <a16:creationId xmlns:a16="http://schemas.microsoft.com/office/drawing/2014/main" id="{00000000-0008-0000-0E00-0000F6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7" name="Text Box 626">
          <a:extLst>
            <a:ext uri="{FF2B5EF4-FFF2-40B4-BE49-F238E27FC236}">
              <a16:creationId xmlns:a16="http://schemas.microsoft.com/office/drawing/2014/main" id="{00000000-0008-0000-0E00-0000F7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8" name="Text Box 627">
          <a:extLst>
            <a:ext uri="{FF2B5EF4-FFF2-40B4-BE49-F238E27FC236}">
              <a16:creationId xmlns:a16="http://schemas.microsoft.com/office/drawing/2014/main" id="{00000000-0008-0000-0E00-0000F8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29" name="Text Box 628">
          <a:extLst>
            <a:ext uri="{FF2B5EF4-FFF2-40B4-BE49-F238E27FC236}">
              <a16:creationId xmlns:a16="http://schemas.microsoft.com/office/drawing/2014/main" id="{00000000-0008-0000-0E00-0000F9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0" name="Text Box 629">
          <a:extLst>
            <a:ext uri="{FF2B5EF4-FFF2-40B4-BE49-F238E27FC236}">
              <a16:creationId xmlns:a16="http://schemas.microsoft.com/office/drawing/2014/main" id="{00000000-0008-0000-0E00-0000FA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1" name="Text Box 630">
          <a:extLst>
            <a:ext uri="{FF2B5EF4-FFF2-40B4-BE49-F238E27FC236}">
              <a16:creationId xmlns:a16="http://schemas.microsoft.com/office/drawing/2014/main" id="{00000000-0008-0000-0E00-0000FB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2" name="Text Box 631">
          <a:extLst>
            <a:ext uri="{FF2B5EF4-FFF2-40B4-BE49-F238E27FC236}">
              <a16:creationId xmlns:a16="http://schemas.microsoft.com/office/drawing/2014/main" id="{00000000-0008-0000-0E00-0000FC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3" name="Text Box 632">
          <a:extLst>
            <a:ext uri="{FF2B5EF4-FFF2-40B4-BE49-F238E27FC236}">
              <a16:creationId xmlns:a16="http://schemas.microsoft.com/office/drawing/2014/main" id="{00000000-0008-0000-0E00-0000FD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4" name="Text Box 633">
          <a:extLst>
            <a:ext uri="{FF2B5EF4-FFF2-40B4-BE49-F238E27FC236}">
              <a16:creationId xmlns:a16="http://schemas.microsoft.com/office/drawing/2014/main" id="{00000000-0008-0000-0E00-0000FE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5" name="Text Box 634">
          <a:extLst>
            <a:ext uri="{FF2B5EF4-FFF2-40B4-BE49-F238E27FC236}">
              <a16:creationId xmlns:a16="http://schemas.microsoft.com/office/drawing/2014/main" id="{00000000-0008-0000-0E00-0000FF05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6" name="Text Box 635">
          <a:extLst>
            <a:ext uri="{FF2B5EF4-FFF2-40B4-BE49-F238E27FC236}">
              <a16:creationId xmlns:a16="http://schemas.microsoft.com/office/drawing/2014/main" id="{00000000-0008-0000-0E00-00000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7" name="Text Box 636">
          <a:extLst>
            <a:ext uri="{FF2B5EF4-FFF2-40B4-BE49-F238E27FC236}">
              <a16:creationId xmlns:a16="http://schemas.microsoft.com/office/drawing/2014/main" id="{00000000-0008-0000-0E00-00000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8" name="Text Box 637">
          <a:extLst>
            <a:ext uri="{FF2B5EF4-FFF2-40B4-BE49-F238E27FC236}">
              <a16:creationId xmlns:a16="http://schemas.microsoft.com/office/drawing/2014/main" id="{00000000-0008-0000-0E00-00000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39" name="Text Box 638">
          <a:extLst>
            <a:ext uri="{FF2B5EF4-FFF2-40B4-BE49-F238E27FC236}">
              <a16:creationId xmlns:a16="http://schemas.microsoft.com/office/drawing/2014/main" id="{00000000-0008-0000-0E00-00000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0" name="Text Box 639">
          <a:extLst>
            <a:ext uri="{FF2B5EF4-FFF2-40B4-BE49-F238E27FC236}">
              <a16:creationId xmlns:a16="http://schemas.microsoft.com/office/drawing/2014/main" id="{00000000-0008-0000-0E00-00000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1" name="Text Box 640">
          <a:extLst>
            <a:ext uri="{FF2B5EF4-FFF2-40B4-BE49-F238E27FC236}">
              <a16:creationId xmlns:a16="http://schemas.microsoft.com/office/drawing/2014/main" id="{00000000-0008-0000-0E00-00000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2" name="Text Box 641">
          <a:extLst>
            <a:ext uri="{FF2B5EF4-FFF2-40B4-BE49-F238E27FC236}">
              <a16:creationId xmlns:a16="http://schemas.microsoft.com/office/drawing/2014/main" id="{00000000-0008-0000-0E00-00000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3" name="Text Box 642">
          <a:extLst>
            <a:ext uri="{FF2B5EF4-FFF2-40B4-BE49-F238E27FC236}">
              <a16:creationId xmlns:a16="http://schemas.microsoft.com/office/drawing/2014/main" id="{00000000-0008-0000-0E00-00000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4" name="Text Box 643">
          <a:extLst>
            <a:ext uri="{FF2B5EF4-FFF2-40B4-BE49-F238E27FC236}">
              <a16:creationId xmlns:a16="http://schemas.microsoft.com/office/drawing/2014/main" id="{00000000-0008-0000-0E00-00000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5" name="Text Box 644">
          <a:extLst>
            <a:ext uri="{FF2B5EF4-FFF2-40B4-BE49-F238E27FC236}">
              <a16:creationId xmlns:a16="http://schemas.microsoft.com/office/drawing/2014/main" id="{00000000-0008-0000-0E00-00000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6" name="Text Box 645">
          <a:extLst>
            <a:ext uri="{FF2B5EF4-FFF2-40B4-BE49-F238E27FC236}">
              <a16:creationId xmlns:a16="http://schemas.microsoft.com/office/drawing/2014/main" id="{00000000-0008-0000-0E00-00000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7" name="Text Box 646">
          <a:extLst>
            <a:ext uri="{FF2B5EF4-FFF2-40B4-BE49-F238E27FC236}">
              <a16:creationId xmlns:a16="http://schemas.microsoft.com/office/drawing/2014/main" id="{00000000-0008-0000-0E00-00000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8" name="Text Box 647">
          <a:extLst>
            <a:ext uri="{FF2B5EF4-FFF2-40B4-BE49-F238E27FC236}">
              <a16:creationId xmlns:a16="http://schemas.microsoft.com/office/drawing/2014/main" id="{00000000-0008-0000-0E00-00000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49" name="Text Box 648">
          <a:extLst>
            <a:ext uri="{FF2B5EF4-FFF2-40B4-BE49-F238E27FC236}">
              <a16:creationId xmlns:a16="http://schemas.microsoft.com/office/drawing/2014/main" id="{00000000-0008-0000-0E00-00000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0" name="Text Box 649">
          <a:extLst>
            <a:ext uri="{FF2B5EF4-FFF2-40B4-BE49-F238E27FC236}">
              <a16:creationId xmlns:a16="http://schemas.microsoft.com/office/drawing/2014/main" id="{00000000-0008-0000-0E00-00000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1" name="Text Box 650">
          <a:extLst>
            <a:ext uri="{FF2B5EF4-FFF2-40B4-BE49-F238E27FC236}">
              <a16:creationId xmlns:a16="http://schemas.microsoft.com/office/drawing/2014/main" id="{00000000-0008-0000-0E00-00000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2" name="Text Box 651">
          <a:extLst>
            <a:ext uri="{FF2B5EF4-FFF2-40B4-BE49-F238E27FC236}">
              <a16:creationId xmlns:a16="http://schemas.microsoft.com/office/drawing/2014/main" id="{00000000-0008-0000-0E00-00001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3" name="Text Box 652">
          <a:extLst>
            <a:ext uri="{FF2B5EF4-FFF2-40B4-BE49-F238E27FC236}">
              <a16:creationId xmlns:a16="http://schemas.microsoft.com/office/drawing/2014/main" id="{00000000-0008-0000-0E00-00001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4" name="Text Box 653">
          <a:extLst>
            <a:ext uri="{FF2B5EF4-FFF2-40B4-BE49-F238E27FC236}">
              <a16:creationId xmlns:a16="http://schemas.microsoft.com/office/drawing/2014/main" id="{00000000-0008-0000-0E00-00001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5" name="Text Box 654">
          <a:extLst>
            <a:ext uri="{FF2B5EF4-FFF2-40B4-BE49-F238E27FC236}">
              <a16:creationId xmlns:a16="http://schemas.microsoft.com/office/drawing/2014/main" id="{00000000-0008-0000-0E00-00001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6" name="Text Box 655">
          <a:extLst>
            <a:ext uri="{FF2B5EF4-FFF2-40B4-BE49-F238E27FC236}">
              <a16:creationId xmlns:a16="http://schemas.microsoft.com/office/drawing/2014/main" id="{00000000-0008-0000-0E00-00001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7" name="Text Box 656">
          <a:extLst>
            <a:ext uri="{FF2B5EF4-FFF2-40B4-BE49-F238E27FC236}">
              <a16:creationId xmlns:a16="http://schemas.microsoft.com/office/drawing/2014/main" id="{00000000-0008-0000-0E00-00001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8" name="Text Box 657">
          <a:extLst>
            <a:ext uri="{FF2B5EF4-FFF2-40B4-BE49-F238E27FC236}">
              <a16:creationId xmlns:a16="http://schemas.microsoft.com/office/drawing/2014/main" id="{00000000-0008-0000-0E00-00001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59" name="Text Box 658">
          <a:extLst>
            <a:ext uri="{FF2B5EF4-FFF2-40B4-BE49-F238E27FC236}">
              <a16:creationId xmlns:a16="http://schemas.microsoft.com/office/drawing/2014/main" id="{00000000-0008-0000-0E00-00001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0" name="Text Box 659">
          <a:extLst>
            <a:ext uri="{FF2B5EF4-FFF2-40B4-BE49-F238E27FC236}">
              <a16:creationId xmlns:a16="http://schemas.microsoft.com/office/drawing/2014/main" id="{00000000-0008-0000-0E00-00001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1" name="Text Box 660">
          <a:extLst>
            <a:ext uri="{FF2B5EF4-FFF2-40B4-BE49-F238E27FC236}">
              <a16:creationId xmlns:a16="http://schemas.microsoft.com/office/drawing/2014/main" id="{00000000-0008-0000-0E00-00001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2" name="Text Box 661">
          <a:extLst>
            <a:ext uri="{FF2B5EF4-FFF2-40B4-BE49-F238E27FC236}">
              <a16:creationId xmlns:a16="http://schemas.microsoft.com/office/drawing/2014/main" id="{00000000-0008-0000-0E00-00001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3" name="Text Box 662">
          <a:extLst>
            <a:ext uri="{FF2B5EF4-FFF2-40B4-BE49-F238E27FC236}">
              <a16:creationId xmlns:a16="http://schemas.microsoft.com/office/drawing/2014/main" id="{00000000-0008-0000-0E00-00001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4" name="Text Box 663">
          <a:extLst>
            <a:ext uri="{FF2B5EF4-FFF2-40B4-BE49-F238E27FC236}">
              <a16:creationId xmlns:a16="http://schemas.microsoft.com/office/drawing/2014/main" id="{00000000-0008-0000-0E00-00001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5" name="Text Box 664">
          <a:extLst>
            <a:ext uri="{FF2B5EF4-FFF2-40B4-BE49-F238E27FC236}">
              <a16:creationId xmlns:a16="http://schemas.microsoft.com/office/drawing/2014/main" id="{00000000-0008-0000-0E00-00001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6" name="Text Box 665">
          <a:extLst>
            <a:ext uri="{FF2B5EF4-FFF2-40B4-BE49-F238E27FC236}">
              <a16:creationId xmlns:a16="http://schemas.microsoft.com/office/drawing/2014/main" id="{00000000-0008-0000-0E00-00001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7" name="Text Box 666">
          <a:extLst>
            <a:ext uri="{FF2B5EF4-FFF2-40B4-BE49-F238E27FC236}">
              <a16:creationId xmlns:a16="http://schemas.microsoft.com/office/drawing/2014/main" id="{00000000-0008-0000-0E00-00001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8" name="Text Box 667">
          <a:extLst>
            <a:ext uri="{FF2B5EF4-FFF2-40B4-BE49-F238E27FC236}">
              <a16:creationId xmlns:a16="http://schemas.microsoft.com/office/drawing/2014/main" id="{00000000-0008-0000-0E00-00002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69" name="Text Box 668">
          <a:extLst>
            <a:ext uri="{FF2B5EF4-FFF2-40B4-BE49-F238E27FC236}">
              <a16:creationId xmlns:a16="http://schemas.microsoft.com/office/drawing/2014/main" id="{00000000-0008-0000-0E00-00002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0" name="Text Box 669">
          <a:extLst>
            <a:ext uri="{FF2B5EF4-FFF2-40B4-BE49-F238E27FC236}">
              <a16:creationId xmlns:a16="http://schemas.microsoft.com/office/drawing/2014/main" id="{00000000-0008-0000-0E00-00002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1" name="Text Box 670">
          <a:extLst>
            <a:ext uri="{FF2B5EF4-FFF2-40B4-BE49-F238E27FC236}">
              <a16:creationId xmlns:a16="http://schemas.microsoft.com/office/drawing/2014/main" id="{00000000-0008-0000-0E00-00002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2" name="Text Box 671">
          <a:extLst>
            <a:ext uri="{FF2B5EF4-FFF2-40B4-BE49-F238E27FC236}">
              <a16:creationId xmlns:a16="http://schemas.microsoft.com/office/drawing/2014/main" id="{00000000-0008-0000-0E00-00002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3" name="Text Box 672">
          <a:extLst>
            <a:ext uri="{FF2B5EF4-FFF2-40B4-BE49-F238E27FC236}">
              <a16:creationId xmlns:a16="http://schemas.microsoft.com/office/drawing/2014/main" id="{00000000-0008-0000-0E00-00002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4" name="Text Box 673">
          <a:extLst>
            <a:ext uri="{FF2B5EF4-FFF2-40B4-BE49-F238E27FC236}">
              <a16:creationId xmlns:a16="http://schemas.microsoft.com/office/drawing/2014/main" id="{00000000-0008-0000-0E00-00002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5" name="Text Box 674">
          <a:extLst>
            <a:ext uri="{FF2B5EF4-FFF2-40B4-BE49-F238E27FC236}">
              <a16:creationId xmlns:a16="http://schemas.microsoft.com/office/drawing/2014/main" id="{00000000-0008-0000-0E00-00002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6" name="Text Box 675">
          <a:extLst>
            <a:ext uri="{FF2B5EF4-FFF2-40B4-BE49-F238E27FC236}">
              <a16:creationId xmlns:a16="http://schemas.microsoft.com/office/drawing/2014/main" id="{00000000-0008-0000-0E00-00002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7" name="Text Box 676">
          <a:extLst>
            <a:ext uri="{FF2B5EF4-FFF2-40B4-BE49-F238E27FC236}">
              <a16:creationId xmlns:a16="http://schemas.microsoft.com/office/drawing/2014/main" id="{00000000-0008-0000-0E00-00002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8" name="Text Box 677">
          <a:extLst>
            <a:ext uri="{FF2B5EF4-FFF2-40B4-BE49-F238E27FC236}">
              <a16:creationId xmlns:a16="http://schemas.microsoft.com/office/drawing/2014/main" id="{00000000-0008-0000-0E00-00002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79" name="Text Box 678">
          <a:extLst>
            <a:ext uri="{FF2B5EF4-FFF2-40B4-BE49-F238E27FC236}">
              <a16:creationId xmlns:a16="http://schemas.microsoft.com/office/drawing/2014/main" id="{00000000-0008-0000-0E00-00002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0" name="Text Box 679">
          <a:extLst>
            <a:ext uri="{FF2B5EF4-FFF2-40B4-BE49-F238E27FC236}">
              <a16:creationId xmlns:a16="http://schemas.microsoft.com/office/drawing/2014/main" id="{00000000-0008-0000-0E00-00002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1" name="Text Box 680">
          <a:extLst>
            <a:ext uri="{FF2B5EF4-FFF2-40B4-BE49-F238E27FC236}">
              <a16:creationId xmlns:a16="http://schemas.microsoft.com/office/drawing/2014/main" id="{00000000-0008-0000-0E00-00002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2" name="Text Box 681">
          <a:extLst>
            <a:ext uri="{FF2B5EF4-FFF2-40B4-BE49-F238E27FC236}">
              <a16:creationId xmlns:a16="http://schemas.microsoft.com/office/drawing/2014/main" id="{00000000-0008-0000-0E00-00002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3" name="Text Box 682">
          <a:extLst>
            <a:ext uri="{FF2B5EF4-FFF2-40B4-BE49-F238E27FC236}">
              <a16:creationId xmlns:a16="http://schemas.microsoft.com/office/drawing/2014/main" id="{00000000-0008-0000-0E00-00002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4" name="Text Box 683">
          <a:extLst>
            <a:ext uri="{FF2B5EF4-FFF2-40B4-BE49-F238E27FC236}">
              <a16:creationId xmlns:a16="http://schemas.microsoft.com/office/drawing/2014/main" id="{00000000-0008-0000-0E00-00003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5" name="Text Box 684">
          <a:extLst>
            <a:ext uri="{FF2B5EF4-FFF2-40B4-BE49-F238E27FC236}">
              <a16:creationId xmlns:a16="http://schemas.microsoft.com/office/drawing/2014/main" id="{00000000-0008-0000-0E00-00003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6" name="Text Box 685">
          <a:extLst>
            <a:ext uri="{FF2B5EF4-FFF2-40B4-BE49-F238E27FC236}">
              <a16:creationId xmlns:a16="http://schemas.microsoft.com/office/drawing/2014/main" id="{00000000-0008-0000-0E00-00003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7" name="Text Box 686">
          <a:extLst>
            <a:ext uri="{FF2B5EF4-FFF2-40B4-BE49-F238E27FC236}">
              <a16:creationId xmlns:a16="http://schemas.microsoft.com/office/drawing/2014/main" id="{00000000-0008-0000-0E00-00003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8" name="Text Box 687">
          <a:extLst>
            <a:ext uri="{FF2B5EF4-FFF2-40B4-BE49-F238E27FC236}">
              <a16:creationId xmlns:a16="http://schemas.microsoft.com/office/drawing/2014/main" id="{00000000-0008-0000-0E00-00003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89" name="Text Box 688">
          <a:extLst>
            <a:ext uri="{FF2B5EF4-FFF2-40B4-BE49-F238E27FC236}">
              <a16:creationId xmlns:a16="http://schemas.microsoft.com/office/drawing/2014/main" id="{00000000-0008-0000-0E00-00003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0" name="Text Box 689">
          <a:extLst>
            <a:ext uri="{FF2B5EF4-FFF2-40B4-BE49-F238E27FC236}">
              <a16:creationId xmlns:a16="http://schemas.microsoft.com/office/drawing/2014/main" id="{00000000-0008-0000-0E00-00003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1" name="Text Box 690">
          <a:extLst>
            <a:ext uri="{FF2B5EF4-FFF2-40B4-BE49-F238E27FC236}">
              <a16:creationId xmlns:a16="http://schemas.microsoft.com/office/drawing/2014/main" id="{00000000-0008-0000-0E00-00003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2" name="Text Box 691">
          <a:extLst>
            <a:ext uri="{FF2B5EF4-FFF2-40B4-BE49-F238E27FC236}">
              <a16:creationId xmlns:a16="http://schemas.microsoft.com/office/drawing/2014/main" id="{00000000-0008-0000-0E00-00003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3" name="Text Box 692">
          <a:extLst>
            <a:ext uri="{FF2B5EF4-FFF2-40B4-BE49-F238E27FC236}">
              <a16:creationId xmlns:a16="http://schemas.microsoft.com/office/drawing/2014/main" id="{00000000-0008-0000-0E00-00003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4" name="Text Box 693">
          <a:extLst>
            <a:ext uri="{FF2B5EF4-FFF2-40B4-BE49-F238E27FC236}">
              <a16:creationId xmlns:a16="http://schemas.microsoft.com/office/drawing/2014/main" id="{00000000-0008-0000-0E00-00003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5" name="Text Box 694">
          <a:extLst>
            <a:ext uri="{FF2B5EF4-FFF2-40B4-BE49-F238E27FC236}">
              <a16:creationId xmlns:a16="http://schemas.microsoft.com/office/drawing/2014/main" id="{00000000-0008-0000-0E00-00003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6" name="Text Box 695">
          <a:extLst>
            <a:ext uri="{FF2B5EF4-FFF2-40B4-BE49-F238E27FC236}">
              <a16:creationId xmlns:a16="http://schemas.microsoft.com/office/drawing/2014/main" id="{00000000-0008-0000-0E00-00003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7" name="Text Box 696">
          <a:extLst>
            <a:ext uri="{FF2B5EF4-FFF2-40B4-BE49-F238E27FC236}">
              <a16:creationId xmlns:a16="http://schemas.microsoft.com/office/drawing/2014/main" id="{00000000-0008-0000-0E00-00003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8" name="Text Box 697">
          <a:extLst>
            <a:ext uri="{FF2B5EF4-FFF2-40B4-BE49-F238E27FC236}">
              <a16:creationId xmlns:a16="http://schemas.microsoft.com/office/drawing/2014/main" id="{00000000-0008-0000-0E00-00003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599" name="Text Box 698">
          <a:extLst>
            <a:ext uri="{FF2B5EF4-FFF2-40B4-BE49-F238E27FC236}">
              <a16:creationId xmlns:a16="http://schemas.microsoft.com/office/drawing/2014/main" id="{00000000-0008-0000-0E00-00003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0" name="Text Box 699">
          <a:extLst>
            <a:ext uri="{FF2B5EF4-FFF2-40B4-BE49-F238E27FC236}">
              <a16:creationId xmlns:a16="http://schemas.microsoft.com/office/drawing/2014/main" id="{00000000-0008-0000-0E00-00004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1" name="Text Box 700">
          <a:extLst>
            <a:ext uri="{FF2B5EF4-FFF2-40B4-BE49-F238E27FC236}">
              <a16:creationId xmlns:a16="http://schemas.microsoft.com/office/drawing/2014/main" id="{00000000-0008-0000-0E00-00004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2" name="Text Box 701">
          <a:extLst>
            <a:ext uri="{FF2B5EF4-FFF2-40B4-BE49-F238E27FC236}">
              <a16:creationId xmlns:a16="http://schemas.microsoft.com/office/drawing/2014/main" id="{00000000-0008-0000-0E00-00004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3" name="Text Box 702">
          <a:extLst>
            <a:ext uri="{FF2B5EF4-FFF2-40B4-BE49-F238E27FC236}">
              <a16:creationId xmlns:a16="http://schemas.microsoft.com/office/drawing/2014/main" id="{00000000-0008-0000-0E00-00004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4" name="Text Box 703">
          <a:extLst>
            <a:ext uri="{FF2B5EF4-FFF2-40B4-BE49-F238E27FC236}">
              <a16:creationId xmlns:a16="http://schemas.microsoft.com/office/drawing/2014/main" id="{00000000-0008-0000-0E00-00004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5" name="Text Box 704">
          <a:extLst>
            <a:ext uri="{FF2B5EF4-FFF2-40B4-BE49-F238E27FC236}">
              <a16:creationId xmlns:a16="http://schemas.microsoft.com/office/drawing/2014/main" id="{00000000-0008-0000-0E00-00004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6" name="Text Box 705">
          <a:extLst>
            <a:ext uri="{FF2B5EF4-FFF2-40B4-BE49-F238E27FC236}">
              <a16:creationId xmlns:a16="http://schemas.microsoft.com/office/drawing/2014/main" id="{00000000-0008-0000-0E00-00004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7" name="Text Box 706">
          <a:extLst>
            <a:ext uri="{FF2B5EF4-FFF2-40B4-BE49-F238E27FC236}">
              <a16:creationId xmlns:a16="http://schemas.microsoft.com/office/drawing/2014/main" id="{00000000-0008-0000-0E00-00004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8" name="Text Box 707">
          <a:extLst>
            <a:ext uri="{FF2B5EF4-FFF2-40B4-BE49-F238E27FC236}">
              <a16:creationId xmlns:a16="http://schemas.microsoft.com/office/drawing/2014/main" id="{00000000-0008-0000-0E00-00004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09" name="Text Box 708">
          <a:extLst>
            <a:ext uri="{FF2B5EF4-FFF2-40B4-BE49-F238E27FC236}">
              <a16:creationId xmlns:a16="http://schemas.microsoft.com/office/drawing/2014/main" id="{00000000-0008-0000-0E00-00004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0" name="Text Box 709">
          <a:extLst>
            <a:ext uri="{FF2B5EF4-FFF2-40B4-BE49-F238E27FC236}">
              <a16:creationId xmlns:a16="http://schemas.microsoft.com/office/drawing/2014/main" id="{00000000-0008-0000-0E00-00004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1" name="Text Box 710">
          <a:extLst>
            <a:ext uri="{FF2B5EF4-FFF2-40B4-BE49-F238E27FC236}">
              <a16:creationId xmlns:a16="http://schemas.microsoft.com/office/drawing/2014/main" id="{00000000-0008-0000-0E00-00004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2" name="Text Box 711">
          <a:extLst>
            <a:ext uri="{FF2B5EF4-FFF2-40B4-BE49-F238E27FC236}">
              <a16:creationId xmlns:a16="http://schemas.microsoft.com/office/drawing/2014/main" id="{00000000-0008-0000-0E00-00004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3" name="Text Box 712">
          <a:extLst>
            <a:ext uri="{FF2B5EF4-FFF2-40B4-BE49-F238E27FC236}">
              <a16:creationId xmlns:a16="http://schemas.microsoft.com/office/drawing/2014/main" id="{00000000-0008-0000-0E00-00004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4" name="Text Box 713">
          <a:extLst>
            <a:ext uri="{FF2B5EF4-FFF2-40B4-BE49-F238E27FC236}">
              <a16:creationId xmlns:a16="http://schemas.microsoft.com/office/drawing/2014/main" id="{00000000-0008-0000-0E00-00004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5" name="Text Box 714">
          <a:extLst>
            <a:ext uri="{FF2B5EF4-FFF2-40B4-BE49-F238E27FC236}">
              <a16:creationId xmlns:a16="http://schemas.microsoft.com/office/drawing/2014/main" id="{00000000-0008-0000-0E00-00004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6" name="Text Box 715">
          <a:extLst>
            <a:ext uri="{FF2B5EF4-FFF2-40B4-BE49-F238E27FC236}">
              <a16:creationId xmlns:a16="http://schemas.microsoft.com/office/drawing/2014/main" id="{00000000-0008-0000-0E00-00005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7" name="Text Box 716">
          <a:extLst>
            <a:ext uri="{FF2B5EF4-FFF2-40B4-BE49-F238E27FC236}">
              <a16:creationId xmlns:a16="http://schemas.microsoft.com/office/drawing/2014/main" id="{00000000-0008-0000-0E00-00005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8" name="Text Box 717">
          <a:extLst>
            <a:ext uri="{FF2B5EF4-FFF2-40B4-BE49-F238E27FC236}">
              <a16:creationId xmlns:a16="http://schemas.microsoft.com/office/drawing/2014/main" id="{00000000-0008-0000-0E00-00005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19" name="Text Box 718">
          <a:extLst>
            <a:ext uri="{FF2B5EF4-FFF2-40B4-BE49-F238E27FC236}">
              <a16:creationId xmlns:a16="http://schemas.microsoft.com/office/drawing/2014/main" id="{00000000-0008-0000-0E00-00005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0" name="Text Box 719">
          <a:extLst>
            <a:ext uri="{FF2B5EF4-FFF2-40B4-BE49-F238E27FC236}">
              <a16:creationId xmlns:a16="http://schemas.microsoft.com/office/drawing/2014/main" id="{00000000-0008-0000-0E00-00005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1" name="Text Box 720">
          <a:extLst>
            <a:ext uri="{FF2B5EF4-FFF2-40B4-BE49-F238E27FC236}">
              <a16:creationId xmlns:a16="http://schemas.microsoft.com/office/drawing/2014/main" id="{00000000-0008-0000-0E00-00005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2" name="Text Box 721">
          <a:extLst>
            <a:ext uri="{FF2B5EF4-FFF2-40B4-BE49-F238E27FC236}">
              <a16:creationId xmlns:a16="http://schemas.microsoft.com/office/drawing/2014/main" id="{00000000-0008-0000-0E00-00005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3" name="Text Box 722">
          <a:extLst>
            <a:ext uri="{FF2B5EF4-FFF2-40B4-BE49-F238E27FC236}">
              <a16:creationId xmlns:a16="http://schemas.microsoft.com/office/drawing/2014/main" id="{00000000-0008-0000-0E00-00005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4" name="Text Box 723">
          <a:extLst>
            <a:ext uri="{FF2B5EF4-FFF2-40B4-BE49-F238E27FC236}">
              <a16:creationId xmlns:a16="http://schemas.microsoft.com/office/drawing/2014/main" id="{00000000-0008-0000-0E00-00005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5" name="Text Box 724">
          <a:extLst>
            <a:ext uri="{FF2B5EF4-FFF2-40B4-BE49-F238E27FC236}">
              <a16:creationId xmlns:a16="http://schemas.microsoft.com/office/drawing/2014/main" id="{00000000-0008-0000-0E00-00005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6" name="Text Box 725">
          <a:extLst>
            <a:ext uri="{FF2B5EF4-FFF2-40B4-BE49-F238E27FC236}">
              <a16:creationId xmlns:a16="http://schemas.microsoft.com/office/drawing/2014/main" id="{00000000-0008-0000-0E00-00005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7" name="Text Box 726">
          <a:extLst>
            <a:ext uri="{FF2B5EF4-FFF2-40B4-BE49-F238E27FC236}">
              <a16:creationId xmlns:a16="http://schemas.microsoft.com/office/drawing/2014/main" id="{00000000-0008-0000-0E00-00005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8" name="Text Box 727">
          <a:extLst>
            <a:ext uri="{FF2B5EF4-FFF2-40B4-BE49-F238E27FC236}">
              <a16:creationId xmlns:a16="http://schemas.microsoft.com/office/drawing/2014/main" id="{00000000-0008-0000-0E00-00005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29" name="Text Box 728">
          <a:extLst>
            <a:ext uri="{FF2B5EF4-FFF2-40B4-BE49-F238E27FC236}">
              <a16:creationId xmlns:a16="http://schemas.microsoft.com/office/drawing/2014/main" id="{00000000-0008-0000-0E00-00005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0" name="Text Box 729">
          <a:extLst>
            <a:ext uri="{FF2B5EF4-FFF2-40B4-BE49-F238E27FC236}">
              <a16:creationId xmlns:a16="http://schemas.microsoft.com/office/drawing/2014/main" id="{00000000-0008-0000-0E00-00005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1" name="Text Box 730">
          <a:extLst>
            <a:ext uri="{FF2B5EF4-FFF2-40B4-BE49-F238E27FC236}">
              <a16:creationId xmlns:a16="http://schemas.microsoft.com/office/drawing/2014/main" id="{00000000-0008-0000-0E00-00005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2" name="Text Box 731">
          <a:extLst>
            <a:ext uri="{FF2B5EF4-FFF2-40B4-BE49-F238E27FC236}">
              <a16:creationId xmlns:a16="http://schemas.microsoft.com/office/drawing/2014/main" id="{00000000-0008-0000-0E00-00006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3" name="Text Box 732">
          <a:extLst>
            <a:ext uri="{FF2B5EF4-FFF2-40B4-BE49-F238E27FC236}">
              <a16:creationId xmlns:a16="http://schemas.microsoft.com/office/drawing/2014/main" id="{00000000-0008-0000-0E00-00006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4" name="Text Box 733">
          <a:extLst>
            <a:ext uri="{FF2B5EF4-FFF2-40B4-BE49-F238E27FC236}">
              <a16:creationId xmlns:a16="http://schemas.microsoft.com/office/drawing/2014/main" id="{00000000-0008-0000-0E00-00006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5" name="Text Box 734">
          <a:extLst>
            <a:ext uri="{FF2B5EF4-FFF2-40B4-BE49-F238E27FC236}">
              <a16:creationId xmlns:a16="http://schemas.microsoft.com/office/drawing/2014/main" id="{00000000-0008-0000-0E00-00006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6" name="Text Box 735">
          <a:extLst>
            <a:ext uri="{FF2B5EF4-FFF2-40B4-BE49-F238E27FC236}">
              <a16:creationId xmlns:a16="http://schemas.microsoft.com/office/drawing/2014/main" id="{00000000-0008-0000-0E00-00006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7" name="Text Box 736">
          <a:extLst>
            <a:ext uri="{FF2B5EF4-FFF2-40B4-BE49-F238E27FC236}">
              <a16:creationId xmlns:a16="http://schemas.microsoft.com/office/drawing/2014/main" id="{00000000-0008-0000-0E00-00006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8" name="Text Box 737">
          <a:extLst>
            <a:ext uri="{FF2B5EF4-FFF2-40B4-BE49-F238E27FC236}">
              <a16:creationId xmlns:a16="http://schemas.microsoft.com/office/drawing/2014/main" id="{00000000-0008-0000-0E00-00006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39" name="Text Box 738">
          <a:extLst>
            <a:ext uri="{FF2B5EF4-FFF2-40B4-BE49-F238E27FC236}">
              <a16:creationId xmlns:a16="http://schemas.microsoft.com/office/drawing/2014/main" id="{00000000-0008-0000-0E00-00006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0" name="Text Box 739">
          <a:extLst>
            <a:ext uri="{FF2B5EF4-FFF2-40B4-BE49-F238E27FC236}">
              <a16:creationId xmlns:a16="http://schemas.microsoft.com/office/drawing/2014/main" id="{00000000-0008-0000-0E00-00006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1" name="Text Box 740">
          <a:extLst>
            <a:ext uri="{FF2B5EF4-FFF2-40B4-BE49-F238E27FC236}">
              <a16:creationId xmlns:a16="http://schemas.microsoft.com/office/drawing/2014/main" id="{00000000-0008-0000-0E00-00006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2" name="Text Box 741">
          <a:extLst>
            <a:ext uri="{FF2B5EF4-FFF2-40B4-BE49-F238E27FC236}">
              <a16:creationId xmlns:a16="http://schemas.microsoft.com/office/drawing/2014/main" id="{00000000-0008-0000-0E00-00006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3" name="Text Box 742">
          <a:extLst>
            <a:ext uri="{FF2B5EF4-FFF2-40B4-BE49-F238E27FC236}">
              <a16:creationId xmlns:a16="http://schemas.microsoft.com/office/drawing/2014/main" id="{00000000-0008-0000-0E00-00006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4" name="Text Box 743">
          <a:extLst>
            <a:ext uri="{FF2B5EF4-FFF2-40B4-BE49-F238E27FC236}">
              <a16:creationId xmlns:a16="http://schemas.microsoft.com/office/drawing/2014/main" id="{00000000-0008-0000-0E00-00006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5" name="Text Box 744">
          <a:extLst>
            <a:ext uri="{FF2B5EF4-FFF2-40B4-BE49-F238E27FC236}">
              <a16:creationId xmlns:a16="http://schemas.microsoft.com/office/drawing/2014/main" id="{00000000-0008-0000-0E00-00006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6" name="Text Box 745">
          <a:extLst>
            <a:ext uri="{FF2B5EF4-FFF2-40B4-BE49-F238E27FC236}">
              <a16:creationId xmlns:a16="http://schemas.microsoft.com/office/drawing/2014/main" id="{00000000-0008-0000-0E00-00006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7" name="Text Box 746">
          <a:extLst>
            <a:ext uri="{FF2B5EF4-FFF2-40B4-BE49-F238E27FC236}">
              <a16:creationId xmlns:a16="http://schemas.microsoft.com/office/drawing/2014/main" id="{00000000-0008-0000-0E00-00006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8" name="Text Box 747">
          <a:extLst>
            <a:ext uri="{FF2B5EF4-FFF2-40B4-BE49-F238E27FC236}">
              <a16:creationId xmlns:a16="http://schemas.microsoft.com/office/drawing/2014/main" id="{00000000-0008-0000-0E00-00007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49" name="Text Box 748">
          <a:extLst>
            <a:ext uri="{FF2B5EF4-FFF2-40B4-BE49-F238E27FC236}">
              <a16:creationId xmlns:a16="http://schemas.microsoft.com/office/drawing/2014/main" id="{00000000-0008-0000-0E00-00007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0" name="Text Box 749">
          <a:extLst>
            <a:ext uri="{FF2B5EF4-FFF2-40B4-BE49-F238E27FC236}">
              <a16:creationId xmlns:a16="http://schemas.microsoft.com/office/drawing/2014/main" id="{00000000-0008-0000-0E00-00007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1" name="Text Box 750">
          <a:extLst>
            <a:ext uri="{FF2B5EF4-FFF2-40B4-BE49-F238E27FC236}">
              <a16:creationId xmlns:a16="http://schemas.microsoft.com/office/drawing/2014/main" id="{00000000-0008-0000-0E00-00007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2" name="Text Box 751">
          <a:extLst>
            <a:ext uri="{FF2B5EF4-FFF2-40B4-BE49-F238E27FC236}">
              <a16:creationId xmlns:a16="http://schemas.microsoft.com/office/drawing/2014/main" id="{00000000-0008-0000-0E00-00007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3" name="Text Box 752">
          <a:extLst>
            <a:ext uri="{FF2B5EF4-FFF2-40B4-BE49-F238E27FC236}">
              <a16:creationId xmlns:a16="http://schemas.microsoft.com/office/drawing/2014/main" id="{00000000-0008-0000-0E00-00007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4" name="Text Box 753">
          <a:extLst>
            <a:ext uri="{FF2B5EF4-FFF2-40B4-BE49-F238E27FC236}">
              <a16:creationId xmlns:a16="http://schemas.microsoft.com/office/drawing/2014/main" id="{00000000-0008-0000-0E00-00007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5" name="Text Box 754">
          <a:extLst>
            <a:ext uri="{FF2B5EF4-FFF2-40B4-BE49-F238E27FC236}">
              <a16:creationId xmlns:a16="http://schemas.microsoft.com/office/drawing/2014/main" id="{00000000-0008-0000-0E00-00007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6" name="Text Box 755">
          <a:extLst>
            <a:ext uri="{FF2B5EF4-FFF2-40B4-BE49-F238E27FC236}">
              <a16:creationId xmlns:a16="http://schemas.microsoft.com/office/drawing/2014/main" id="{00000000-0008-0000-0E00-00007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7" name="Text Box 756">
          <a:extLst>
            <a:ext uri="{FF2B5EF4-FFF2-40B4-BE49-F238E27FC236}">
              <a16:creationId xmlns:a16="http://schemas.microsoft.com/office/drawing/2014/main" id="{00000000-0008-0000-0E00-00007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8" name="Text Box 757">
          <a:extLst>
            <a:ext uri="{FF2B5EF4-FFF2-40B4-BE49-F238E27FC236}">
              <a16:creationId xmlns:a16="http://schemas.microsoft.com/office/drawing/2014/main" id="{00000000-0008-0000-0E00-00007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59" name="Text Box 758">
          <a:extLst>
            <a:ext uri="{FF2B5EF4-FFF2-40B4-BE49-F238E27FC236}">
              <a16:creationId xmlns:a16="http://schemas.microsoft.com/office/drawing/2014/main" id="{00000000-0008-0000-0E00-00007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0" name="Text Box 759">
          <a:extLst>
            <a:ext uri="{FF2B5EF4-FFF2-40B4-BE49-F238E27FC236}">
              <a16:creationId xmlns:a16="http://schemas.microsoft.com/office/drawing/2014/main" id="{00000000-0008-0000-0E00-00007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1" name="Text Box 760">
          <a:extLst>
            <a:ext uri="{FF2B5EF4-FFF2-40B4-BE49-F238E27FC236}">
              <a16:creationId xmlns:a16="http://schemas.microsoft.com/office/drawing/2014/main" id="{00000000-0008-0000-0E00-00007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2" name="Text Box 761">
          <a:extLst>
            <a:ext uri="{FF2B5EF4-FFF2-40B4-BE49-F238E27FC236}">
              <a16:creationId xmlns:a16="http://schemas.microsoft.com/office/drawing/2014/main" id="{00000000-0008-0000-0E00-00007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3" name="Text Box 762">
          <a:extLst>
            <a:ext uri="{FF2B5EF4-FFF2-40B4-BE49-F238E27FC236}">
              <a16:creationId xmlns:a16="http://schemas.microsoft.com/office/drawing/2014/main" id="{00000000-0008-0000-0E00-00007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4" name="Text Box 763">
          <a:extLst>
            <a:ext uri="{FF2B5EF4-FFF2-40B4-BE49-F238E27FC236}">
              <a16:creationId xmlns:a16="http://schemas.microsoft.com/office/drawing/2014/main" id="{00000000-0008-0000-0E00-00008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5" name="Text Box 764">
          <a:extLst>
            <a:ext uri="{FF2B5EF4-FFF2-40B4-BE49-F238E27FC236}">
              <a16:creationId xmlns:a16="http://schemas.microsoft.com/office/drawing/2014/main" id="{00000000-0008-0000-0E00-00008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6" name="Text Box 765">
          <a:extLst>
            <a:ext uri="{FF2B5EF4-FFF2-40B4-BE49-F238E27FC236}">
              <a16:creationId xmlns:a16="http://schemas.microsoft.com/office/drawing/2014/main" id="{00000000-0008-0000-0E00-00008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7" name="Text Box 766">
          <a:extLst>
            <a:ext uri="{FF2B5EF4-FFF2-40B4-BE49-F238E27FC236}">
              <a16:creationId xmlns:a16="http://schemas.microsoft.com/office/drawing/2014/main" id="{00000000-0008-0000-0E00-00008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8" name="Text Box 767">
          <a:extLst>
            <a:ext uri="{FF2B5EF4-FFF2-40B4-BE49-F238E27FC236}">
              <a16:creationId xmlns:a16="http://schemas.microsoft.com/office/drawing/2014/main" id="{00000000-0008-0000-0E00-00008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69" name="Text Box 768">
          <a:extLst>
            <a:ext uri="{FF2B5EF4-FFF2-40B4-BE49-F238E27FC236}">
              <a16:creationId xmlns:a16="http://schemas.microsoft.com/office/drawing/2014/main" id="{00000000-0008-0000-0E00-00008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0" name="Text Box 769">
          <a:extLst>
            <a:ext uri="{FF2B5EF4-FFF2-40B4-BE49-F238E27FC236}">
              <a16:creationId xmlns:a16="http://schemas.microsoft.com/office/drawing/2014/main" id="{00000000-0008-0000-0E00-00008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1" name="Text Box 770">
          <a:extLst>
            <a:ext uri="{FF2B5EF4-FFF2-40B4-BE49-F238E27FC236}">
              <a16:creationId xmlns:a16="http://schemas.microsoft.com/office/drawing/2014/main" id="{00000000-0008-0000-0E00-00008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2" name="Text Box 771">
          <a:extLst>
            <a:ext uri="{FF2B5EF4-FFF2-40B4-BE49-F238E27FC236}">
              <a16:creationId xmlns:a16="http://schemas.microsoft.com/office/drawing/2014/main" id="{00000000-0008-0000-0E00-00008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3" name="Text Box 772">
          <a:extLst>
            <a:ext uri="{FF2B5EF4-FFF2-40B4-BE49-F238E27FC236}">
              <a16:creationId xmlns:a16="http://schemas.microsoft.com/office/drawing/2014/main" id="{00000000-0008-0000-0E00-00008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4" name="Text Box 773">
          <a:extLst>
            <a:ext uri="{FF2B5EF4-FFF2-40B4-BE49-F238E27FC236}">
              <a16:creationId xmlns:a16="http://schemas.microsoft.com/office/drawing/2014/main" id="{00000000-0008-0000-0E00-00008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5" name="Text Box 774">
          <a:extLst>
            <a:ext uri="{FF2B5EF4-FFF2-40B4-BE49-F238E27FC236}">
              <a16:creationId xmlns:a16="http://schemas.microsoft.com/office/drawing/2014/main" id="{00000000-0008-0000-0E00-00008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6" name="Text Box 775">
          <a:extLst>
            <a:ext uri="{FF2B5EF4-FFF2-40B4-BE49-F238E27FC236}">
              <a16:creationId xmlns:a16="http://schemas.microsoft.com/office/drawing/2014/main" id="{00000000-0008-0000-0E00-00008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7" name="Text Box 776">
          <a:extLst>
            <a:ext uri="{FF2B5EF4-FFF2-40B4-BE49-F238E27FC236}">
              <a16:creationId xmlns:a16="http://schemas.microsoft.com/office/drawing/2014/main" id="{00000000-0008-0000-0E00-00008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8" name="Text Box 777">
          <a:extLst>
            <a:ext uri="{FF2B5EF4-FFF2-40B4-BE49-F238E27FC236}">
              <a16:creationId xmlns:a16="http://schemas.microsoft.com/office/drawing/2014/main" id="{00000000-0008-0000-0E00-00008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79" name="Text Box 778">
          <a:extLst>
            <a:ext uri="{FF2B5EF4-FFF2-40B4-BE49-F238E27FC236}">
              <a16:creationId xmlns:a16="http://schemas.microsoft.com/office/drawing/2014/main" id="{00000000-0008-0000-0E00-00008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0" name="Text Box 779">
          <a:extLst>
            <a:ext uri="{FF2B5EF4-FFF2-40B4-BE49-F238E27FC236}">
              <a16:creationId xmlns:a16="http://schemas.microsoft.com/office/drawing/2014/main" id="{00000000-0008-0000-0E00-00009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1" name="Text Box 780">
          <a:extLst>
            <a:ext uri="{FF2B5EF4-FFF2-40B4-BE49-F238E27FC236}">
              <a16:creationId xmlns:a16="http://schemas.microsoft.com/office/drawing/2014/main" id="{00000000-0008-0000-0E00-00009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2" name="Text Box 781">
          <a:extLst>
            <a:ext uri="{FF2B5EF4-FFF2-40B4-BE49-F238E27FC236}">
              <a16:creationId xmlns:a16="http://schemas.microsoft.com/office/drawing/2014/main" id="{00000000-0008-0000-0E00-00009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3" name="Text Box 782">
          <a:extLst>
            <a:ext uri="{FF2B5EF4-FFF2-40B4-BE49-F238E27FC236}">
              <a16:creationId xmlns:a16="http://schemas.microsoft.com/office/drawing/2014/main" id="{00000000-0008-0000-0E00-00009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4" name="Text Box 783">
          <a:extLst>
            <a:ext uri="{FF2B5EF4-FFF2-40B4-BE49-F238E27FC236}">
              <a16:creationId xmlns:a16="http://schemas.microsoft.com/office/drawing/2014/main" id="{00000000-0008-0000-0E00-00009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5" name="Text Box 784">
          <a:extLst>
            <a:ext uri="{FF2B5EF4-FFF2-40B4-BE49-F238E27FC236}">
              <a16:creationId xmlns:a16="http://schemas.microsoft.com/office/drawing/2014/main" id="{00000000-0008-0000-0E00-00009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6" name="Text Box 785">
          <a:extLst>
            <a:ext uri="{FF2B5EF4-FFF2-40B4-BE49-F238E27FC236}">
              <a16:creationId xmlns:a16="http://schemas.microsoft.com/office/drawing/2014/main" id="{00000000-0008-0000-0E00-00009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7" name="Text Box 786">
          <a:extLst>
            <a:ext uri="{FF2B5EF4-FFF2-40B4-BE49-F238E27FC236}">
              <a16:creationId xmlns:a16="http://schemas.microsoft.com/office/drawing/2014/main" id="{00000000-0008-0000-0E00-00009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8" name="Text Box 787">
          <a:extLst>
            <a:ext uri="{FF2B5EF4-FFF2-40B4-BE49-F238E27FC236}">
              <a16:creationId xmlns:a16="http://schemas.microsoft.com/office/drawing/2014/main" id="{00000000-0008-0000-0E00-00009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89" name="Text Box 788">
          <a:extLst>
            <a:ext uri="{FF2B5EF4-FFF2-40B4-BE49-F238E27FC236}">
              <a16:creationId xmlns:a16="http://schemas.microsoft.com/office/drawing/2014/main" id="{00000000-0008-0000-0E00-00009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0" name="Text Box 789">
          <a:extLst>
            <a:ext uri="{FF2B5EF4-FFF2-40B4-BE49-F238E27FC236}">
              <a16:creationId xmlns:a16="http://schemas.microsoft.com/office/drawing/2014/main" id="{00000000-0008-0000-0E00-00009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1" name="Text Box 790">
          <a:extLst>
            <a:ext uri="{FF2B5EF4-FFF2-40B4-BE49-F238E27FC236}">
              <a16:creationId xmlns:a16="http://schemas.microsoft.com/office/drawing/2014/main" id="{00000000-0008-0000-0E00-00009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2" name="Text Box 791">
          <a:extLst>
            <a:ext uri="{FF2B5EF4-FFF2-40B4-BE49-F238E27FC236}">
              <a16:creationId xmlns:a16="http://schemas.microsoft.com/office/drawing/2014/main" id="{00000000-0008-0000-0E00-00009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3" name="Text Box 792">
          <a:extLst>
            <a:ext uri="{FF2B5EF4-FFF2-40B4-BE49-F238E27FC236}">
              <a16:creationId xmlns:a16="http://schemas.microsoft.com/office/drawing/2014/main" id="{00000000-0008-0000-0E00-00009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4" name="Text Box 793">
          <a:extLst>
            <a:ext uri="{FF2B5EF4-FFF2-40B4-BE49-F238E27FC236}">
              <a16:creationId xmlns:a16="http://schemas.microsoft.com/office/drawing/2014/main" id="{00000000-0008-0000-0E00-00009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5" name="Text Box 794">
          <a:extLst>
            <a:ext uri="{FF2B5EF4-FFF2-40B4-BE49-F238E27FC236}">
              <a16:creationId xmlns:a16="http://schemas.microsoft.com/office/drawing/2014/main" id="{00000000-0008-0000-0E00-00009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6" name="Text Box 795">
          <a:extLst>
            <a:ext uri="{FF2B5EF4-FFF2-40B4-BE49-F238E27FC236}">
              <a16:creationId xmlns:a16="http://schemas.microsoft.com/office/drawing/2014/main" id="{00000000-0008-0000-0E00-0000A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7" name="Text Box 796">
          <a:extLst>
            <a:ext uri="{FF2B5EF4-FFF2-40B4-BE49-F238E27FC236}">
              <a16:creationId xmlns:a16="http://schemas.microsoft.com/office/drawing/2014/main" id="{00000000-0008-0000-0E00-0000A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8" name="Text Box 797">
          <a:extLst>
            <a:ext uri="{FF2B5EF4-FFF2-40B4-BE49-F238E27FC236}">
              <a16:creationId xmlns:a16="http://schemas.microsoft.com/office/drawing/2014/main" id="{00000000-0008-0000-0E00-0000A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699" name="Text Box 798">
          <a:extLst>
            <a:ext uri="{FF2B5EF4-FFF2-40B4-BE49-F238E27FC236}">
              <a16:creationId xmlns:a16="http://schemas.microsoft.com/office/drawing/2014/main" id="{00000000-0008-0000-0E00-0000A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0" name="Text Box 799">
          <a:extLst>
            <a:ext uri="{FF2B5EF4-FFF2-40B4-BE49-F238E27FC236}">
              <a16:creationId xmlns:a16="http://schemas.microsoft.com/office/drawing/2014/main" id="{00000000-0008-0000-0E00-0000A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1" name="Text Box 800">
          <a:extLst>
            <a:ext uri="{FF2B5EF4-FFF2-40B4-BE49-F238E27FC236}">
              <a16:creationId xmlns:a16="http://schemas.microsoft.com/office/drawing/2014/main" id="{00000000-0008-0000-0E00-0000A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2" name="Text Box 801">
          <a:extLst>
            <a:ext uri="{FF2B5EF4-FFF2-40B4-BE49-F238E27FC236}">
              <a16:creationId xmlns:a16="http://schemas.microsoft.com/office/drawing/2014/main" id="{00000000-0008-0000-0E00-0000A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3" name="Text Box 802">
          <a:extLst>
            <a:ext uri="{FF2B5EF4-FFF2-40B4-BE49-F238E27FC236}">
              <a16:creationId xmlns:a16="http://schemas.microsoft.com/office/drawing/2014/main" id="{00000000-0008-0000-0E00-0000A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4" name="Text Box 803">
          <a:extLst>
            <a:ext uri="{FF2B5EF4-FFF2-40B4-BE49-F238E27FC236}">
              <a16:creationId xmlns:a16="http://schemas.microsoft.com/office/drawing/2014/main" id="{00000000-0008-0000-0E00-0000A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5" name="Text Box 804">
          <a:extLst>
            <a:ext uri="{FF2B5EF4-FFF2-40B4-BE49-F238E27FC236}">
              <a16:creationId xmlns:a16="http://schemas.microsoft.com/office/drawing/2014/main" id="{00000000-0008-0000-0E00-0000A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6" name="Text Box 805">
          <a:extLst>
            <a:ext uri="{FF2B5EF4-FFF2-40B4-BE49-F238E27FC236}">
              <a16:creationId xmlns:a16="http://schemas.microsoft.com/office/drawing/2014/main" id="{00000000-0008-0000-0E00-0000A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7" name="Text Box 806">
          <a:extLst>
            <a:ext uri="{FF2B5EF4-FFF2-40B4-BE49-F238E27FC236}">
              <a16:creationId xmlns:a16="http://schemas.microsoft.com/office/drawing/2014/main" id="{00000000-0008-0000-0E00-0000A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8" name="Text Box 807">
          <a:extLst>
            <a:ext uri="{FF2B5EF4-FFF2-40B4-BE49-F238E27FC236}">
              <a16:creationId xmlns:a16="http://schemas.microsoft.com/office/drawing/2014/main" id="{00000000-0008-0000-0E00-0000A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09" name="Text Box 808">
          <a:extLst>
            <a:ext uri="{FF2B5EF4-FFF2-40B4-BE49-F238E27FC236}">
              <a16:creationId xmlns:a16="http://schemas.microsoft.com/office/drawing/2014/main" id="{00000000-0008-0000-0E00-0000A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0" name="Text Box 809">
          <a:extLst>
            <a:ext uri="{FF2B5EF4-FFF2-40B4-BE49-F238E27FC236}">
              <a16:creationId xmlns:a16="http://schemas.microsoft.com/office/drawing/2014/main" id="{00000000-0008-0000-0E00-0000A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1" name="Text Box 810">
          <a:extLst>
            <a:ext uri="{FF2B5EF4-FFF2-40B4-BE49-F238E27FC236}">
              <a16:creationId xmlns:a16="http://schemas.microsoft.com/office/drawing/2014/main" id="{00000000-0008-0000-0E00-0000A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2" name="Text Box 811">
          <a:extLst>
            <a:ext uri="{FF2B5EF4-FFF2-40B4-BE49-F238E27FC236}">
              <a16:creationId xmlns:a16="http://schemas.microsoft.com/office/drawing/2014/main" id="{00000000-0008-0000-0E00-0000B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3" name="Text Box 812">
          <a:extLst>
            <a:ext uri="{FF2B5EF4-FFF2-40B4-BE49-F238E27FC236}">
              <a16:creationId xmlns:a16="http://schemas.microsoft.com/office/drawing/2014/main" id="{00000000-0008-0000-0E00-0000B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4" name="Text Box 813">
          <a:extLst>
            <a:ext uri="{FF2B5EF4-FFF2-40B4-BE49-F238E27FC236}">
              <a16:creationId xmlns:a16="http://schemas.microsoft.com/office/drawing/2014/main" id="{00000000-0008-0000-0E00-0000B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5" name="Text Box 814">
          <a:extLst>
            <a:ext uri="{FF2B5EF4-FFF2-40B4-BE49-F238E27FC236}">
              <a16:creationId xmlns:a16="http://schemas.microsoft.com/office/drawing/2014/main" id="{00000000-0008-0000-0E00-0000B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6" name="Text Box 815">
          <a:extLst>
            <a:ext uri="{FF2B5EF4-FFF2-40B4-BE49-F238E27FC236}">
              <a16:creationId xmlns:a16="http://schemas.microsoft.com/office/drawing/2014/main" id="{00000000-0008-0000-0E00-0000B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7" name="Text Box 816">
          <a:extLst>
            <a:ext uri="{FF2B5EF4-FFF2-40B4-BE49-F238E27FC236}">
              <a16:creationId xmlns:a16="http://schemas.microsoft.com/office/drawing/2014/main" id="{00000000-0008-0000-0E00-0000B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8" name="Text Box 817">
          <a:extLst>
            <a:ext uri="{FF2B5EF4-FFF2-40B4-BE49-F238E27FC236}">
              <a16:creationId xmlns:a16="http://schemas.microsoft.com/office/drawing/2014/main" id="{00000000-0008-0000-0E00-0000B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19" name="Text Box 818">
          <a:extLst>
            <a:ext uri="{FF2B5EF4-FFF2-40B4-BE49-F238E27FC236}">
              <a16:creationId xmlns:a16="http://schemas.microsoft.com/office/drawing/2014/main" id="{00000000-0008-0000-0E00-0000B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0" name="Text Box 819">
          <a:extLst>
            <a:ext uri="{FF2B5EF4-FFF2-40B4-BE49-F238E27FC236}">
              <a16:creationId xmlns:a16="http://schemas.microsoft.com/office/drawing/2014/main" id="{00000000-0008-0000-0E00-0000B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1" name="Text Box 820">
          <a:extLst>
            <a:ext uri="{FF2B5EF4-FFF2-40B4-BE49-F238E27FC236}">
              <a16:creationId xmlns:a16="http://schemas.microsoft.com/office/drawing/2014/main" id="{00000000-0008-0000-0E00-0000B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2" name="Text Box 821">
          <a:extLst>
            <a:ext uri="{FF2B5EF4-FFF2-40B4-BE49-F238E27FC236}">
              <a16:creationId xmlns:a16="http://schemas.microsoft.com/office/drawing/2014/main" id="{00000000-0008-0000-0E00-0000B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3" name="Text Box 822">
          <a:extLst>
            <a:ext uri="{FF2B5EF4-FFF2-40B4-BE49-F238E27FC236}">
              <a16:creationId xmlns:a16="http://schemas.microsoft.com/office/drawing/2014/main" id="{00000000-0008-0000-0E00-0000B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4" name="Text Box 823">
          <a:extLst>
            <a:ext uri="{FF2B5EF4-FFF2-40B4-BE49-F238E27FC236}">
              <a16:creationId xmlns:a16="http://schemas.microsoft.com/office/drawing/2014/main" id="{00000000-0008-0000-0E00-0000B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5" name="Text Box 824">
          <a:extLst>
            <a:ext uri="{FF2B5EF4-FFF2-40B4-BE49-F238E27FC236}">
              <a16:creationId xmlns:a16="http://schemas.microsoft.com/office/drawing/2014/main" id="{00000000-0008-0000-0E00-0000B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6" name="Text Box 825">
          <a:extLst>
            <a:ext uri="{FF2B5EF4-FFF2-40B4-BE49-F238E27FC236}">
              <a16:creationId xmlns:a16="http://schemas.microsoft.com/office/drawing/2014/main" id="{00000000-0008-0000-0E00-0000B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7" name="Text Box 826">
          <a:extLst>
            <a:ext uri="{FF2B5EF4-FFF2-40B4-BE49-F238E27FC236}">
              <a16:creationId xmlns:a16="http://schemas.microsoft.com/office/drawing/2014/main" id="{00000000-0008-0000-0E00-0000B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8" name="Text Box 827">
          <a:extLst>
            <a:ext uri="{FF2B5EF4-FFF2-40B4-BE49-F238E27FC236}">
              <a16:creationId xmlns:a16="http://schemas.microsoft.com/office/drawing/2014/main" id="{00000000-0008-0000-0E00-0000C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29" name="Text Box 828">
          <a:extLst>
            <a:ext uri="{FF2B5EF4-FFF2-40B4-BE49-F238E27FC236}">
              <a16:creationId xmlns:a16="http://schemas.microsoft.com/office/drawing/2014/main" id="{00000000-0008-0000-0E00-0000C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0" name="Text Box 829">
          <a:extLst>
            <a:ext uri="{FF2B5EF4-FFF2-40B4-BE49-F238E27FC236}">
              <a16:creationId xmlns:a16="http://schemas.microsoft.com/office/drawing/2014/main" id="{00000000-0008-0000-0E00-0000C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1" name="Text Box 830">
          <a:extLst>
            <a:ext uri="{FF2B5EF4-FFF2-40B4-BE49-F238E27FC236}">
              <a16:creationId xmlns:a16="http://schemas.microsoft.com/office/drawing/2014/main" id="{00000000-0008-0000-0E00-0000C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2" name="Text Box 831">
          <a:extLst>
            <a:ext uri="{FF2B5EF4-FFF2-40B4-BE49-F238E27FC236}">
              <a16:creationId xmlns:a16="http://schemas.microsoft.com/office/drawing/2014/main" id="{00000000-0008-0000-0E00-0000C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3" name="Text Box 832">
          <a:extLst>
            <a:ext uri="{FF2B5EF4-FFF2-40B4-BE49-F238E27FC236}">
              <a16:creationId xmlns:a16="http://schemas.microsoft.com/office/drawing/2014/main" id="{00000000-0008-0000-0E00-0000C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4" name="Text Box 833">
          <a:extLst>
            <a:ext uri="{FF2B5EF4-FFF2-40B4-BE49-F238E27FC236}">
              <a16:creationId xmlns:a16="http://schemas.microsoft.com/office/drawing/2014/main" id="{00000000-0008-0000-0E00-0000C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5" name="Text Box 834">
          <a:extLst>
            <a:ext uri="{FF2B5EF4-FFF2-40B4-BE49-F238E27FC236}">
              <a16:creationId xmlns:a16="http://schemas.microsoft.com/office/drawing/2014/main" id="{00000000-0008-0000-0E00-0000C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6" name="Text Box 835">
          <a:extLst>
            <a:ext uri="{FF2B5EF4-FFF2-40B4-BE49-F238E27FC236}">
              <a16:creationId xmlns:a16="http://schemas.microsoft.com/office/drawing/2014/main" id="{00000000-0008-0000-0E00-0000C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7" name="Text Box 836">
          <a:extLst>
            <a:ext uri="{FF2B5EF4-FFF2-40B4-BE49-F238E27FC236}">
              <a16:creationId xmlns:a16="http://schemas.microsoft.com/office/drawing/2014/main" id="{00000000-0008-0000-0E00-0000C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8" name="Text Box 837">
          <a:extLst>
            <a:ext uri="{FF2B5EF4-FFF2-40B4-BE49-F238E27FC236}">
              <a16:creationId xmlns:a16="http://schemas.microsoft.com/office/drawing/2014/main" id="{00000000-0008-0000-0E00-0000C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39" name="Text Box 838">
          <a:extLst>
            <a:ext uri="{FF2B5EF4-FFF2-40B4-BE49-F238E27FC236}">
              <a16:creationId xmlns:a16="http://schemas.microsoft.com/office/drawing/2014/main" id="{00000000-0008-0000-0E00-0000C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0" name="Text Box 839">
          <a:extLst>
            <a:ext uri="{FF2B5EF4-FFF2-40B4-BE49-F238E27FC236}">
              <a16:creationId xmlns:a16="http://schemas.microsoft.com/office/drawing/2014/main" id="{00000000-0008-0000-0E00-0000C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1" name="Text Box 840">
          <a:extLst>
            <a:ext uri="{FF2B5EF4-FFF2-40B4-BE49-F238E27FC236}">
              <a16:creationId xmlns:a16="http://schemas.microsoft.com/office/drawing/2014/main" id="{00000000-0008-0000-0E00-0000C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2" name="Text Box 841">
          <a:extLst>
            <a:ext uri="{FF2B5EF4-FFF2-40B4-BE49-F238E27FC236}">
              <a16:creationId xmlns:a16="http://schemas.microsoft.com/office/drawing/2014/main" id="{00000000-0008-0000-0E00-0000C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3" name="Text Box 842">
          <a:extLst>
            <a:ext uri="{FF2B5EF4-FFF2-40B4-BE49-F238E27FC236}">
              <a16:creationId xmlns:a16="http://schemas.microsoft.com/office/drawing/2014/main" id="{00000000-0008-0000-0E00-0000C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4" name="Text Box 843">
          <a:extLst>
            <a:ext uri="{FF2B5EF4-FFF2-40B4-BE49-F238E27FC236}">
              <a16:creationId xmlns:a16="http://schemas.microsoft.com/office/drawing/2014/main" id="{00000000-0008-0000-0E00-0000D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5" name="Text Box 844">
          <a:extLst>
            <a:ext uri="{FF2B5EF4-FFF2-40B4-BE49-F238E27FC236}">
              <a16:creationId xmlns:a16="http://schemas.microsoft.com/office/drawing/2014/main" id="{00000000-0008-0000-0E00-0000D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6" name="Text Box 845">
          <a:extLst>
            <a:ext uri="{FF2B5EF4-FFF2-40B4-BE49-F238E27FC236}">
              <a16:creationId xmlns:a16="http://schemas.microsoft.com/office/drawing/2014/main" id="{00000000-0008-0000-0E00-0000D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7" name="Text Box 846">
          <a:extLst>
            <a:ext uri="{FF2B5EF4-FFF2-40B4-BE49-F238E27FC236}">
              <a16:creationId xmlns:a16="http://schemas.microsoft.com/office/drawing/2014/main" id="{00000000-0008-0000-0E00-0000D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8" name="Text Box 847">
          <a:extLst>
            <a:ext uri="{FF2B5EF4-FFF2-40B4-BE49-F238E27FC236}">
              <a16:creationId xmlns:a16="http://schemas.microsoft.com/office/drawing/2014/main" id="{00000000-0008-0000-0E00-0000D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49" name="Text Box 848">
          <a:extLst>
            <a:ext uri="{FF2B5EF4-FFF2-40B4-BE49-F238E27FC236}">
              <a16:creationId xmlns:a16="http://schemas.microsoft.com/office/drawing/2014/main" id="{00000000-0008-0000-0E00-0000D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0" name="Text Box 849">
          <a:extLst>
            <a:ext uri="{FF2B5EF4-FFF2-40B4-BE49-F238E27FC236}">
              <a16:creationId xmlns:a16="http://schemas.microsoft.com/office/drawing/2014/main" id="{00000000-0008-0000-0E00-0000D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1" name="Text Box 850">
          <a:extLst>
            <a:ext uri="{FF2B5EF4-FFF2-40B4-BE49-F238E27FC236}">
              <a16:creationId xmlns:a16="http://schemas.microsoft.com/office/drawing/2014/main" id="{00000000-0008-0000-0E00-0000D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2" name="Text Box 851">
          <a:extLst>
            <a:ext uri="{FF2B5EF4-FFF2-40B4-BE49-F238E27FC236}">
              <a16:creationId xmlns:a16="http://schemas.microsoft.com/office/drawing/2014/main" id="{00000000-0008-0000-0E00-0000D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3" name="Text Box 852">
          <a:extLst>
            <a:ext uri="{FF2B5EF4-FFF2-40B4-BE49-F238E27FC236}">
              <a16:creationId xmlns:a16="http://schemas.microsoft.com/office/drawing/2014/main" id="{00000000-0008-0000-0E00-0000D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4" name="Text Box 853">
          <a:extLst>
            <a:ext uri="{FF2B5EF4-FFF2-40B4-BE49-F238E27FC236}">
              <a16:creationId xmlns:a16="http://schemas.microsoft.com/office/drawing/2014/main" id="{00000000-0008-0000-0E00-0000D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5" name="Text Box 854">
          <a:extLst>
            <a:ext uri="{FF2B5EF4-FFF2-40B4-BE49-F238E27FC236}">
              <a16:creationId xmlns:a16="http://schemas.microsoft.com/office/drawing/2014/main" id="{00000000-0008-0000-0E00-0000D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6" name="Text Box 855">
          <a:extLst>
            <a:ext uri="{FF2B5EF4-FFF2-40B4-BE49-F238E27FC236}">
              <a16:creationId xmlns:a16="http://schemas.microsoft.com/office/drawing/2014/main" id="{00000000-0008-0000-0E00-0000D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7" name="Text Box 856">
          <a:extLst>
            <a:ext uri="{FF2B5EF4-FFF2-40B4-BE49-F238E27FC236}">
              <a16:creationId xmlns:a16="http://schemas.microsoft.com/office/drawing/2014/main" id="{00000000-0008-0000-0E00-0000D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8" name="Text Box 857">
          <a:extLst>
            <a:ext uri="{FF2B5EF4-FFF2-40B4-BE49-F238E27FC236}">
              <a16:creationId xmlns:a16="http://schemas.microsoft.com/office/drawing/2014/main" id="{00000000-0008-0000-0E00-0000D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59" name="Text Box 858">
          <a:extLst>
            <a:ext uri="{FF2B5EF4-FFF2-40B4-BE49-F238E27FC236}">
              <a16:creationId xmlns:a16="http://schemas.microsoft.com/office/drawing/2014/main" id="{00000000-0008-0000-0E00-0000D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0" name="Text Box 859">
          <a:extLst>
            <a:ext uri="{FF2B5EF4-FFF2-40B4-BE49-F238E27FC236}">
              <a16:creationId xmlns:a16="http://schemas.microsoft.com/office/drawing/2014/main" id="{00000000-0008-0000-0E00-0000E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1" name="Text Box 860">
          <a:extLst>
            <a:ext uri="{FF2B5EF4-FFF2-40B4-BE49-F238E27FC236}">
              <a16:creationId xmlns:a16="http://schemas.microsoft.com/office/drawing/2014/main" id="{00000000-0008-0000-0E00-0000E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2" name="Text Box 861">
          <a:extLst>
            <a:ext uri="{FF2B5EF4-FFF2-40B4-BE49-F238E27FC236}">
              <a16:creationId xmlns:a16="http://schemas.microsoft.com/office/drawing/2014/main" id="{00000000-0008-0000-0E00-0000E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3" name="Text Box 862">
          <a:extLst>
            <a:ext uri="{FF2B5EF4-FFF2-40B4-BE49-F238E27FC236}">
              <a16:creationId xmlns:a16="http://schemas.microsoft.com/office/drawing/2014/main" id="{00000000-0008-0000-0E00-0000E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4" name="Text Box 863">
          <a:extLst>
            <a:ext uri="{FF2B5EF4-FFF2-40B4-BE49-F238E27FC236}">
              <a16:creationId xmlns:a16="http://schemas.microsoft.com/office/drawing/2014/main" id="{00000000-0008-0000-0E00-0000E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5" name="Text Box 864">
          <a:extLst>
            <a:ext uri="{FF2B5EF4-FFF2-40B4-BE49-F238E27FC236}">
              <a16:creationId xmlns:a16="http://schemas.microsoft.com/office/drawing/2014/main" id="{00000000-0008-0000-0E00-0000E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6" name="Text Box 865">
          <a:extLst>
            <a:ext uri="{FF2B5EF4-FFF2-40B4-BE49-F238E27FC236}">
              <a16:creationId xmlns:a16="http://schemas.microsoft.com/office/drawing/2014/main" id="{00000000-0008-0000-0E00-0000E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7" name="Text Box 866">
          <a:extLst>
            <a:ext uri="{FF2B5EF4-FFF2-40B4-BE49-F238E27FC236}">
              <a16:creationId xmlns:a16="http://schemas.microsoft.com/office/drawing/2014/main" id="{00000000-0008-0000-0E00-0000E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8" name="Text Box 867">
          <a:extLst>
            <a:ext uri="{FF2B5EF4-FFF2-40B4-BE49-F238E27FC236}">
              <a16:creationId xmlns:a16="http://schemas.microsoft.com/office/drawing/2014/main" id="{00000000-0008-0000-0E00-0000E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69" name="Text Box 868">
          <a:extLst>
            <a:ext uri="{FF2B5EF4-FFF2-40B4-BE49-F238E27FC236}">
              <a16:creationId xmlns:a16="http://schemas.microsoft.com/office/drawing/2014/main" id="{00000000-0008-0000-0E00-0000E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0" name="Text Box 869">
          <a:extLst>
            <a:ext uri="{FF2B5EF4-FFF2-40B4-BE49-F238E27FC236}">
              <a16:creationId xmlns:a16="http://schemas.microsoft.com/office/drawing/2014/main" id="{00000000-0008-0000-0E00-0000E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1" name="Text Box 870">
          <a:extLst>
            <a:ext uri="{FF2B5EF4-FFF2-40B4-BE49-F238E27FC236}">
              <a16:creationId xmlns:a16="http://schemas.microsoft.com/office/drawing/2014/main" id="{00000000-0008-0000-0E00-0000E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2" name="Text Box 871">
          <a:extLst>
            <a:ext uri="{FF2B5EF4-FFF2-40B4-BE49-F238E27FC236}">
              <a16:creationId xmlns:a16="http://schemas.microsoft.com/office/drawing/2014/main" id="{00000000-0008-0000-0E00-0000E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3" name="Text Box 872">
          <a:extLst>
            <a:ext uri="{FF2B5EF4-FFF2-40B4-BE49-F238E27FC236}">
              <a16:creationId xmlns:a16="http://schemas.microsoft.com/office/drawing/2014/main" id="{00000000-0008-0000-0E00-0000E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4" name="Text Box 873">
          <a:extLst>
            <a:ext uri="{FF2B5EF4-FFF2-40B4-BE49-F238E27FC236}">
              <a16:creationId xmlns:a16="http://schemas.microsoft.com/office/drawing/2014/main" id="{00000000-0008-0000-0E00-0000E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5" name="Text Box 874">
          <a:extLst>
            <a:ext uri="{FF2B5EF4-FFF2-40B4-BE49-F238E27FC236}">
              <a16:creationId xmlns:a16="http://schemas.microsoft.com/office/drawing/2014/main" id="{00000000-0008-0000-0E00-0000E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6" name="Text Box 875">
          <a:extLst>
            <a:ext uri="{FF2B5EF4-FFF2-40B4-BE49-F238E27FC236}">
              <a16:creationId xmlns:a16="http://schemas.microsoft.com/office/drawing/2014/main" id="{00000000-0008-0000-0E00-0000F0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7" name="Text Box 876">
          <a:extLst>
            <a:ext uri="{FF2B5EF4-FFF2-40B4-BE49-F238E27FC236}">
              <a16:creationId xmlns:a16="http://schemas.microsoft.com/office/drawing/2014/main" id="{00000000-0008-0000-0E00-0000F1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8" name="Text Box 877">
          <a:extLst>
            <a:ext uri="{FF2B5EF4-FFF2-40B4-BE49-F238E27FC236}">
              <a16:creationId xmlns:a16="http://schemas.microsoft.com/office/drawing/2014/main" id="{00000000-0008-0000-0E00-0000F2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79" name="Text Box 878">
          <a:extLst>
            <a:ext uri="{FF2B5EF4-FFF2-40B4-BE49-F238E27FC236}">
              <a16:creationId xmlns:a16="http://schemas.microsoft.com/office/drawing/2014/main" id="{00000000-0008-0000-0E00-0000F3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0" name="Text Box 879">
          <a:extLst>
            <a:ext uri="{FF2B5EF4-FFF2-40B4-BE49-F238E27FC236}">
              <a16:creationId xmlns:a16="http://schemas.microsoft.com/office/drawing/2014/main" id="{00000000-0008-0000-0E00-0000F4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1" name="Text Box 880">
          <a:extLst>
            <a:ext uri="{FF2B5EF4-FFF2-40B4-BE49-F238E27FC236}">
              <a16:creationId xmlns:a16="http://schemas.microsoft.com/office/drawing/2014/main" id="{00000000-0008-0000-0E00-0000F5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2" name="Text Box 881">
          <a:extLst>
            <a:ext uri="{FF2B5EF4-FFF2-40B4-BE49-F238E27FC236}">
              <a16:creationId xmlns:a16="http://schemas.microsoft.com/office/drawing/2014/main" id="{00000000-0008-0000-0E00-0000F6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3" name="Text Box 882">
          <a:extLst>
            <a:ext uri="{FF2B5EF4-FFF2-40B4-BE49-F238E27FC236}">
              <a16:creationId xmlns:a16="http://schemas.microsoft.com/office/drawing/2014/main" id="{00000000-0008-0000-0E00-0000F7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4" name="Text Box 883">
          <a:extLst>
            <a:ext uri="{FF2B5EF4-FFF2-40B4-BE49-F238E27FC236}">
              <a16:creationId xmlns:a16="http://schemas.microsoft.com/office/drawing/2014/main" id="{00000000-0008-0000-0E00-0000F8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5" name="Text Box 884">
          <a:extLst>
            <a:ext uri="{FF2B5EF4-FFF2-40B4-BE49-F238E27FC236}">
              <a16:creationId xmlns:a16="http://schemas.microsoft.com/office/drawing/2014/main" id="{00000000-0008-0000-0E00-0000F9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6" name="Text Box 885">
          <a:extLst>
            <a:ext uri="{FF2B5EF4-FFF2-40B4-BE49-F238E27FC236}">
              <a16:creationId xmlns:a16="http://schemas.microsoft.com/office/drawing/2014/main" id="{00000000-0008-0000-0E00-0000FA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7" name="Text Box 886">
          <a:extLst>
            <a:ext uri="{FF2B5EF4-FFF2-40B4-BE49-F238E27FC236}">
              <a16:creationId xmlns:a16="http://schemas.microsoft.com/office/drawing/2014/main" id="{00000000-0008-0000-0E00-0000FB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8" name="Text Box 887">
          <a:extLst>
            <a:ext uri="{FF2B5EF4-FFF2-40B4-BE49-F238E27FC236}">
              <a16:creationId xmlns:a16="http://schemas.microsoft.com/office/drawing/2014/main" id="{00000000-0008-0000-0E00-0000FC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89" name="Text Box 888">
          <a:extLst>
            <a:ext uri="{FF2B5EF4-FFF2-40B4-BE49-F238E27FC236}">
              <a16:creationId xmlns:a16="http://schemas.microsoft.com/office/drawing/2014/main" id="{00000000-0008-0000-0E00-0000FD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0" name="Text Box 889">
          <a:extLst>
            <a:ext uri="{FF2B5EF4-FFF2-40B4-BE49-F238E27FC236}">
              <a16:creationId xmlns:a16="http://schemas.microsoft.com/office/drawing/2014/main" id="{00000000-0008-0000-0E00-0000FE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1" name="Text Box 890">
          <a:extLst>
            <a:ext uri="{FF2B5EF4-FFF2-40B4-BE49-F238E27FC236}">
              <a16:creationId xmlns:a16="http://schemas.microsoft.com/office/drawing/2014/main" id="{00000000-0008-0000-0E00-0000FF06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2" name="Text Box 891">
          <a:extLst>
            <a:ext uri="{FF2B5EF4-FFF2-40B4-BE49-F238E27FC236}">
              <a16:creationId xmlns:a16="http://schemas.microsoft.com/office/drawing/2014/main" id="{00000000-0008-0000-0E00-000000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3" name="Text Box 892">
          <a:extLst>
            <a:ext uri="{FF2B5EF4-FFF2-40B4-BE49-F238E27FC236}">
              <a16:creationId xmlns:a16="http://schemas.microsoft.com/office/drawing/2014/main" id="{00000000-0008-0000-0E00-000001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4" name="Text Box 893">
          <a:extLst>
            <a:ext uri="{FF2B5EF4-FFF2-40B4-BE49-F238E27FC236}">
              <a16:creationId xmlns:a16="http://schemas.microsoft.com/office/drawing/2014/main" id="{00000000-0008-0000-0E00-000002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5" name="Text Box 894">
          <a:extLst>
            <a:ext uri="{FF2B5EF4-FFF2-40B4-BE49-F238E27FC236}">
              <a16:creationId xmlns:a16="http://schemas.microsoft.com/office/drawing/2014/main" id="{00000000-0008-0000-0E00-000003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6" name="Text Box 895">
          <a:extLst>
            <a:ext uri="{FF2B5EF4-FFF2-40B4-BE49-F238E27FC236}">
              <a16:creationId xmlns:a16="http://schemas.microsoft.com/office/drawing/2014/main" id="{00000000-0008-0000-0E00-000004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7" name="Text Box 896">
          <a:extLst>
            <a:ext uri="{FF2B5EF4-FFF2-40B4-BE49-F238E27FC236}">
              <a16:creationId xmlns:a16="http://schemas.microsoft.com/office/drawing/2014/main" id="{00000000-0008-0000-0E00-000005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8" name="Text Box 897">
          <a:extLst>
            <a:ext uri="{FF2B5EF4-FFF2-40B4-BE49-F238E27FC236}">
              <a16:creationId xmlns:a16="http://schemas.microsoft.com/office/drawing/2014/main" id="{00000000-0008-0000-0E00-000006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799" name="Text Box 898">
          <a:extLst>
            <a:ext uri="{FF2B5EF4-FFF2-40B4-BE49-F238E27FC236}">
              <a16:creationId xmlns:a16="http://schemas.microsoft.com/office/drawing/2014/main" id="{00000000-0008-0000-0E00-000007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800" name="Text Box 899">
          <a:extLst>
            <a:ext uri="{FF2B5EF4-FFF2-40B4-BE49-F238E27FC236}">
              <a16:creationId xmlns:a16="http://schemas.microsoft.com/office/drawing/2014/main" id="{00000000-0008-0000-0E00-000008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twoCellAnchor editAs="oneCell">
    <xdr:from>
      <xdr:col>2</xdr:col>
      <xdr:colOff>0</xdr:colOff>
      <xdr:row>99</xdr:row>
      <xdr:rowOff>0</xdr:rowOff>
    </xdr:from>
    <xdr:to>
      <xdr:col>2</xdr:col>
      <xdr:colOff>76200</xdr:colOff>
      <xdr:row>100</xdr:row>
      <xdr:rowOff>38101</xdr:rowOff>
    </xdr:to>
    <xdr:sp macro="" textlink="">
      <xdr:nvSpPr>
        <xdr:cNvPr id="1801" name="Text Box 900">
          <a:extLst>
            <a:ext uri="{FF2B5EF4-FFF2-40B4-BE49-F238E27FC236}">
              <a16:creationId xmlns:a16="http://schemas.microsoft.com/office/drawing/2014/main" id="{00000000-0008-0000-0E00-000009070000}"/>
            </a:ext>
          </a:extLst>
        </xdr:cNvPr>
        <xdr:cNvSpPr txBox="1">
          <a:spLocks noChangeArrowheads="1"/>
        </xdr:cNvSpPr>
      </xdr:nvSpPr>
      <xdr:spPr bwMode="auto">
        <a:xfrm>
          <a:off x="4497457" y="24914087"/>
          <a:ext cx="76200" cy="203752"/>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223</xdr:row>
      <xdr:rowOff>0</xdr:rowOff>
    </xdr:from>
    <xdr:to>
      <xdr:col>4</xdr:col>
      <xdr:colOff>76200</xdr:colOff>
      <xdr:row>224</xdr:row>
      <xdr:rowOff>37145</xdr:rowOff>
    </xdr:to>
    <xdr:sp macro="" textlink="">
      <xdr:nvSpPr>
        <xdr:cNvPr id="2" name="Text Box 1">
          <a:extLst>
            <a:ext uri="{FF2B5EF4-FFF2-40B4-BE49-F238E27FC236}">
              <a16:creationId xmlns:a16="http://schemas.microsoft.com/office/drawing/2014/main" id="{00000000-0008-0000-0F00-00000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 name="Text Box 2">
          <a:extLst>
            <a:ext uri="{FF2B5EF4-FFF2-40B4-BE49-F238E27FC236}">
              <a16:creationId xmlns:a16="http://schemas.microsoft.com/office/drawing/2014/main" id="{00000000-0008-0000-0F00-00000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 name="Text Box 3">
          <a:extLst>
            <a:ext uri="{FF2B5EF4-FFF2-40B4-BE49-F238E27FC236}">
              <a16:creationId xmlns:a16="http://schemas.microsoft.com/office/drawing/2014/main" id="{00000000-0008-0000-0F00-00000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 name="Text Box 4">
          <a:extLst>
            <a:ext uri="{FF2B5EF4-FFF2-40B4-BE49-F238E27FC236}">
              <a16:creationId xmlns:a16="http://schemas.microsoft.com/office/drawing/2014/main" id="{00000000-0008-0000-0F00-00000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 name="Text Box 5">
          <a:extLst>
            <a:ext uri="{FF2B5EF4-FFF2-40B4-BE49-F238E27FC236}">
              <a16:creationId xmlns:a16="http://schemas.microsoft.com/office/drawing/2014/main" id="{00000000-0008-0000-0F00-00000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 name="Text Box 6">
          <a:extLst>
            <a:ext uri="{FF2B5EF4-FFF2-40B4-BE49-F238E27FC236}">
              <a16:creationId xmlns:a16="http://schemas.microsoft.com/office/drawing/2014/main" id="{00000000-0008-0000-0F00-00000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 name="Text Box 7">
          <a:extLst>
            <a:ext uri="{FF2B5EF4-FFF2-40B4-BE49-F238E27FC236}">
              <a16:creationId xmlns:a16="http://schemas.microsoft.com/office/drawing/2014/main" id="{00000000-0008-0000-0F00-00000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 name="Text Box 8">
          <a:extLst>
            <a:ext uri="{FF2B5EF4-FFF2-40B4-BE49-F238E27FC236}">
              <a16:creationId xmlns:a16="http://schemas.microsoft.com/office/drawing/2014/main" id="{00000000-0008-0000-0F00-00000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 name="Text Box 9">
          <a:extLst>
            <a:ext uri="{FF2B5EF4-FFF2-40B4-BE49-F238E27FC236}">
              <a16:creationId xmlns:a16="http://schemas.microsoft.com/office/drawing/2014/main" id="{00000000-0008-0000-0F00-00000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 name="Text Box 10">
          <a:extLst>
            <a:ext uri="{FF2B5EF4-FFF2-40B4-BE49-F238E27FC236}">
              <a16:creationId xmlns:a16="http://schemas.microsoft.com/office/drawing/2014/main" id="{00000000-0008-0000-0F00-00000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 name="Text Box 11">
          <a:extLst>
            <a:ext uri="{FF2B5EF4-FFF2-40B4-BE49-F238E27FC236}">
              <a16:creationId xmlns:a16="http://schemas.microsoft.com/office/drawing/2014/main" id="{00000000-0008-0000-0F00-00000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 name="Text Box 12">
          <a:extLst>
            <a:ext uri="{FF2B5EF4-FFF2-40B4-BE49-F238E27FC236}">
              <a16:creationId xmlns:a16="http://schemas.microsoft.com/office/drawing/2014/main" id="{00000000-0008-0000-0F00-00000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 name="Text Box 13">
          <a:extLst>
            <a:ext uri="{FF2B5EF4-FFF2-40B4-BE49-F238E27FC236}">
              <a16:creationId xmlns:a16="http://schemas.microsoft.com/office/drawing/2014/main" id="{00000000-0008-0000-0F00-00000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 name="Text Box 14">
          <a:extLst>
            <a:ext uri="{FF2B5EF4-FFF2-40B4-BE49-F238E27FC236}">
              <a16:creationId xmlns:a16="http://schemas.microsoft.com/office/drawing/2014/main" id="{00000000-0008-0000-0F00-00000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 name="Text Box 15">
          <a:extLst>
            <a:ext uri="{FF2B5EF4-FFF2-40B4-BE49-F238E27FC236}">
              <a16:creationId xmlns:a16="http://schemas.microsoft.com/office/drawing/2014/main" id="{00000000-0008-0000-0F00-00001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 name="Text Box 16">
          <a:extLst>
            <a:ext uri="{FF2B5EF4-FFF2-40B4-BE49-F238E27FC236}">
              <a16:creationId xmlns:a16="http://schemas.microsoft.com/office/drawing/2014/main" id="{00000000-0008-0000-0F00-00001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 name="Text Box 17">
          <a:extLst>
            <a:ext uri="{FF2B5EF4-FFF2-40B4-BE49-F238E27FC236}">
              <a16:creationId xmlns:a16="http://schemas.microsoft.com/office/drawing/2014/main" id="{00000000-0008-0000-0F00-00001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 name="Text Box 18">
          <a:extLst>
            <a:ext uri="{FF2B5EF4-FFF2-40B4-BE49-F238E27FC236}">
              <a16:creationId xmlns:a16="http://schemas.microsoft.com/office/drawing/2014/main" id="{00000000-0008-0000-0F00-00001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 name="Text Box 19">
          <a:extLst>
            <a:ext uri="{FF2B5EF4-FFF2-40B4-BE49-F238E27FC236}">
              <a16:creationId xmlns:a16="http://schemas.microsoft.com/office/drawing/2014/main" id="{00000000-0008-0000-0F00-00001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 name="Text Box 20">
          <a:extLst>
            <a:ext uri="{FF2B5EF4-FFF2-40B4-BE49-F238E27FC236}">
              <a16:creationId xmlns:a16="http://schemas.microsoft.com/office/drawing/2014/main" id="{00000000-0008-0000-0F00-00001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 name="Text Box 21">
          <a:extLst>
            <a:ext uri="{FF2B5EF4-FFF2-40B4-BE49-F238E27FC236}">
              <a16:creationId xmlns:a16="http://schemas.microsoft.com/office/drawing/2014/main" id="{00000000-0008-0000-0F00-00001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 name="Text Box 22">
          <a:extLst>
            <a:ext uri="{FF2B5EF4-FFF2-40B4-BE49-F238E27FC236}">
              <a16:creationId xmlns:a16="http://schemas.microsoft.com/office/drawing/2014/main" id="{00000000-0008-0000-0F00-00001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 name="Text Box 23">
          <a:extLst>
            <a:ext uri="{FF2B5EF4-FFF2-40B4-BE49-F238E27FC236}">
              <a16:creationId xmlns:a16="http://schemas.microsoft.com/office/drawing/2014/main" id="{00000000-0008-0000-0F00-00001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 name="Text Box 24">
          <a:extLst>
            <a:ext uri="{FF2B5EF4-FFF2-40B4-BE49-F238E27FC236}">
              <a16:creationId xmlns:a16="http://schemas.microsoft.com/office/drawing/2014/main" id="{00000000-0008-0000-0F00-00001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 name="Text Box 25">
          <a:extLst>
            <a:ext uri="{FF2B5EF4-FFF2-40B4-BE49-F238E27FC236}">
              <a16:creationId xmlns:a16="http://schemas.microsoft.com/office/drawing/2014/main" id="{00000000-0008-0000-0F00-00001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 name="Text Box 26">
          <a:extLst>
            <a:ext uri="{FF2B5EF4-FFF2-40B4-BE49-F238E27FC236}">
              <a16:creationId xmlns:a16="http://schemas.microsoft.com/office/drawing/2014/main" id="{00000000-0008-0000-0F00-00001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 name="Text Box 27">
          <a:extLst>
            <a:ext uri="{FF2B5EF4-FFF2-40B4-BE49-F238E27FC236}">
              <a16:creationId xmlns:a16="http://schemas.microsoft.com/office/drawing/2014/main" id="{00000000-0008-0000-0F00-00001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 name="Text Box 28">
          <a:extLst>
            <a:ext uri="{FF2B5EF4-FFF2-40B4-BE49-F238E27FC236}">
              <a16:creationId xmlns:a16="http://schemas.microsoft.com/office/drawing/2014/main" id="{00000000-0008-0000-0F00-00001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 name="Text Box 29">
          <a:extLst>
            <a:ext uri="{FF2B5EF4-FFF2-40B4-BE49-F238E27FC236}">
              <a16:creationId xmlns:a16="http://schemas.microsoft.com/office/drawing/2014/main" id="{00000000-0008-0000-0F00-00001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 name="Text Box 30">
          <a:extLst>
            <a:ext uri="{FF2B5EF4-FFF2-40B4-BE49-F238E27FC236}">
              <a16:creationId xmlns:a16="http://schemas.microsoft.com/office/drawing/2014/main" id="{00000000-0008-0000-0F00-00001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 name="Text Box 31">
          <a:extLst>
            <a:ext uri="{FF2B5EF4-FFF2-40B4-BE49-F238E27FC236}">
              <a16:creationId xmlns:a16="http://schemas.microsoft.com/office/drawing/2014/main" id="{00000000-0008-0000-0F00-00002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 name="Text Box 32">
          <a:extLst>
            <a:ext uri="{FF2B5EF4-FFF2-40B4-BE49-F238E27FC236}">
              <a16:creationId xmlns:a16="http://schemas.microsoft.com/office/drawing/2014/main" id="{00000000-0008-0000-0F00-00002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 name="Text Box 33">
          <a:extLst>
            <a:ext uri="{FF2B5EF4-FFF2-40B4-BE49-F238E27FC236}">
              <a16:creationId xmlns:a16="http://schemas.microsoft.com/office/drawing/2014/main" id="{00000000-0008-0000-0F00-00002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 name="Text Box 34">
          <a:extLst>
            <a:ext uri="{FF2B5EF4-FFF2-40B4-BE49-F238E27FC236}">
              <a16:creationId xmlns:a16="http://schemas.microsoft.com/office/drawing/2014/main" id="{00000000-0008-0000-0F00-00002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 name="Text Box 35">
          <a:extLst>
            <a:ext uri="{FF2B5EF4-FFF2-40B4-BE49-F238E27FC236}">
              <a16:creationId xmlns:a16="http://schemas.microsoft.com/office/drawing/2014/main" id="{00000000-0008-0000-0F00-00002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 name="Text Box 36">
          <a:extLst>
            <a:ext uri="{FF2B5EF4-FFF2-40B4-BE49-F238E27FC236}">
              <a16:creationId xmlns:a16="http://schemas.microsoft.com/office/drawing/2014/main" id="{00000000-0008-0000-0F00-00002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 name="Text Box 37">
          <a:extLst>
            <a:ext uri="{FF2B5EF4-FFF2-40B4-BE49-F238E27FC236}">
              <a16:creationId xmlns:a16="http://schemas.microsoft.com/office/drawing/2014/main" id="{00000000-0008-0000-0F00-00002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 name="Text Box 38">
          <a:extLst>
            <a:ext uri="{FF2B5EF4-FFF2-40B4-BE49-F238E27FC236}">
              <a16:creationId xmlns:a16="http://schemas.microsoft.com/office/drawing/2014/main" id="{00000000-0008-0000-0F00-00002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 name="Text Box 39">
          <a:extLst>
            <a:ext uri="{FF2B5EF4-FFF2-40B4-BE49-F238E27FC236}">
              <a16:creationId xmlns:a16="http://schemas.microsoft.com/office/drawing/2014/main" id="{00000000-0008-0000-0F00-00002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 name="Text Box 40">
          <a:extLst>
            <a:ext uri="{FF2B5EF4-FFF2-40B4-BE49-F238E27FC236}">
              <a16:creationId xmlns:a16="http://schemas.microsoft.com/office/drawing/2014/main" id="{00000000-0008-0000-0F00-00002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 name="Text Box 41">
          <a:extLst>
            <a:ext uri="{FF2B5EF4-FFF2-40B4-BE49-F238E27FC236}">
              <a16:creationId xmlns:a16="http://schemas.microsoft.com/office/drawing/2014/main" id="{00000000-0008-0000-0F00-00002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 name="Text Box 42">
          <a:extLst>
            <a:ext uri="{FF2B5EF4-FFF2-40B4-BE49-F238E27FC236}">
              <a16:creationId xmlns:a16="http://schemas.microsoft.com/office/drawing/2014/main" id="{00000000-0008-0000-0F00-00002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 name="Text Box 43">
          <a:extLst>
            <a:ext uri="{FF2B5EF4-FFF2-40B4-BE49-F238E27FC236}">
              <a16:creationId xmlns:a16="http://schemas.microsoft.com/office/drawing/2014/main" id="{00000000-0008-0000-0F00-00002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 name="Text Box 44">
          <a:extLst>
            <a:ext uri="{FF2B5EF4-FFF2-40B4-BE49-F238E27FC236}">
              <a16:creationId xmlns:a16="http://schemas.microsoft.com/office/drawing/2014/main" id="{00000000-0008-0000-0F00-00002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 name="Text Box 45">
          <a:extLst>
            <a:ext uri="{FF2B5EF4-FFF2-40B4-BE49-F238E27FC236}">
              <a16:creationId xmlns:a16="http://schemas.microsoft.com/office/drawing/2014/main" id="{00000000-0008-0000-0F00-00002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 name="Text Box 46">
          <a:extLst>
            <a:ext uri="{FF2B5EF4-FFF2-40B4-BE49-F238E27FC236}">
              <a16:creationId xmlns:a16="http://schemas.microsoft.com/office/drawing/2014/main" id="{00000000-0008-0000-0F00-00002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 name="Text Box 47">
          <a:extLst>
            <a:ext uri="{FF2B5EF4-FFF2-40B4-BE49-F238E27FC236}">
              <a16:creationId xmlns:a16="http://schemas.microsoft.com/office/drawing/2014/main" id="{00000000-0008-0000-0F00-00003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 name="Text Box 48">
          <a:extLst>
            <a:ext uri="{FF2B5EF4-FFF2-40B4-BE49-F238E27FC236}">
              <a16:creationId xmlns:a16="http://schemas.microsoft.com/office/drawing/2014/main" id="{00000000-0008-0000-0F00-00003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 name="Text Box 49">
          <a:extLst>
            <a:ext uri="{FF2B5EF4-FFF2-40B4-BE49-F238E27FC236}">
              <a16:creationId xmlns:a16="http://schemas.microsoft.com/office/drawing/2014/main" id="{00000000-0008-0000-0F00-00003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 name="Text Box 50">
          <a:extLst>
            <a:ext uri="{FF2B5EF4-FFF2-40B4-BE49-F238E27FC236}">
              <a16:creationId xmlns:a16="http://schemas.microsoft.com/office/drawing/2014/main" id="{00000000-0008-0000-0F00-00003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 name="Text Box 51">
          <a:extLst>
            <a:ext uri="{FF2B5EF4-FFF2-40B4-BE49-F238E27FC236}">
              <a16:creationId xmlns:a16="http://schemas.microsoft.com/office/drawing/2014/main" id="{00000000-0008-0000-0F00-00003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 name="Text Box 52">
          <a:extLst>
            <a:ext uri="{FF2B5EF4-FFF2-40B4-BE49-F238E27FC236}">
              <a16:creationId xmlns:a16="http://schemas.microsoft.com/office/drawing/2014/main" id="{00000000-0008-0000-0F00-00003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 name="Text Box 53">
          <a:extLst>
            <a:ext uri="{FF2B5EF4-FFF2-40B4-BE49-F238E27FC236}">
              <a16:creationId xmlns:a16="http://schemas.microsoft.com/office/drawing/2014/main" id="{00000000-0008-0000-0F00-00003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 name="Text Box 54">
          <a:extLst>
            <a:ext uri="{FF2B5EF4-FFF2-40B4-BE49-F238E27FC236}">
              <a16:creationId xmlns:a16="http://schemas.microsoft.com/office/drawing/2014/main" id="{00000000-0008-0000-0F00-00003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 name="Text Box 55">
          <a:extLst>
            <a:ext uri="{FF2B5EF4-FFF2-40B4-BE49-F238E27FC236}">
              <a16:creationId xmlns:a16="http://schemas.microsoft.com/office/drawing/2014/main" id="{00000000-0008-0000-0F00-00003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 name="Text Box 56">
          <a:extLst>
            <a:ext uri="{FF2B5EF4-FFF2-40B4-BE49-F238E27FC236}">
              <a16:creationId xmlns:a16="http://schemas.microsoft.com/office/drawing/2014/main" id="{00000000-0008-0000-0F00-00003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 name="Text Box 57">
          <a:extLst>
            <a:ext uri="{FF2B5EF4-FFF2-40B4-BE49-F238E27FC236}">
              <a16:creationId xmlns:a16="http://schemas.microsoft.com/office/drawing/2014/main" id="{00000000-0008-0000-0F00-00003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 name="Text Box 58">
          <a:extLst>
            <a:ext uri="{FF2B5EF4-FFF2-40B4-BE49-F238E27FC236}">
              <a16:creationId xmlns:a16="http://schemas.microsoft.com/office/drawing/2014/main" id="{00000000-0008-0000-0F00-00003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 name="Text Box 59">
          <a:extLst>
            <a:ext uri="{FF2B5EF4-FFF2-40B4-BE49-F238E27FC236}">
              <a16:creationId xmlns:a16="http://schemas.microsoft.com/office/drawing/2014/main" id="{00000000-0008-0000-0F00-00003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 name="Text Box 60">
          <a:extLst>
            <a:ext uri="{FF2B5EF4-FFF2-40B4-BE49-F238E27FC236}">
              <a16:creationId xmlns:a16="http://schemas.microsoft.com/office/drawing/2014/main" id="{00000000-0008-0000-0F00-00003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 name="Text Box 61">
          <a:extLst>
            <a:ext uri="{FF2B5EF4-FFF2-40B4-BE49-F238E27FC236}">
              <a16:creationId xmlns:a16="http://schemas.microsoft.com/office/drawing/2014/main" id="{00000000-0008-0000-0F00-00003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 name="Text Box 62">
          <a:extLst>
            <a:ext uri="{FF2B5EF4-FFF2-40B4-BE49-F238E27FC236}">
              <a16:creationId xmlns:a16="http://schemas.microsoft.com/office/drawing/2014/main" id="{00000000-0008-0000-0F00-00003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 name="Text Box 63">
          <a:extLst>
            <a:ext uri="{FF2B5EF4-FFF2-40B4-BE49-F238E27FC236}">
              <a16:creationId xmlns:a16="http://schemas.microsoft.com/office/drawing/2014/main" id="{00000000-0008-0000-0F00-00004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 name="Text Box 64">
          <a:extLst>
            <a:ext uri="{FF2B5EF4-FFF2-40B4-BE49-F238E27FC236}">
              <a16:creationId xmlns:a16="http://schemas.microsoft.com/office/drawing/2014/main" id="{00000000-0008-0000-0F00-00004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 name="Text Box 65">
          <a:extLst>
            <a:ext uri="{FF2B5EF4-FFF2-40B4-BE49-F238E27FC236}">
              <a16:creationId xmlns:a16="http://schemas.microsoft.com/office/drawing/2014/main" id="{00000000-0008-0000-0F00-00004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 name="Text Box 66">
          <a:extLst>
            <a:ext uri="{FF2B5EF4-FFF2-40B4-BE49-F238E27FC236}">
              <a16:creationId xmlns:a16="http://schemas.microsoft.com/office/drawing/2014/main" id="{00000000-0008-0000-0F00-00004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 name="Text Box 67">
          <a:extLst>
            <a:ext uri="{FF2B5EF4-FFF2-40B4-BE49-F238E27FC236}">
              <a16:creationId xmlns:a16="http://schemas.microsoft.com/office/drawing/2014/main" id="{00000000-0008-0000-0F00-00004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 name="Text Box 68">
          <a:extLst>
            <a:ext uri="{FF2B5EF4-FFF2-40B4-BE49-F238E27FC236}">
              <a16:creationId xmlns:a16="http://schemas.microsoft.com/office/drawing/2014/main" id="{00000000-0008-0000-0F00-00004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 name="Text Box 69">
          <a:extLst>
            <a:ext uri="{FF2B5EF4-FFF2-40B4-BE49-F238E27FC236}">
              <a16:creationId xmlns:a16="http://schemas.microsoft.com/office/drawing/2014/main" id="{00000000-0008-0000-0F00-00004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 name="Text Box 70">
          <a:extLst>
            <a:ext uri="{FF2B5EF4-FFF2-40B4-BE49-F238E27FC236}">
              <a16:creationId xmlns:a16="http://schemas.microsoft.com/office/drawing/2014/main" id="{00000000-0008-0000-0F00-00004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 name="Text Box 71">
          <a:extLst>
            <a:ext uri="{FF2B5EF4-FFF2-40B4-BE49-F238E27FC236}">
              <a16:creationId xmlns:a16="http://schemas.microsoft.com/office/drawing/2014/main" id="{00000000-0008-0000-0F00-00004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 name="Text Box 72">
          <a:extLst>
            <a:ext uri="{FF2B5EF4-FFF2-40B4-BE49-F238E27FC236}">
              <a16:creationId xmlns:a16="http://schemas.microsoft.com/office/drawing/2014/main" id="{00000000-0008-0000-0F00-00004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 name="Text Box 73">
          <a:extLst>
            <a:ext uri="{FF2B5EF4-FFF2-40B4-BE49-F238E27FC236}">
              <a16:creationId xmlns:a16="http://schemas.microsoft.com/office/drawing/2014/main" id="{00000000-0008-0000-0F00-00004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 name="Text Box 74">
          <a:extLst>
            <a:ext uri="{FF2B5EF4-FFF2-40B4-BE49-F238E27FC236}">
              <a16:creationId xmlns:a16="http://schemas.microsoft.com/office/drawing/2014/main" id="{00000000-0008-0000-0F00-00004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 name="Text Box 75">
          <a:extLst>
            <a:ext uri="{FF2B5EF4-FFF2-40B4-BE49-F238E27FC236}">
              <a16:creationId xmlns:a16="http://schemas.microsoft.com/office/drawing/2014/main" id="{00000000-0008-0000-0F00-00004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 name="Text Box 76">
          <a:extLst>
            <a:ext uri="{FF2B5EF4-FFF2-40B4-BE49-F238E27FC236}">
              <a16:creationId xmlns:a16="http://schemas.microsoft.com/office/drawing/2014/main" id="{00000000-0008-0000-0F00-00004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 name="Text Box 77">
          <a:extLst>
            <a:ext uri="{FF2B5EF4-FFF2-40B4-BE49-F238E27FC236}">
              <a16:creationId xmlns:a16="http://schemas.microsoft.com/office/drawing/2014/main" id="{00000000-0008-0000-0F00-00004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 name="Text Box 78">
          <a:extLst>
            <a:ext uri="{FF2B5EF4-FFF2-40B4-BE49-F238E27FC236}">
              <a16:creationId xmlns:a16="http://schemas.microsoft.com/office/drawing/2014/main" id="{00000000-0008-0000-0F00-00004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 name="Text Box 79">
          <a:extLst>
            <a:ext uri="{FF2B5EF4-FFF2-40B4-BE49-F238E27FC236}">
              <a16:creationId xmlns:a16="http://schemas.microsoft.com/office/drawing/2014/main" id="{00000000-0008-0000-0F00-00005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 name="Text Box 80">
          <a:extLst>
            <a:ext uri="{FF2B5EF4-FFF2-40B4-BE49-F238E27FC236}">
              <a16:creationId xmlns:a16="http://schemas.microsoft.com/office/drawing/2014/main" id="{00000000-0008-0000-0F00-00005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 name="Text Box 81">
          <a:extLst>
            <a:ext uri="{FF2B5EF4-FFF2-40B4-BE49-F238E27FC236}">
              <a16:creationId xmlns:a16="http://schemas.microsoft.com/office/drawing/2014/main" id="{00000000-0008-0000-0F00-00005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 name="Text Box 82">
          <a:extLst>
            <a:ext uri="{FF2B5EF4-FFF2-40B4-BE49-F238E27FC236}">
              <a16:creationId xmlns:a16="http://schemas.microsoft.com/office/drawing/2014/main" id="{00000000-0008-0000-0F00-00005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 name="Text Box 83">
          <a:extLst>
            <a:ext uri="{FF2B5EF4-FFF2-40B4-BE49-F238E27FC236}">
              <a16:creationId xmlns:a16="http://schemas.microsoft.com/office/drawing/2014/main" id="{00000000-0008-0000-0F00-00005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 name="Text Box 84">
          <a:extLst>
            <a:ext uri="{FF2B5EF4-FFF2-40B4-BE49-F238E27FC236}">
              <a16:creationId xmlns:a16="http://schemas.microsoft.com/office/drawing/2014/main" id="{00000000-0008-0000-0F00-00005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 name="Text Box 85">
          <a:extLst>
            <a:ext uri="{FF2B5EF4-FFF2-40B4-BE49-F238E27FC236}">
              <a16:creationId xmlns:a16="http://schemas.microsoft.com/office/drawing/2014/main" id="{00000000-0008-0000-0F00-00005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 name="Text Box 86">
          <a:extLst>
            <a:ext uri="{FF2B5EF4-FFF2-40B4-BE49-F238E27FC236}">
              <a16:creationId xmlns:a16="http://schemas.microsoft.com/office/drawing/2014/main" id="{00000000-0008-0000-0F00-00005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 name="Text Box 87">
          <a:extLst>
            <a:ext uri="{FF2B5EF4-FFF2-40B4-BE49-F238E27FC236}">
              <a16:creationId xmlns:a16="http://schemas.microsoft.com/office/drawing/2014/main" id="{00000000-0008-0000-0F00-00005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 name="Text Box 88">
          <a:extLst>
            <a:ext uri="{FF2B5EF4-FFF2-40B4-BE49-F238E27FC236}">
              <a16:creationId xmlns:a16="http://schemas.microsoft.com/office/drawing/2014/main" id="{00000000-0008-0000-0F00-00005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0" name="Text Box 89">
          <a:extLst>
            <a:ext uri="{FF2B5EF4-FFF2-40B4-BE49-F238E27FC236}">
              <a16:creationId xmlns:a16="http://schemas.microsoft.com/office/drawing/2014/main" id="{00000000-0008-0000-0F00-00005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1" name="Text Box 90">
          <a:extLst>
            <a:ext uri="{FF2B5EF4-FFF2-40B4-BE49-F238E27FC236}">
              <a16:creationId xmlns:a16="http://schemas.microsoft.com/office/drawing/2014/main" id="{00000000-0008-0000-0F00-00005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2" name="Text Box 91">
          <a:extLst>
            <a:ext uri="{FF2B5EF4-FFF2-40B4-BE49-F238E27FC236}">
              <a16:creationId xmlns:a16="http://schemas.microsoft.com/office/drawing/2014/main" id="{00000000-0008-0000-0F00-00005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3" name="Text Box 92">
          <a:extLst>
            <a:ext uri="{FF2B5EF4-FFF2-40B4-BE49-F238E27FC236}">
              <a16:creationId xmlns:a16="http://schemas.microsoft.com/office/drawing/2014/main" id="{00000000-0008-0000-0F00-00005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4" name="Text Box 93">
          <a:extLst>
            <a:ext uri="{FF2B5EF4-FFF2-40B4-BE49-F238E27FC236}">
              <a16:creationId xmlns:a16="http://schemas.microsoft.com/office/drawing/2014/main" id="{00000000-0008-0000-0F00-00005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5" name="Text Box 94">
          <a:extLst>
            <a:ext uri="{FF2B5EF4-FFF2-40B4-BE49-F238E27FC236}">
              <a16:creationId xmlns:a16="http://schemas.microsoft.com/office/drawing/2014/main" id="{00000000-0008-0000-0F00-00005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6" name="Text Box 95">
          <a:extLst>
            <a:ext uri="{FF2B5EF4-FFF2-40B4-BE49-F238E27FC236}">
              <a16:creationId xmlns:a16="http://schemas.microsoft.com/office/drawing/2014/main" id="{00000000-0008-0000-0F00-00006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7" name="Text Box 96">
          <a:extLst>
            <a:ext uri="{FF2B5EF4-FFF2-40B4-BE49-F238E27FC236}">
              <a16:creationId xmlns:a16="http://schemas.microsoft.com/office/drawing/2014/main" id="{00000000-0008-0000-0F00-00006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8" name="Text Box 97">
          <a:extLst>
            <a:ext uri="{FF2B5EF4-FFF2-40B4-BE49-F238E27FC236}">
              <a16:creationId xmlns:a16="http://schemas.microsoft.com/office/drawing/2014/main" id="{00000000-0008-0000-0F00-00006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9" name="Text Box 98">
          <a:extLst>
            <a:ext uri="{FF2B5EF4-FFF2-40B4-BE49-F238E27FC236}">
              <a16:creationId xmlns:a16="http://schemas.microsoft.com/office/drawing/2014/main" id="{00000000-0008-0000-0F00-00006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0" name="Text Box 99">
          <a:extLst>
            <a:ext uri="{FF2B5EF4-FFF2-40B4-BE49-F238E27FC236}">
              <a16:creationId xmlns:a16="http://schemas.microsoft.com/office/drawing/2014/main" id="{00000000-0008-0000-0F00-00006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1" name="Text Box 100">
          <a:extLst>
            <a:ext uri="{FF2B5EF4-FFF2-40B4-BE49-F238E27FC236}">
              <a16:creationId xmlns:a16="http://schemas.microsoft.com/office/drawing/2014/main" id="{00000000-0008-0000-0F00-00006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2" name="Text Box 101">
          <a:extLst>
            <a:ext uri="{FF2B5EF4-FFF2-40B4-BE49-F238E27FC236}">
              <a16:creationId xmlns:a16="http://schemas.microsoft.com/office/drawing/2014/main" id="{00000000-0008-0000-0F00-00006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3" name="Text Box 102">
          <a:extLst>
            <a:ext uri="{FF2B5EF4-FFF2-40B4-BE49-F238E27FC236}">
              <a16:creationId xmlns:a16="http://schemas.microsoft.com/office/drawing/2014/main" id="{00000000-0008-0000-0F00-00006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4" name="Text Box 103">
          <a:extLst>
            <a:ext uri="{FF2B5EF4-FFF2-40B4-BE49-F238E27FC236}">
              <a16:creationId xmlns:a16="http://schemas.microsoft.com/office/drawing/2014/main" id="{00000000-0008-0000-0F00-00006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5" name="Text Box 104">
          <a:extLst>
            <a:ext uri="{FF2B5EF4-FFF2-40B4-BE49-F238E27FC236}">
              <a16:creationId xmlns:a16="http://schemas.microsoft.com/office/drawing/2014/main" id="{00000000-0008-0000-0F00-00006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6" name="Text Box 105">
          <a:extLst>
            <a:ext uri="{FF2B5EF4-FFF2-40B4-BE49-F238E27FC236}">
              <a16:creationId xmlns:a16="http://schemas.microsoft.com/office/drawing/2014/main" id="{00000000-0008-0000-0F00-00006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7" name="Text Box 106">
          <a:extLst>
            <a:ext uri="{FF2B5EF4-FFF2-40B4-BE49-F238E27FC236}">
              <a16:creationId xmlns:a16="http://schemas.microsoft.com/office/drawing/2014/main" id="{00000000-0008-0000-0F00-00006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8" name="Text Box 107">
          <a:extLst>
            <a:ext uri="{FF2B5EF4-FFF2-40B4-BE49-F238E27FC236}">
              <a16:creationId xmlns:a16="http://schemas.microsoft.com/office/drawing/2014/main" id="{00000000-0008-0000-0F00-00006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09" name="Text Box 108">
          <a:extLst>
            <a:ext uri="{FF2B5EF4-FFF2-40B4-BE49-F238E27FC236}">
              <a16:creationId xmlns:a16="http://schemas.microsoft.com/office/drawing/2014/main" id="{00000000-0008-0000-0F00-00006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0" name="Text Box 109">
          <a:extLst>
            <a:ext uri="{FF2B5EF4-FFF2-40B4-BE49-F238E27FC236}">
              <a16:creationId xmlns:a16="http://schemas.microsoft.com/office/drawing/2014/main" id="{00000000-0008-0000-0F00-00006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1" name="Text Box 110">
          <a:extLst>
            <a:ext uri="{FF2B5EF4-FFF2-40B4-BE49-F238E27FC236}">
              <a16:creationId xmlns:a16="http://schemas.microsoft.com/office/drawing/2014/main" id="{00000000-0008-0000-0F00-00006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2" name="Text Box 111">
          <a:extLst>
            <a:ext uri="{FF2B5EF4-FFF2-40B4-BE49-F238E27FC236}">
              <a16:creationId xmlns:a16="http://schemas.microsoft.com/office/drawing/2014/main" id="{00000000-0008-0000-0F00-00007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3" name="Text Box 112">
          <a:extLst>
            <a:ext uri="{FF2B5EF4-FFF2-40B4-BE49-F238E27FC236}">
              <a16:creationId xmlns:a16="http://schemas.microsoft.com/office/drawing/2014/main" id="{00000000-0008-0000-0F00-00007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4" name="Text Box 113">
          <a:extLst>
            <a:ext uri="{FF2B5EF4-FFF2-40B4-BE49-F238E27FC236}">
              <a16:creationId xmlns:a16="http://schemas.microsoft.com/office/drawing/2014/main" id="{00000000-0008-0000-0F00-00007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5" name="Text Box 114">
          <a:extLst>
            <a:ext uri="{FF2B5EF4-FFF2-40B4-BE49-F238E27FC236}">
              <a16:creationId xmlns:a16="http://schemas.microsoft.com/office/drawing/2014/main" id="{00000000-0008-0000-0F00-00007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6" name="Text Box 115">
          <a:extLst>
            <a:ext uri="{FF2B5EF4-FFF2-40B4-BE49-F238E27FC236}">
              <a16:creationId xmlns:a16="http://schemas.microsoft.com/office/drawing/2014/main" id="{00000000-0008-0000-0F00-00007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7" name="Text Box 116">
          <a:extLst>
            <a:ext uri="{FF2B5EF4-FFF2-40B4-BE49-F238E27FC236}">
              <a16:creationId xmlns:a16="http://schemas.microsoft.com/office/drawing/2014/main" id="{00000000-0008-0000-0F00-00007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8" name="Text Box 117">
          <a:extLst>
            <a:ext uri="{FF2B5EF4-FFF2-40B4-BE49-F238E27FC236}">
              <a16:creationId xmlns:a16="http://schemas.microsoft.com/office/drawing/2014/main" id="{00000000-0008-0000-0F00-00007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19" name="Text Box 118">
          <a:extLst>
            <a:ext uri="{FF2B5EF4-FFF2-40B4-BE49-F238E27FC236}">
              <a16:creationId xmlns:a16="http://schemas.microsoft.com/office/drawing/2014/main" id="{00000000-0008-0000-0F00-00007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0" name="Text Box 119">
          <a:extLst>
            <a:ext uri="{FF2B5EF4-FFF2-40B4-BE49-F238E27FC236}">
              <a16:creationId xmlns:a16="http://schemas.microsoft.com/office/drawing/2014/main" id="{00000000-0008-0000-0F00-00007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1" name="Text Box 120">
          <a:extLst>
            <a:ext uri="{FF2B5EF4-FFF2-40B4-BE49-F238E27FC236}">
              <a16:creationId xmlns:a16="http://schemas.microsoft.com/office/drawing/2014/main" id="{00000000-0008-0000-0F00-00007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2" name="Text Box 121">
          <a:extLst>
            <a:ext uri="{FF2B5EF4-FFF2-40B4-BE49-F238E27FC236}">
              <a16:creationId xmlns:a16="http://schemas.microsoft.com/office/drawing/2014/main" id="{00000000-0008-0000-0F00-00007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3" name="Text Box 122">
          <a:extLst>
            <a:ext uri="{FF2B5EF4-FFF2-40B4-BE49-F238E27FC236}">
              <a16:creationId xmlns:a16="http://schemas.microsoft.com/office/drawing/2014/main" id="{00000000-0008-0000-0F00-00007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4" name="Text Box 123">
          <a:extLst>
            <a:ext uri="{FF2B5EF4-FFF2-40B4-BE49-F238E27FC236}">
              <a16:creationId xmlns:a16="http://schemas.microsoft.com/office/drawing/2014/main" id="{00000000-0008-0000-0F00-00007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5" name="Text Box 124">
          <a:extLst>
            <a:ext uri="{FF2B5EF4-FFF2-40B4-BE49-F238E27FC236}">
              <a16:creationId xmlns:a16="http://schemas.microsoft.com/office/drawing/2014/main" id="{00000000-0008-0000-0F00-00007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6" name="Text Box 125">
          <a:extLst>
            <a:ext uri="{FF2B5EF4-FFF2-40B4-BE49-F238E27FC236}">
              <a16:creationId xmlns:a16="http://schemas.microsoft.com/office/drawing/2014/main" id="{00000000-0008-0000-0F00-00007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7" name="Text Box 126">
          <a:extLst>
            <a:ext uri="{FF2B5EF4-FFF2-40B4-BE49-F238E27FC236}">
              <a16:creationId xmlns:a16="http://schemas.microsoft.com/office/drawing/2014/main" id="{00000000-0008-0000-0F00-00007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8" name="Text Box 127">
          <a:extLst>
            <a:ext uri="{FF2B5EF4-FFF2-40B4-BE49-F238E27FC236}">
              <a16:creationId xmlns:a16="http://schemas.microsoft.com/office/drawing/2014/main" id="{00000000-0008-0000-0F00-00008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29" name="Text Box 128">
          <a:extLst>
            <a:ext uri="{FF2B5EF4-FFF2-40B4-BE49-F238E27FC236}">
              <a16:creationId xmlns:a16="http://schemas.microsoft.com/office/drawing/2014/main" id="{00000000-0008-0000-0F00-00008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0" name="Text Box 129">
          <a:extLst>
            <a:ext uri="{FF2B5EF4-FFF2-40B4-BE49-F238E27FC236}">
              <a16:creationId xmlns:a16="http://schemas.microsoft.com/office/drawing/2014/main" id="{00000000-0008-0000-0F00-00008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1" name="Text Box 130">
          <a:extLst>
            <a:ext uri="{FF2B5EF4-FFF2-40B4-BE49-F238E27FC236}">
              <a16:creationId xmlns:a16="http://schemas.microsoft.com/office/drawing/2014/main" id="{00000000-0008-0000-0F00-00008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2" name="Text Box 131">
          <a:extLst>
            <a:ext uri="{FF2B5EF4-FFF2-40B4-BE49-F238E27FC236}">
              <a16:creationId xmlns:a16="http://schemas.microsoft.com/office/drawing/2014/main" id="{00000000-0008-0000-0F00-00008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3" name="Text Box 132">
          <a:extLst>
            <a:ext uri="{FF2B5EF4-FFF2-40B4-BE49-F238E27FC236}">
              <a16:creationId xmlns:a16="http://schemas.microsoft.com/office/drawing/2014/main" id="{00000000-0008-0000-0F00-00008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4" name="Text Box 133">
          <a:extLst>
            <a:ext uri="{FF2B5EF4-FFF2-40B4-BE49-F238E27FC236}">
              <a16:creationId xmlns:a16="http://schemas.microsoft.com/office/drawing/2014/main" id="{00000000-0008-0000-0F00-00008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5" name="Text Box 134">
          <a:extLst>
            <a:ext uri="{FF2B5EF4-FFF2-40B4-BE49-F238E27FC236}">
              <a16:creationId xmlns:a16="http://schemas.microsoft.com/office/drawing/2014/main" id="{00000000-0008-0000-0F00-00008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6" name="Text Box 135">
          <a:extLst>
            <a:ext uri="{FF2B5EF4-FFF2-40B4-BE49-F238E27FC236}">
              <a16:creationId xmlns:a16="http://schemas.microsoft.com/office/drawing/2014/main" id="{00000000-0008-0000-0F00-00008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7" name="Text Box 136">
          <a:extLst>
            <a:ext uri="{FF2B5EF4-FFF2-40B4-BE49-F238E27FC236}">
              <a16:creationId xmlns:a16="http://schemas.microsoft.com/office/drawing/2014/main" id="{00000000-0008-0000-0F00-00008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8" name="Text Box 137">
          <a:extLst>
            <a:ext uri="{FF2B5EF4-FFF2-40B4-BE49-F238E27FC236}">
              <a16:creationId xmlns:a16="http://schemas.microsoft.com/office/drawing/2014/main" id="{00000000-0008-0000-0F00-00008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39" name="Text Box 138">
          <a:extLst>
            <a:ext uri="{FF2B5EF4-FFF2-40B4-BE49-F238E27FC236}">
              <a16:creationId xmlns:a16="http://schemas.microsoft.com/office/drawing/2014/main" id="{00000000-0008-0000-0F00-00008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0" name="Text Box 139">
          <a:extLst>
            <a:ext uri="{FF2B5EF4-FFF2-40B4-BE49-F238E27FC236}">
              <a16:creationId xmlns:a16="http://schemas.microsoft.com/office/drawing/2014/main" id="{00000000-0008-0000-0F00-00008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1" name="Text Box 140">
          <a:extLst>
            <a:ext uri="{FF2B5EF4-FFF2-40B4-BE49-F238E27FC236}">
              <a16:creationId xmlns:a16="http://schemas.microsoft.com/office/drawing/2014/main" id="{00000000-0008-0000-0F00-00008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2" name="Text Box 141">
          <a:extLst>
            <a:ext uri="{FF2B5EF4-FFF2-40B4-BE49-F238E27FC236}">
              <a16:creationId xmlns:a16="http://schemas.microsoft.com/office/drawing/2014/main" id="{00000000-0008-0000-0F00-00008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3" name="Text Box 142">
          <a:extLst>
            <a:ext uri="{FF2B5EF4-FFF2-40B4-BE49-F238E27FC236}">
              <a16:creationId xmlns:a16="http://schemas.microsoft.com/office/drawing/2014/main" id="{00000000-0008-0000-0F00-00008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4" name="Text Box 143">
          <a:extLst>
            <a:ext uri="{FF2B5EF4-FFF2-40B4-BE49-F238E27FC236}">
              <a16:creationId xmlns:a16="http://schemas.microsoft.com/office/drawing/2014/main" id="{00000000-0008-0000-0F00-00009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5" name="Text Box 144">
          <a:extLst>
            <a:ext uri="{FF2B5EF4-FFF2-40B4-BE49-F238E27FC236}">
              <a16:creationId xmlns:a16="http://schemas.microsoft.com/office/drawing/2014/main" id="{00000000-0008-0000-0F00-00009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6" name="Text Box 145">
          <a:extLst>
            <a:ext uri="{FF2B5EF4-FFF2-40B4-BE49-F238E27FC236}">
              <a16:creationId xmlns:a16="http://schemas.microsoft.com/office/drawing/2014/main" id="{00000000-0008-0000-0F00-00009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7" name="Text Box 146">
          <a:extLst>
            <a:ext uri="{FF2B5EF4-FFF2-40B4-BE49-F238E27FC236}">
              <a16:creationId xmlns:a16="http://schemas.microsoft.com/office/drawing/2014/main" id="{00000000-0008-0000-0F00-00009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8" name="Text Box 147">
          <a:extLst>
            <a:ext uri="{FF2B5EF4-FFF2-40B4-BE49-F238E27FC236}">
              <a16:creationId xmlns:a16="http://schemas.microsoft.com/office/drawing/2014/main" id="{00000000-0008-0000-0F00-00009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49" name="Text Box 148">
          <a:extLst>
            <a:ext uri="{FF2B5EF4-FFF2-40B4-BE49-F238E27FC236}">
              <a16:creationId xmlns:a16="http://schemas.microsoft.com/office/drawing/2014/main" id="{00000000-0008-0000-0F00-00009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0" name="Text Box 149">
          <a:extLst>
            <a:ext uri="{FF2B5EF4-FFF2-40B4-BE49-F238E27FC236}">
              <a16:creationId xmlns:a16="http://schemas.microsoft.com/office/drawing/2014/main" id="{00000000-0008-0000-0F00-00009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1" name="Text Box 150">
          <a:extLst>
            <a:ext uri="{FF2B5EF4-FFF2-40B4-BE49-F238E27FC236}">
              <a16:creationId xmlns:a16="http://schemas.microsoft.com/office/drawing/2014/main" id="{00000000-0008-0000-0F00-00009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2" name="Text Box 151">
          <a:extLst>
            <a:ext uri="{FF2B5EF4-FFF2-40B4-BE49-F238E27FC236}">
              <a16:creationId xmlns:a16="http://schemas.microsoft.com/office/drawing/2014/main" id="{00000000-0008-0000-0F00-00009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3" name="Text Box 152">
          <a:extLst>
            <a:ext uri="{FF2B5EF4-FFF2-40B4-BE49-F238E27FC236}">
              <a16:creationId xmlns:a16="http://schemas.microsoft.com/office/drawing/2014/main" id="{00000000-0008-0000-0F00-00009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4" name="Text Box 153">
          <a:extLst>
            <a:ext uri="{FF2B5EF4-FFF2-40B4-BE49-F238E27FC236}">
              <a16:creationId xmlns:a16="http://schemas.microsoft.com/office/drawing/2014/main" id="{00000000-0008-0000-0F00-00009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5" name="Text Box 154">
          <a:extLst>
            <a:ext uri="{FF2B5EF4-FFF2-40B4-BE49-F238E27FC236}">
              <a16:creationId xmlns:a16="http://schemas.microsoft.com/office/drawing/2014/main" id="{00000000-0008-0000-0F00-00009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6" name="Text Box 155">
          <a:extLst>
            <a:ext uri="{FF2B5EF4-FFF2-40B4-BE49-F238E27FC236}">
              <a16:creationId xmlns:a16="http://schemas.microsoft.com/office/drawing/2014/main" id="{00000000-0008-0000-0F00-00009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7" name="Text Box 156">
          <a:extLst>
            <a:ext uri="{FF2B5EF4-FFF2-40B4-BE49-F238E27FC236}">
              <a16:creationId xmlns:a16="http://schemas.microsoft.com/office/drawing/2014/main" id="{00000000-0008-0000-0F00-00009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8" name="Text Box 157">
          <a:extLst>
            <a:ext uri="{FF2B5EF4-FFF2-40B4-BE49-F238E27FC236}">
              <a16:creationId xmlns:a16="http://schemas.microsoft.com/office/drawing/2014/main" id="{00000000-0008-0000-0F00-00009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59" name="Text Box 158">
          <a:extLst>
            <a:ext uri="{FF2B5EF4-FFF2-40B4-BE49-F238E27FC236}">
              <a16:creationId xmlns:a16="http://schemas.microsoft.com/office/drawing/2014/main" id="{00000000-0008-0000-0F00-00009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0" name="Text Box 159">
          <a:extLst>
            <a:ext uri="{FF2B5EF4-FFF2-40B4-BE49-F238E27FC236}">
              <a16:creationId xmlns:a16="http://schemas.microsoft.com/office/drawing/2014/main" id="{00000000-0008-0000-0F00-0000A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1" name="Text Box 160">
          <a:extLst>
            <a:ext uri="{FF2B5EF4-FFF2-40B4-BE49-F238E27FC236}">
              <a16:creationId xmlns:a16="http://schemas.microsoft.com/office/drawing/2014/main" id="{00000000-0008-0000-0F00-0000A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2" name="Text Box 161">
          <a:extLst>
            <a:ext uri="{FF2B5EF4-FFF2-40B4-BE49-F238E27FC236}">
              <a16:creationId xmlns:a16="http://schemas.microsoft.com/office/drawing/2014/main" id="{00000000-0008-0000-0F00-0000A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3" name="Text Box 162">
          <a:extLst>
            <a:ext uri="{FF2B5EF4-FFF2-40B4-BE49-F238E27FC236}">
              <a16:creationId xmlns:a16="http://schemas.microsoft.com/office/drawing/2014/main" id="{00000000-0008-0000-0F00-0000A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4" name="Text Box 163">
          <a:extLst>
            <a:ext uri="{FF2B5EF4-FFF2-40B4-BE49-F238E27FC236}">
              <a16:creationId xmlns:a16="http://schemas.microsoft.com/office/drawing/2014/main" id="{00000000-0008-0000-0F00-0000A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5" name="Text Box 164">
          <a:extLst>
            <a:ext uri="{FF2B5EF4-FFF2-40B4-BE49-F238E27FC236}">
              <a16:creationId xmlns:a16="http://schemas.microsoft.com/office/drawing/2014/main" id="{00000000-0008-0000-0F00-0000A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6" name="Text Box 165">
          <a:extLst>
            <a:ext uri="{FF2B5EF4-FFF2-40B4-BE49-F238E27FC236}">
              <a16:creationId xmlns:a16="http://schemas.microsoft.com/office/drawing/2014/main" id="{00000000-0008-0000-0F00-0000A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7" name="Text Box 166">
          <a:extLst>
            <a:ext uri="{FF2B5EF4-FFF2-40B4-BE49-F238E27FC236}">
              <a16:creationId xmlns:a16="http://schemas.microsoft.com/office/drawing/2014/main" id="{00000000-0008-0000-0F00-0000A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8" name="Text Box 167">
          <a:extLst>
            <a:ext uri="{FF2B5EF4-FFF2-40B4-BE49-F238E27FC236}">
              <a16:creationId xmlns:a16="http://schemas.microsoft.com/office/drawing/2014/main" id="{00000000-0008-0000-0F00-0000A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69" name="Text Box 168">
          <a:extLst>
            <a:ext uri="{FF2B5EF4-FFF2-40B4-BE49-F238E27FC236}">
              <a16:creationId xmlns:a16="http://schemas.microsoft.com/office/drawing/2014/main" id="{00000000-0008-0000-0F00-0000A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0" name="Text Box 169">
          <a:extLst>
            <a:ext uri="{FF2B5EF4-FFF2-40B4-BE49-F238E27FC236}">
              <a16:creationId xmlns:a16="http://schemas.microsoft.com/office/drawing/2014/main" id="{00000000-0008-0000-0F00-0000A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1" name="Text Box 170">
          <a:extLst>
            <a:ext uri="{FF2B5EF4-FFF2-40B4-BE49-F238E27FC236}">
              <a16:creationId xmlns:a16="http://schemas.microsoft.com/office/drawing/2014/main" id="{00000000-0008-0000-0F00-0000A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2" name="Text Box 171">
          <a:extLst>
            <a:ext uri="{FF2B5EF4-FFF2-40B4-BE49-F238E27FC236}">
              <a16:creationId xmlns:a16="http://schemas.microsoft.com/office/drawing/2014/main" id="{00000000-0008-0000-0F00-0000A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3" name="Text Box 172">
          <a:extLst>
            <a:ext uri="{FF2B5EF4-FFF2-40B4-BE49-F238E27FC236}">
              <a16:creationId xmlns:a16="http://schemas.microsoft.com/office/drawing/2014/main" id="{00000000-0008-0000-0F00-0000A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4" name="Text Box 173">
          <a:extLst>
            <a:ext uri="{FF2B5EF4-FFF2-40B4-BE49-F238E27FC236}">
              <a16:creationId xmlns:a16="http://schemas.microsoft.com/office/drawing/2014/main" id="{00000000-0008-0000-0F00-0000A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5" name="Text Box 174">
          <a:extLst>
            <a:ext uri="{FF2B5EF4-FFF2-40B4-BE49-F238E27FC236}">
              <a16:creationId xmlns:a16="http://schemas.microsoft.com/office/drawing/2014/main" id="{00000000-0008-0000-0F00-0000A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6" name="Text Box 175">
          <a:extLst>
            <a:ext uri="{FF2B5EF4-FFF2-40B4-BE49-F238E27FC236}">
              <a16:creationId xmlns:a16="http://schemas.microsoft.com/office/drawing/2014/main" id="{00000000-0008-0000-0F00-0000B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7" name="Text Box 176">
          <a:extLst>
            <a:ext uri="{FF2B5EF4-FFF2-40B4-BE49-F238E27FC236}">
              <a16:creationId xmlns:a16="http://schemas.microsoft.com/office/drawing/2014/main" id="{00000000-0008-0000-0F00-0000B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8" name="Text Box 177">
          <a:extLst>
            <a:ext uri="{FF2B5EF4-FFF2-40B4-BE49-F238E27FC236}">
              <a16:creationId xmlns:a16="http://schemas.microsoft.com/office/drawing/2014/main" id="{00000000-0008-0000-0F00-0000B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79" name="Text Box 178">
          <a:extLst>
            <a:ext uri="{FF2B5EF4-FFF2-40B4-BE49-F238E27FC236}">
              <a16:creationId xmlns:a16="http://schemas.microsoft.com/office/drawing/2014/main" id="{00000000-0008-0000-0F00-0000B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0" name="Text Box 179">
          <a:extLst>
            <a:ext uri="{FF2B5EF4-FFF2-40B4-BE49-F238E27FC236}">
              <a16:creationId xmlns:a16="http://schemas.microsoft.com/office/drawing/2014/main" id="{00000000-0008-0000-0F00-0000B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1" name="Text Box 180">
          <a:extLst>
            <a:ext uri="{FF2B5EF4-FFF2-40B4-BE49-F238E27FC236}">
              <a16:creationId xmlns:a16="http://schemas.microsoft.com/office/drawing/2014/main" id="{00000000-0008-0000-0F00-0000B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2" name="Text Box 181">
          <a:extLst>
            <a:ext uri="{FF2B5EF4-FFF2-40B4-BE49-F238E27FC236}">
              <a16:creationId xmlns:a16="http://schemas.microsoft.com/office/drawing/2014/main" id="{00000000-0008-0000-0F00-0000B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3" name="Text Box 182">
          <a:extLst>
            <a:ext uri="{FF2B5EF4-FFF2-40B4-BE49-F238E27FC236}">
              <a16:creationId xmlns:a16="http://schemas.microsoft.com/office/drawing/2014/main" id="{00000000-0008-0000-0F00-0000B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4" name="Text Box 183">
          <a:extLst>
            <a:ext uri="{FF2B5EF4-FFF2-40B4-BE49-F238E27FC236}">
              <a16:creationId xmlns:a16="http://schemas.microsoft.com/office/drawing/2014/main" id="{00000000-0008-0000-0F00-0000B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5" name="Text Box 184">
          <a:extLst>
            <a:ext uri="{FF2B5EF4-FFF2-40B4-BE49-F238E27FC236}">
              <a16:creationId xmlns:a16="http://schemas.microsoft.com/office/drawing/2014/main" id="{00000000-0008-0000-0F00-0000B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6" name="Text Box 185">
          <a:extLst>
            <a:ext uri="{FF2B5EF4-FFF2-40B4-BE49-F238E27FC236}">
              <a16:creationId xmlns:a16="http://schemas.microsoft.com/office/drawing/2014/main" id="{00000000-0008-0000-0F00-0000B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7" name="Text Box 186">
          <a:extLst>
            <a:ext uri="{FF2B5EF4-FFF2-40B4-BE49-F238E27FC236}">
              <a16:creationId xmlns:a16="http://schemas.microsoft.com/office/drawing/2014/main" id="{00000000-0008-0000-0F00-0000B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8" name="Text Box 187">
          <a:extLst>
            <a:ext uri="{FF2B5EF4-FFF2-40B4-BE49-F238E27FC236}">
              <a16:creationId xmlns:a16="http://schemas.microsoft.com/office/drawing/2014/main" id="{00000000-0008-0000-0F00-0000B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89" name="Text Box 188">
          <a:extLst>
            <a:ext uri="{FF2B5EF4-FFF2-40B4-BE49-F238E27FC236}">
              <a16:creationId xmlns:a16="http://schemas.microsoft.com/office/drawing/2014/main" id="{00000000-0008-0000-0F00-0000B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0" name="Text Box 189">
          <a:extLst>
            <a:ext uri="{FF2B5EF4-FFF2-40B4-BE49-F238E27FC236}">
              <a16:creationId xmlns:a16="http://schemas.microsoft.com/office/drawing/2014/main" id="{00000000-0008-0000-0F00-0000B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1" name="Text Box 190">
          <a:extLst>
            <a:ext uri="{FF2B5EF4-FFF2-40B4-BE49-F238E27FC236}">
              <a16:creationId xmlns:a16="http://schemas.microsoft.com/office/drawing/2014/main" id="{00000000-0008-0000-0F00-0000B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2" name="Text Box 191">
          <a:extLst>
            <a:ext uri="{FF2B5EF4-FFF2-40B4-BE49-F238E27FC236}">
              <a16:creationId xmlns:a16="http://schemas.microsoft.com/office/drawing/2014/main" id="{00000000-0008-0000-0F00-0000C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3" name="Text Box 192">
          <a:extLst>
            <a:ext uri="{FF2B5EF4-FFF2-40B4-BE49-F238E27FC236}">
              <a16:creationId xmlns:a16="http://schemas.microsoft.com/office/drawing/2014/main" id="{00000000-0008-0000-0F00-0000C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4" name="Text Box 193">
          <a:extLst>
            <a:ext uri="{FF2B5EF4-FFF2-40B4-BE49-F238E27FC236}">
              <a16:creationId xmlns:a16="http://schemas.microsoft.com/office/drawing/2014/main" id="{00000000-0008-0000-0F00-0000C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5" name="Text Box 194">
          <a:extLst>
            <a:ext uri="{FF2B5EF4-FFF2-40B4-BE49-F238E27FC236}">
              <a16:creationId xmlns:a16="http://schemas.microsoft.com/office/drawing/2014/main" id="{00000000-0008-0000-0F00-0000C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6" name="Text Box 195">
          <a:extLst>
            <a:ext uri="{FF2B5EF4-FFF2-40B4-BE49-F238E27FC236}">
              <a16:creationId xmlns:a16="http://schemas.microsoft.com/office/drawing/2014/main" id="{00000000-0008-0000-0F00-0000C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7" name="Text Box 196">
          <a:extLst>
            <a:ext uri="{FF2B5EF4-FFF2-40B4-BE49-F238E27FC236}">
              <a16:creationId xmlns:a16="http://schemas.microsoft.com/office/drawing/2014/main" id="{00000000-0008-0000-0F00-0000C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8" name="Text Box 197">
          <a:extLst>
            <a:ext uri="{FF2B5EF4-FFF2-40B4-BE49-F238E27FC236}">
              <a16:creationId xmlns:a16="http://schemas.microsoft.com/office/drawing/2014/main" id="{00000000-0008-0000-0F00-0000C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199" name="Text Box 198">
          <a:extLst>
            <a:ext uri="{FF2B5EF4-FFF2-40B4-BE49-F238E27FC236}">
              <a16:creationId xmlns:a16="http://schemas.microsoft.com/office/drawing/2014/main" id="{00000000-0008-0000-0F00-0000C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0" name="Text Box 199">
          <a:extLst>
            <a:ext uri="{FF2B5EF4-FFF2-40B4-BE49-F238E27FC236}">
              <a16:creationId xmlns:a16="http://schemas.microsoft.com/office/drawing/2014/main" id="{00000000-0008-0000-0F00-0000C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1" name="Text Box 200">
          <a:extLst>
            <a:ext uri="{FF2B5EF4-FFF2-40B4-BE49-F238E27FC236}">
              <a16:creationId xmlns:a16="http://schemas.microsoft.com/office/drawing/2014/main" id="{00000000-0008-0000-0F00-0000C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2" name="Text Box 201">
          <a:extLst>
            <a:ext uri="{FF2B5EF4-FFF2-40B4-BE49-F238E27FC236}">
              <a16:creationId xmlns:a16="http://schemas.microsoft.com/office/drawing/2014/main" id="{00000000-0008-0000-0F00-0000C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3" name="Text Box 202">
          <a:extLst>
            <a:ext uri="{FF2B5EF4-FFF2-40B4-BE49-F238E27FC236}">
              <a16:creationId xmlns:a16="http://schemas.microsoft.com/office/drawing/2014/main" id="{00000000-0008-0000-0F00-0000C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4" name="Text Box 203">
          <a:extLst>
            <a:ext uri="{FF2B5EF4-FFF2-40B4-BE49-F238E27FC236}">
              <a16:creationId xmlns:a16="http://schemas.microsoft.com/office/drawing/2014/main" id="{00000000-0008-0000-0F00-0000C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5" name="Text Box 204">
          <a:extLst>
            <a:ext uri="{FF2B5EF4-FFF2-40B4-BE49-F238E27FC236}">
              <a16:creationId xmlns:a16="http://schemas.microsoft.com/office/drawing/2014/main" id="{00000000-0008-0000-0F00-0000C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6" name="Text Box 205">
          <a:extLst>
            <a:ext uri="{FF2B5EF4-FFF2-40B4-BE49-F238E27FC236}">
              <a16:creationId xmlns:a16="http://schemas.microsoft.com/office/drawing/2014/main" id="{00000000-0008-0000-0F00-0000C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7" name="Text Box 206">
          <a:extLst>
            <a:ext uri="{FF2B5EF4-FFF2-40B4-BE49-F238E27FC236}">
              <a16:creationId xmlns:a16="http://schemas.microsoft.com/office/drawing/2014/main" id="{00000000-0008-0000-0F00-0000C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8" name="Text Box 207">
          <a:extLst>
            <a:ext uri="{FF2B5EF4-FFF2-40B4-BE49-F238E27FC236}">
              <a16:creationId xmlns:a16="http://schemas.microsoft.com/office/drawing/2014/main" id="{00000000-0008-0000-0F00-0000D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09" name="Text Box 208">
          <a:extLst>
            <a:ext uri="{FF2B5EF4-FFF2-40B4-BE49-F238E27FC236}">
              <a16:creationId xmlns:a16="http://schemas.microsoft.com/office/drawing/2014/main" id="{00000000-0008-0000-0F00-0000D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0" name="Text Box 209">
          <a:extLst>
            <a:ext uri="{FF2B5EF4-FFF2-40B4-BE49-F238E27FC236}">
              <a16:creationId xmlns:a16="http://schemas.microsoft.com/office/drawing/2014/main" id="{00000000-0008-0000-0F00-0000D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1" name="Text Box 210">
          <a:extLst>
            <a:ext uri="{FF2B5EF4-FFF2-40B4-BE49-F238E27FC236}">
              <a16:creationId xmlns:a16="http://schemas.microsoft.com/office/drawing/2014/main" id="{00000000-0008-0000-0F00-0000D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2" name="Text Box 211">
          <a:extLst>
            <a:ext uri="{FF2B5EF4-FFF2-40B4-BE49-F238E27FC236}">
              <a16:creationId xmlns:a16="http://schemas.microsoft.com/office/drawing/2014/main" id="{00000000-0008-0000-0F00-0000D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3" name="Text Box 212">
          <a:extLst>
            <a:ext uri="{FF2B5EF4-FFF2-40B4-BE49-F238E27FC236}">
              <a16:creationId xmlns:a16="http://schemas.microsoft.com/office/drawing/2014/main" id="{00000000-0008-0000-0F00-0000D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4" name="Text Box 213">
          <a:extLst>
            <a:ext uri="{FF2B5EF4-FFF2-40B4-BE49-F238E27FC236}">
              <a16:creationId xmlns:a16="http://schemas.microsoft.com/office/drawing/2014/main" id="{00000000-0008-0000-0F00-0000D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5" name="Text Box 214">
          <a:extLst>
            <a:ext uri="{FF2B5EF4-FFF2-40B4-BE49-F238E27FC236}">
              <a16:creationId xmlns:a16="http://schemas.microsoft.com/office/drawing/2014/main" id="{00000000-0008-0000-0F00-0000D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6" name="Text Box 215">
          <a:extLst>
            <a:ext uri="{FF2B5EF4-FFF2-40B4-BE49-F238E27FC236}">
              <a16:creationId xmlns:a16="http://schemas.microsoft.com/office/drawing/2014/main" id="{00000000-0008-0000-0F00-0000D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7" name="Text Box 216">
          <a:extLst>
            <a:ext uri="{FF2B5EF4-FFF2-40B4-BE49-F238E27FC236}">
              <a16:creationId xmlns:a16="http://schemas.microsoft.com/office/drawing/2014/main" id="{00000000-0008-0000-0F00-0000D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8" name="Text Box 217">
          <a:extLst>
            <a:ext uri="{FF2B5EF4-FFF2-40B4-BE49-F238E27FC236}">
              <a16:creationId xmlns:a16="http://schemas.microsoft.com/office/drawing/2014/main" id="{00000000-0008-0000-0F00-0000D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19" name="Text Box 218">
          <a:extLst>
            <a:ext uri="{FF2B5EF4-FFF2-40B4-BE49-F238E27FC236}">
              <a16:creationId xmlns:a16="http://schemas.microsoft.com/office/drawing/2014/main" id="{00000000-0008-0000-0F00-0000D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0" name="Text Box 219">
          <a:extLst>
            <a:ext uri="{FF2B5EF4-FFF2-40B4-BE49-F238E27FC236}">
              <a16:creationId xmlns:a16="http://schemas.microsoft.com/office/drawing/2014/main" id="{00000000-0008-0000-0F00-0000D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1" name="Text Box 220">
          <a:extLst>
            <a:ext uri="{FF2B5EF4-FFF2-40B4-BE49-F238E27FC236}">
              <a16:creationId xmlns:a16="http://schemas.microsoft.com/office/drawing/2014/main" id="{00000000-0008-0000-0F00-0000D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2" name="Text Box 221">
          <a:extLst>
            <a:ext uri="{FF2B5EF4-FFF2-40B4-BE49-F238E27FC236}">
              <a16:creationId xmlns:a16="http://schemas.microsoft.com/office/drawing/2014/main" id="{00000000-0008-0000-0F00-0000D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3" name="Text Box 222">
          <a:extLst>
            <a:ext uri="{FF2B5EF4-FFF2-40B4-BE49-F238E27FC236}">
              <a16:creationId xmlns:a16="http://schemas.microsoft.com/office/drawing/2014/main" id="{00000000-0008-0000-0F00-0000D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4" name="Text Box 223">
          <a:extLst>
            <a:ext uri="{FF2B5EF4-FFF2-40B4-BE49-F238E27FC236}">
              <a16:creationId xmlns:a16="http://schemas.microsoft.com/office/drawing/2014/main" id="{00000000-0008-0000-0F00-0000E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5" name="Text Box 224">
          <a:extLst>
            <a:ext uri="{FF2B5EF4-FFF2-40B4-BE49-F238E27FC236}">
              <a16:creationId xmlns:a16="http://schemas.microsoft.com/office/drawing/2014/main" id="{00000000-0008-0000-0F00-0000E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6" name="Text Box 225">
          <a:extLst>
            <a:ext uri="{FF2B5EF4-FFF2-40B4-BE49-F238E27FC236}">
              <a16:creationId xmlns:a16="http://schemas.microsoft.com/office/drawing/2014/main" id="{00000000-0008-0000-0F00-0000E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7" name="Text Box 226">
          <a:extLst>
            <a:ext uri="{FF2B5EF4-FFF2-40B4-BE49-F238E27FC236}">
              <a16:creationId xmlns:a16="http://schemas.microsoft.com/office/drawing/2014/main" id="{00000000-0008-0000-0F00-0000E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8" name="Text Box 227">
          <a:extLst>
            <a:ext uri="{FF2B5EF4-FFF2-40B4-BE49-F238E27FC236}">
              <a16:creationId xmlns:a16="http://schemas.microsoft.com/office/drawing/2014/main" id="{00000000-0008-0000-0F00-0000E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29" name="Text Box 228">
          <a:extLst>
            <a:ext uri="{FF2B5EF4-FFF2-40B4-BE49-F238E27FC236}">
              <a16:creationId xmlns:a16="http://schemas.microsoft.com/office/drawing/2014/main" id="{00000000-0008-0000-0F00-0000E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0" name="Text Box 229">
          <a:extLst>
            <a:ext uri="{FF2B5EF4-FFF2-40B4-BE49-F238E27FC236}">
              <a16:creationId xmlns:a16="http://schemas.microsoft.com/office/drawing/2014/main" id="{00000000-0008-0000-0F00-0000E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1" name="Text Box 230">
          <a:extLst>
            <a:ext uri="{FF2B5EF4-FFF2-40B4-BE49-F238E27FC236}">
              <a16:creationId xmlns:a16="http://schemas.microsoft.com/office/drawing/2014/main" id="{00000000-0008-0000-0F00-0000E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2" name="Text Box 231">
          <a:extLst>
            <a:ext uri="{FF2B5EF4-FFF2-40B4-BE49-F238E27FC236}">
              <a16:creationId xmlns:a16="http://schemas.microsoft.com/office/drawing/2014/main" id="{00000000-0008-0000-0F00-0000E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3" name="Text Box 232">
          <a:extLst>
            <a:ext uri="{FF2B5EF4-FFF2-40B4-BE49-F238E27FC236}">
              <a16:creationId xmlns:a16="http://schemas.microsoft.com/office/drawing/2014/main" id="{00000000-0008-0000-0F00-0000E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4" name="Text Box 233">
          <a:extLst>
            <a:ext uri="{FF2B5EF4-FFF2-40B4-BE49-F238E27FC236}">
              <a16:creationId xmlns:a16="http://schemas.microsoft.com/office/drawing/2014/main" id="{00000000-0008-0000-0F00-0000E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5" name="Text Box 234">
          <a:extLst>
            <a:ext uri="{FF2B5EF4-FFF2-40B4-BE49-F238E27FC236}">
              <a16:creationId xmlns:a16="http://schemas.microsoft.com/office/drawing/2014/main" id="{00000000-0008-0000-0F00-0000E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6" name="Text Box 235">
          <a:extLst>
            <a:ext uri="{FF2B5EF4-FFF2-40B4-BE49-F238E27FC236}">
              <a16:creationId xmlns:a16="http://schemas.microsoft.com/office/drawing/2014/main" id="{00000000-0008-0000-0F00-0000E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7" name="Text Box 236">
          <a:extLst>
            <a:ext uri="{FF2B5EF4-FFF2-40B4-BE49-F238E27FC236}">
              <a16:creationId xmlns:a16="http://schemas.microsoft.com/office/drawing/2014/main" id="{00000000-0008-0000-0F00-0000E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8" name="Text Box 237">
          <a:extLst>
            <a:ext uri="{FF2B5EF4-FFF2-40B4-BE49-F238E27FC236}">
              <a16:creationId xmlns:a16="http://schemas.microsoft.com/office/drawing/2014/main" id="{00000000-0008-0000-0F00-0000E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39" name="Text Box 238">
          <a:extLst>
            <a:ext uri="{FF2B5EF4-FFF2-40B4-BE49-F238E27FC236}">
              <a16:creationId xmlns:a16="http://schemas.microsoft.com/office/drawing/2014/main" id="{00000000-0008-0000-0F00-0000E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0" name="Text Box 239">
          <a:extLst>
            <a:ext uri="{FF2B5EF4-FFF2-40B4-BE49-F238E27FC236}">
              <a16:creationId xmlns:a16="http://schemas.microsoft.com/office/drawing/2014/main" id="{00000000-0008-0000-0F00-0000F0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1" name="Text Box 240">
          <a:extLst>
            <a:ext uri="{FF2B5EF4-FFF2-40B4-BE49-F238E27FC236}">
              <a16:creationId xmlns:a16="http://schemas.microsoft.com/office/drawing/2014/main" id="{00000000-0008-0000-0F00-0000F1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2" name="Text Box 241">
          <a:extLst>
            <a:ext uri="{FF2B5EF4-FFF2-40B4-BE49-F238E27FC236}">
              <a16:creationId xmlns:a16="http://schemas.microsoft.com/office/drawing/2014/main" id="{00000000-0008-0000-0F00-0000F2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3" name="Text Box 242">
          <a:extLst>
            <a:ext uri="{FF2B5EF4-FFF2-40B4-BE49-F238E27FC236}">
              <a16:creationId xmlns:a16="http://schemas.microsoft.com/office/drawing/2014/main" id="{00000000-0008-0000-0F00-0000F3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4" name="Text Box 243">
          <a:extLst>
            <a:ext uri="{FF2B5EF4-FFF2-40B4-BE49-F238E27FC236}">
              <a16:creationId xmlns:a16="http://schemas.microsoft.com/office/drawing/2014/main" id="{00000000-0008-0000-0F00-0000F4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5" name="Text Box 244">
          <a:extLst>
            <a:ext uri="{FF2B5EF4-FFF2-40B4-BE49-F238E27FC236}">
              <a16:creationId xmlns:a16="http://schemas.microsoft.com/office/drawing/2014/main" id="{00000000-0008-0000-0F00-0000F5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6" name="Text Box 245">
          <a:extLst>
            <a:ext uri="{FF2B5EF4-FFF2-40B4-BE49-F238E27FC236}">
              <a16:creationId xmlns:a16="http://schemas.microsoft.com/office/drawing/2014/main" id="{00000000-0008-0000-0F00-0000F6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7" name="Text Box 246">
          <a:extLst>
            <a:ext uri="{FF2B5EF4-FFF2-40B4-BE49-F238E27FC236}">
              <a16:creationId xmlns:a16="http://schemas.microsoft.com/office/drawing/2014/main" id="{00000000-0008-0000-0F00-0000F7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8" name="Text Box 247">
          <a:extLst>
            <a:ext uri="{FF2B5EF4-FFF2-40B4-BE49-F238E27FC236}">
              <a16:creationId xmlns:a16="http://schemas.microsoft.com/office/drawing/2014/main" id="{00000000-0008-0000-0F00-0000F8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49" name="Text Box 248">
          <a:extLst>
            <a:ext uri="{FF2B5EF4-FFF2-40B4-BE49-F238E27FC236}">
              <a16:creationId xmlns:a16="http://schemas.microsoft.com/office/drawing/2014/main" id="{00000000-0008-0000-0F00-0000F9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0" name="Text Box 249">
          <a:extLst>
            <a:ext uri="{FF2B5EF4-FFF2-40B4-BE49-F238E27FC236}">
              <a16:creationId xmlns:a16="http://schemas.microsoft.com/office/drawing/2014/main" id="{00000000-0008-0000-0F00-0000FA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1" name="Text Box 250">
          <a:extLst>
            <a:ext uri="{FF2B5EF4-FFF2-40B4-BE49-F238E27FC236}">
              <a16:creationId xmlns:a16="http://schemas.microsoft.com/office/drawing/2014/main" id="{00000000-0008-0000-0F00-0000FB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2" name="Text Box 251">
          <a:extLst>
            <a:ext uri="{FF2B5EF4-FFF2-40B4-BE49-F238E27FC236}">
              <a16:creationId xmlns:a16="http://schemas.microsoft.com/office/drawing/2014/main" id="{00000000-0008-0000-0F00-0000FC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3" name="Text Box 252">
          <a:extLst>
            <a:ext uri="{FF2B5EF4-FFF2-40B4-BE49-F238E27FC236}">
              <a16:creationId xmlns:a16="http://schemas.microsoft.com/office/drawing/2014/main" id="{00000000-0008-0000-0F00-0000FD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4" name="Text Box 253">
          <a:extLst>
            <a:ext uri="{FF2B5EF4-FFF2-40B4-BE49-F238E27FC236}">
              <a16:creationId xmlns:a16="http://schemas.microsoft.com/office/drawing/2014/main" id="{00000000-0008-0000-0F00-0000FE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5" name="Text Box 254">
          <a:extLst>
            <a:ext uri="{FF2B5EF4-FFF2-40B4-BE49-F238E27FC236}">
              <a16:creationId xmlns:a16="http://schemas.microsoft.com/office/drawing/2014/main" id="{00000000-0008-0000-0F00-0000FF00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6" name="Text Box 255">
          <a:extLst>
            <a:ext uri="{FF2B5EF4-FFF2-40B4-BE49-F238E27FC236}">
              <a16:creationId xmlns:a16="http://schemas.microsoft.com/office/drawing/2014/main" id="{00000000-0008-0000-0F00-00000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7" name="Text Box 256">
          <a:extLst>
            <a:ext uri="{FF2B5EF4-FFF2-40B4-BE49-F238E27FC236}">
              <a16:creationId xmlns:a16="http://schemas.microsoft.com/office/drawing/2014/main" id="{00000000-0008-0000-0F00-00000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8" name="Text Box 257">
          <a:extLst>
            <a:ext uri="{FF2B5EF4-FFF2-40B4-BE49-F238E27FC236}">
              <a16:creationId xmlns:a16="http://schemas.microsoft.com/office/drawing/2014/main" id="{00000000-0008-0000-0F00-00000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59" name="Text Box 258">
          <a:extLst>
            <a:ext uri="{FF2B5EF4-FFF2-40B4-BE49-F238E27FC236}">
              <a16:creationId xmlns:a16="http://schemas.microsoft.com/office/drawing/2014/main" id="{00000000-0008-0000-0F00-00000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0" name="Text Box 259">
          <a:extLst>
            <a:ext uri="{FF2B5EF4-FFF2-40B4-BE49-F238E27FC236}">
              <a16:creationId xmlns:a16="http://schemas.microsoft.com/office/drawing/2014/main" id="{00000000-0008-0000-0F00-00000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1" name="Text Box 260">
          <a:extLst>
            <a:ext uri="{FF2B5EF4-FFF2-40B4-BE49-F238E27FC236}">
              <a16:creationId xmlns:a16="http://schemas.microsoft.com/office/drawing/2014/main" id="{00000000-0008-0000-0F00-00000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2" name="Text Box 261">
          <a:extLst>
            <a:ext uri="{FF2B5EF4-FFF2-40B4-BE49-F238E27FC236}">
              <a16:creationId xmlns:a16="http://schemas.microsoft.com/office/drawing/2014/main" id="{00000000-0008-0000-0F00-00000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3" name="Text Box 262">
          <a:extLst>
            <a:ext uri="{FF2B5EF4-FFF2-40B4-BE49-F238E27FC236}">
              <a16:creationId xmlns:a16="http://schemas.microsoft.com/office/drawing/2014/main" id="{00000000-0008-0000-0F00-00000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4" name="Text Box 263">
          <a:extLst>
            <a:ext uri="{FF2B5EF4-FFF2-40B4-BE49-F238E27FC236}">
              <a16:creationId xmlns:a16="http://schemas.microsoft.com/office/drawing/2014/main" id="{00000000-0008-0000-0F00-00000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5" name="Text Box 264">
          <a:extLst>
            <a:ext uri="{FF2B5EF4-FFF2-40B4-BE49-F238E27FC236}">
              <a16:creationId xmlns:a16="http://schemas.microsoft.com/office/drawing/2014/main" id="{00000000-0008-0000-0F00-00000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6" name="Text Box 265">
          <a:extLst>
            <a:ext uri="{FF2B5EF4-FFF2-40B4-BE49-F238E27FC236}">
              <a16:creationId xmlns:a16="http://schemas.microsoft.com/office/drawing/2014/main" id="{00000000-0008-0000-0F00-00000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7" name="Text Box 266">
          <a:extLst>
            <a:ext uri="{FF2B5EF4-FFF2-40B4-BE49-F238E27FC236}">
              <a16:creationId xmlns:a16="http://schemas.microsoft.com/office/drawing/2014/main" id="{00000000-0008-0000-0F00-00000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8" name="Text Box 267">
          <a:extLst>
            <a:ext uri="{FF2B5EF4-FFF2-40B4-BE49-F238E27FC236}">
              <a16:creationId xmlns:a16="http://schemas.microsoft.com/office/drawing/2014/main" id="{00000000-0008-0000-0F00-00000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69" name="Text Box 268">
          <a:extLst>
            <a:ext uri="{FF2B5EF4-FFF2-40B4-BE49-F238E27FC236}">
              <a16:creationId xmlns:a16="http://schemas.microsoft.com/office/drawing/2014/main" id="{00000000-0008-0000-0F00-00000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0" name="Text Box 269">
          <a:extLst>
            <a:ext uri="{FF2B5EF4-FFF2-40B4-BE49-F238E27FC236}">
              <a16:creationId xmlns:a16="http://schemas.microsoft.com/office/drawing/2014/main" id="{00000000-0008-0000-0F00-00000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1" name="Text Box 270">
          <a:extLst>
            <a:ext uri="{FF2B5EF4-FFF2-40B4-BE49-F238E27FC236}">
              <a16:creationId xmlns:a16="http://schemas.microsoft.com/office/drawing/2014/main" id="{00000000-0008-0000-0F00-00000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2" name="Text Box 271">
          <a:extLst>
            <a:ext uri="{FF2B5EF4-FFF2-40B4-BE49-F238E27FC236}">
              <a16:creationId xmlns:a16="http://schemas.microsoft.com/office/drawing/2014/main" id="{00000000-0008-0000-0F00-00001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3" name="Text Box 272">
          <a:extLst>
            <a:ext uri="{FF2B5EF4-FFF2-40B4-BE49-F238E27FC236}">
              <a16:creationId xmlns:a16="http://schemas.microsoft.com/office/drawing/2014/main" id="{00000000-0008-0000-0F00-00001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4" name="Text Box 273">
          <a:extLst>
            <a:ext uri="{FF2B5EF4-FFF2-40B4-BE49-F238E27FC236}">
              <a16:creationId xmlns:a16="http://schemas.microsoft.com/office/drawing/2014/main" id="{00000000-0008-0000-0F00-00001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5" name="Text Box 274">
          <a:extLst>
            <a:ext uri="{FF2B5EF4-FFF2-40B4-BE49-F238E27FC236}">
              <a16:creationId xmlns:a16="http://schemas.microsoft.com/office/drawing/2014/main" id="{00000000-0008-0000-0F00-00001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6" name="Text Box 275">
          <a:extLst>
            <a:ext uri="{FF2B5EF4-FFF2-40B4-BE49-F238E27FC236}">
              <a16:creationId xmlns:a16="http://schemas.microsoft.com/office/drawing/2014/main" id="{00000000-0008-0000-0F00-00001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7" name="Text Box 276">
          <a:extLst>
            <a:ext uri="{FF2B5EF4-FFF2-40B4-BE49-F238E27FC236}">
              <a16:creationId xmlns:a16="http://schemas.microsoft.com/office/drawing/2014/main" id="{00000000-0008-0000-0F00-00001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8" name="Text Box 277">
          <a:extLst>
            <a:ext uri="{FF2B5EF4-FFF2-40B4-BE49-F238E27FC236}">
              <a16:creationId xmlns:a16="http://schemas.microsoft.com/office/drawing/2014/main" id="{00000000-0008-0000-0F00-00001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79" name="Text Box 278">
          <a:extLst>
            <a:ext uri="{FF2B5EF4-FFF2-40B4-BE49-F238E27FC236}">
              <a16:creationId xmlns:a16="http://schemas.microsoft.com/office/drawing/2014/main" id="{00000000-0008-0000-0F00-00001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0" name="Text Box 279">
          <a:extLst>
            <a:ext uri="{FF2B5EF4-FFF2-40B4-BE49-F238E27FC236}">
              <a16:creationId xmlns:a16="http://schemas.microsoft.com/office/drawing/2014/main" id="{00000000-0008-0000-0F00-00001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1" name="Text Box 280">
          <a:extLst>
            <a:ext uri="{FF2B5EF4-FFF2-40B4-BE49-F238E27FC236}">
              <a16:creationId xmlns:a16="http://schemas.microsoft.com/office/drawing/2014/main" id="{00000000-0008-0000-0F00-00001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2" name="Text Box 281">
          <a:extLst>
            <a:ext uri="{FF2B5EF4-FFF2-40B4-BE49-F238E27FC236}">
              <a16:creationId xmlns:a16="http://schemas.microsoft.com/office/drawing/2014/main" id="{00000000-0008-0000-0F00-00001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3" name="Text Box 282">
          <a:extLst>
            <a:ext uri="{FF2B5EF4-FFF2-40B4-BE49-F238E27FC236}">
              <a16:creationId xmlns:a16="http://schemas.microsoft.com/office/drawing/2014/main" id="{00000000-0008-0000-0F00-00001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4" name="Text Box 283">
          <a:extLst>
            <a:ext uri="{FF2B5EF4-FFF2-40B4-BE49-F238E27FC236}">
              <a16:creationId xmlns:a16="http://schemas.microsoft.com/office/drawing/2014/main" id="{00000000-0008-0000-0F00-00001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5" name="Text Box 284">
          <a:extLst>
            <a:ext uri="{FF2B5EF4-FFF2-40B4-BE49-F238E27FC236}">
              <a16:creationId xmlns:a16="http://schemas.microsoft.com/office/drawing/2014/main" id="{00000000-0008-0000-0F00-00001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6" name="Text Box 285">
          <a:extLst>
            <a:ext uri="{FF2B5EF4-FFF2-40B4-BE49-F238E27FC236}">
              <a16:creationId xmlns:a16="http://schemas.microsoft.com/office/drawing/2014/main" id="{00000000-0008-0000-0F00-00001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7" name="Text Box 286">
          <a:extLst>
            <a:ext uri="{FF2B5EF4-FFF2-40B4-BE49-F238E27FC236}">
              <a16:creationId xmlns:a16="http://schemas.microsoft.com/office/drawing/2014/main" id="{00000000-0008-0000-0F00-00001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8" name="Text Box 287">
          <a:extLst>
            <a:ext uri="{FF2B5EF4-FFF2-40B4-BE49-F238E27FC236}">
              <a16:creationId xmlns:a16="http://schemas.microsoft.com/office/drawing/2014/main" id="{00000000-0008-0000-0F00-00002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89" name="Text Box 288">
          <a:extLst>
            <a:ext uri="{FF2B5EF4-FFF2-40B4-BE49-F238E27FC236}">
              <a16:creationId xmlns:a16="http://schemas.microsoft.com/office/drawing/2014/main" id="{00000000-0008-0000-0F00-00002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0" name="Text Box 289">
          <a:extLst>
            <a:ext uri="{FF2B5EF4-FFF2-40B4-BE49-F238E27FC236}">
              <a16:creationId xmlns:a16="http://schemas.microsoft.com/office/drawing/2014/main" id="{00000000-0008-0000-0F00-00002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1" name="Text Box 290">
          <a:extLst>
            <a:ext uri="{FF2B5EF4-FFF2-40B4-BE49-F238E27FC236}">
              <a16:creationId xmlns:a16="http://schemas.microsoft.com/office/drawing/2014/main" id="{00000000-0008-0000-0F00-00002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2" name="Text Box 291">
          <a:extLst>
            <a:ext uri="{FF2B5EF4-FFF2-40B4-BE49-F238E27FC236}">
              <a16:creationId xmlns:a16="http://schemas.microsoft.com/office/drawing/2014/main" id="{00000000-0008-0000-0F00-00002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3" name="Text Box 292">
          <a:extLst>
            <a:ext uri="{FF2B5EF4-FFF2-40B4-BE49-F238E27FC236}">
              <a16:creationId xmlns:a16="http://schemas.microsoft.com/office/drawing/2014/main" id="{00000000-0008-0000-0F00-00002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4" name="Text Box 293">
          <a:extLst>
            <a:ext uri="{FF2B5EF4-FFF2-40B4-BE49-F238E27FC236}">
              <a16:creationId xmlns:a16="http://schemas.microsoft.com/office/drawing/2014/main" id="{00000000-0008-0000-0F00-00002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5" name="Text Box 294">
          <a:extLst>
            <a:ext uri="{FF2B5EF4-FFF2-40B4-BE49-F238E27FC236}">
              <a16:creationId xmlns:a16="http://schemas.microsoft.com/office/drawing/2014/main" id="{00000000-0008-0000-0F00-00002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6" name="Text Box 295">
          <a:extLst>
            <a:ext uri="{FF2B5EF4-FFF2-40B4-BE49-F238E27FC236}">
              <a16:creationId xmlns:a16="http://schemas.microsoft.com/office/drawing/2014/main" id="{00000000-0008-0000-0F00-00002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7" name="Text Box 296">
          <a:extLst>
            <a:ext uri="{FF2B5EF4-FFF2-40B4-BE49-F238E27FC236}">
              <a16:creationId xmlns:a16="http://schemas.microsoft.com/office/drawing/2014/main" id="{00000000-0008-0000-0F00-00002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8" name="Text Box 297">
          <a:extLst>
            <a:ext uri="{FF2B5EF4-FFF2-40B4-BE49-F238E27FC236}">
              <a16:creationId xmlns:a16="http://schemas.microsoft.com/office/drawing/2014/main" id="{00000000-0008-0000-0F00-00002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299" name="Text Box 298">
          <a:extLst>
            <a:ext uri="{FF2B5EF4-FFF2-40B4-BE49-F238E27FC236}">
              <a16:creationId xmlns:a16="http://schemas.microsoft.com/office/drawing/2014/main" id="{00000000-0008-0000-0F00-00002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0" name="Text Box 299">
          <a:extLst>
            <a:ext uri="{FF2B5EF4-FFF2-40B4-BE49-F238E27FC236}">
              <a16:creationId xmlns:a16="http://schemas.microsoft.com/office/drawing/2014/main" id="{00000000-0008-0000-0F00-00002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1" name="Text Box 300">
          <a:extLst>
            <a:ext uri="{FF2B5EF4-FFF2-40B4-BE49-F238E27FC236}">
              <a16:creationId xmlns:a16="http://schemas.microsoft.com/office/drawing/2014/main" id="{00000000-0008-0000-0F00-00002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2" name="Text Box 301">
          <a:extLst>
            <a:ext uri="{FF2B5EF4-FFF2-40B4-BE49-F238E27FC236}">
              <a16:creationId xmlns:a16="http://schemas.microsoft.com/office/drawing/2014/main" id="{00000000-0008-0000-0F00-00002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3" name="Text Box 302">
          <a:extLst>
            <a:ext uri="{FF2B5EF4-FFF2-40B4-BE49-F238E27FC236}">
              <a16:creationId xmlns:a16="http://schemas.microsoft.com/office/drawing/2014/main" id="{00000000-0008-0000-0F00-00002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4" name="Text Box 303">
          <a:extLst>
            <a:ext uri="{FF2B5EF4-FFF2-40B4-BE49-F238E27FC236}">
              <a16:creationId xmlns:a16="http://schemas.microsoft.com/office/drawing/2014/main" id="{00000000-0008-0000-0F00-00003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5" name="Text Box 304">
          <a:extLst>
            <a:ext uri="{FF2B5EF4-FFF2-40B4-BE49-F238E27FC236}">
              <a16:creationId xmlns:a16="http://schemas.microsoft.com/office/drawing/2014/main" id="{00000000-0008-0000-0F00-00003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6" name="Text Box 305">
          <a:extLst>
            <a:ext uri="{FF2B5EF4-FFF2-40B4-BE49-F238E27FC236}">
              <a16:creationId xmlns:a16="http://schemas.microsoft.com/office/drawing/2014/main" id="{00000000-0008-0000-0F00-00003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7" name="Text Box 306">
          <a:extLst>
            <a:ext uri="{FF2B5EF4-FFF2-40B4-BE49-F238E27FC236}">
              <a16:creationId xmlns:a16="http://schemas.microsoft.com/office/drawing/2014/main" id="{00000000-0008-0000-0F00-00003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8" name="Text Box 307">
          <a:extLst>
            <a:ext uri="{FF2B5EF4-FFF2-40B4-BE49-F238E27FC236}">
              <a16:creationId xmlns:a16="http://schemas.microsoft.com/office/drawing/2014/main" id="{00000000-0008-0000-0F00-00003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09" name="Text Box 308">
          <a:extLst>
            <a:ext uri="{FF2B5EF4-FFF2-40B4-BE49-F238E27FC236}">
              <a16:creationId xmlns:a16="http://schemas.microsoft.com/office/drawing/2014/main" id="{00000000-0008-0000-0F00-00003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0" name="Text Box 309">
          <a:extLst>
            <a:ext uri="{FF2B5EF4-FFF2-40B4-BE49-F238E27FC236}">
              <a16:creationId xmlns:a16="http://schemas.microsoft.com/office/drawing/2014/main" id="{00000000-0008-0000-0F00-00003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1" name="Text Box 310">
          <a:extLst>
            <a:ext uri="{FF2B5EF4-FFF2-40B4-BE49-F238E27FC236}">
              <a16:creationId xmlns:a16="http://schemas.microsoft.com/office/drawing/2014/main" id="{00000000-0008-0000-0F00-00003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2" name="Text Box 311">
          <a:extLst>
            <a:ext uri="{FF2B5EF4-FFF2-40B4-BE49-F238E27FC236}">
              <a16:creationId xmlns:a16="http://schemas.microsoft.com/office/drawing/2014/main" id="{00000000-0008-0000-0F00-00003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3" name="Text Box 312">
          <a:extLst>
            <a:ext uri="{FF2B5EF4-FFF2-40B4-BE49-F238E27FC236}">
              <a16:creationId xmlns:a16="http://schemas.microsoft.com/office/drawing/2014/main" id="{00000000-0008-0000-0F00-00003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4" name="Text Box 313">
          <a:extLst>
            <a:ext uri="{FF2B5EF4-FFF2-40B4-BE49-F238E27FC236}">
              <a16:creationId xmlns:a16="http://schemas.microsoft.com/office/drawing/2014/main" id="{00000000-0008-0000-0F00-00003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5" name="Text Box 314">
          <a:extLst>
            <a:ext uri="{FF2B5EF4-FFF2-40B4-BE49-F238E27FC236}">
              <a16:creationId xmlns:a16="http://schemas.microsoft.com/office/drawing/2014/main" id="{00000000-0008-0000-0F00-00003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6" name="Text Box 315">
          <a:extLst>
            <a:ext uri="{FF2B5EF4-FFF2-40B4-BE49-F238E27FC236}">
              <a16:creationId xmlns:a16="http://schemas.microsoft.com/office/drawing/2014/main" id="{00000000-0008-0000-0F00-00003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7" name="Text Box 316">
          <a:extLst>
            <a:ext uri="{FF2B5EF4-FFF2-40B4-BE49-F238E27FC236}">
              <a16:creationId xmlns:a16="http://schemas.microsoft.com/office/drawing/2014/main" id="{00000000-0008-0000-0F00-00003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8" name="Text Box 317">
          <a:extLst>
            <a:ext uri="{FF2B5EF4-FFF2-40B4-BE49-F238E27FC236}">
              <a16:creationId xmlns:a16="http://schemas.microsoft.com/office/drawing/2014/main" id="{00000000-0008-0000-0F00-00003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19" name="Text Box 318">
          <a:extLst>
            <a:ext uri="{FF2B5EF4-FFF2-40B4-BE49-F238E27FC236}">
              <a16:creationId xmlns:a16="http://schemas.microsoft.com/office/drawing/2014/main" id="{00000000-0008-0000-0F00-00003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0" name="Text Box 319">
          <a:extLst>
            <a:ext uri="{FF2B5EF4-FFF2-40B4-BE49-F238E27FC236}">
              <a16:creationId xmlns:a16="http://schemas.microsoft.com/office/drawing/2014/main" id="{00000000-0008-0000-0F00-00004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1" name="Text Box 320">
          <a:extLst>
            <a:ext uri="{FF2B5EF4-FFF2-40B4-BE49-F238E27FC236}">
              <a16:creationId xmlns:a16="http://schemas.microsoft.com/office/drawing/2014/main" id="{00000000-0008-0000-0F00-00004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2" name="Text Box 321">
          <a:extLst>
            <a:ext uri="{FF2B5EF4-FFF2-40B4-BE49-F238E27FC236}">
              <a16:creationId xmlns:a16="http://schemas.microsoft.com/office/drawing/2014/main" id="{00000000-0008-0000-0F00-00004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3" name="Text Box 322">
          <a:extLst>
            <a:ext uri="{FF2B5EF4-FFF2-40B4-BE49-F238E27FC236}">
              <a16:creationId xmlns:a16="http://schemas.microsoft.com/office/drawing/2014/main" id="{00000000-0008-0000-0F00-00004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4" name="Text Box 323">
          <a:extLst>
            <a:ext uri="{FF2B5EF4-FFF2-40B4-BE49-F238E27FC236}">
              <a16:creationId xmlns:a16="http://schemas.microsoft.com/office/drawing/2014/main" id="{00000000-0008-0000-0F00-00004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5" name="Text Box 324">
          <a:extLst>
            <a:ext uri="{FF2B5EF4-FFF2-40B4-BE49-F238E27FC236}">
              <a16:creationId xmlns:a16="http://schemas.microsoft.com/office/drawing/2014/main" id="{00000000-0008-0000-0F00-00004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6" name="Text Box 325">
          <a:extLst>
            <a:ext uri="{FF2B5EF4-FFF2-40B4-BE49-F238E27FC236}">
              <a16:creationId xmlns:a16="http://schemas.microsoft.com/office/drawing/2014/main" id="{00000000-0008-0000-0F00-00004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7" name="Text Box 326">
          <a:extLst>
            <a:ext uri="{FF2B5EF4-FFF2-40B4-BE49-F238E27FC236}">
              <a16:creationId xmlns:a16="http://schemas.microsoft.com/office/drawing/2014/main" id="{00000000-0008-0000-0F00-00004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8" name="Text Box 327">
          <a:extLst>
            <a:ext uri="{FF2B5EF4-FFF2-40B4-BE49-F238E27FC236}">
              <a16:creationId xmlns:a16="http://schemas.microsoft.com/office/drawing/2014/main" id="{00000000-0008-0000-0F00-00004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29" name="Text Box 328">
          <a:extLst>
            <a:ext uri="{FF2B5EF4-FFF2-40B4-BE49-F238E27FC236}">
              <a16:creationId xmlns:a16="http://schemas.microsoft.com/office/drawing/2014/main" id="{00000000-0008-0000-0F00-00004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0" name="Text Box 329">
          <a:extLst>
            <a:ext uri="{FF2B5EF4-FFF2-40B4-BE49-F238E27FC236}">
              <a16:creationId xmlns:a16="http://schemas.microsoft.com/office/drawing/2014/main" id="{00000000-0008-0000-0F00-00004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1" name="Text Box 330">
          <a:extLst>
            <a:ext uri="{FF2B5EF4-FFF2-40B4-BE49-F238E27FC236}">
              <a16:creationId xmlns:a16="http://schemas.microsoft.com/office/drawing/2014/main" id="{00000000-0008-0000-0F00-00004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2" name="Text Box 331">
          <a:extLst>
            <a:ext uri="{FF2B5EF4-FFF2-40B4-BE49-F238E27FC236}">
              <a16:creationId xmlns:a16="http://schemas.microsoft.com/office/drawing/2014/main" id="{00000000-0008-0000-0F00-00004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3" name="Text Box 332">
          <a:extLst>
            <a:ext uri="{FF2B5EF4-FFF2-40B4-BE49-F238E27FC236}">
              <a16:creationId xmlns:a16="http://schemas.microsoft.com/office/drawing/2014/main" id="{00000000-0008-0000-0F00-00004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4" name="Text Box 333">
          <a:extLst>
            <a:ext uri="{FF2B5EF4-FFF2-40B4-BE49-F238E27FC236}">
              <a16:creationId xmlns:a16="http://schemas.microsoft.com/office/drawing/2014/main" id="{00000000-0008-0000-0F00-00004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5" name="Text Box 334">
          <a:extLst>
            <a:ext uri="{FF2B5EF4-FFF2-40B4-BE49-F238E27FC236}">
              <a16:creationId xmlns:a16="http://schemas.microsoft.com/office/drawing/2014/main" id="{00000000-0008-0000-0F00-00004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6" name="Text Box 335">
          <a:extLst>
            <a:ext uri="{FF2B5EF4-FFF2-40B4-BE49-F238E27FC236}">
              <a16:creationId xmlns:a16="http://schemas.microsoft.com/office/drawing/2014/main" id="{00000000-0008-0000-0F00-00005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7" name="Text Box 336">
          <a:extLst>
            <a:ext uri="{FF2B5EF4-FFF2-40B4-BE49-F238E27FC236}">
              <a16:creationId xmlns:a16="http://schemas.microsoft.com/office/drawing/2014/main" id="{00000000-0008-0000-0F00-00005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8" name="Text Box 337">
          <a:extLst>
            <a:ext uri="{FF2B5EF4-FFF2-40B4-BE49-F238E27FC236}">
              <a16:creationId xmlns:a16="http://schemas.microsoft.com/office/drawing/2014/main" id="{00000000-0008-0000-0F00-00005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39" name="Text Box 338">
          <a:extLst>
            <a:ext uri="{FF2B5EF4-FFF2-40B4-BE49-F238E27FC236}">
              <a16:creationId xmlns:a16="http://schemas.microsoft.com/office/drawing/2014/main" id="{00000000-0008-0000-0F00-00005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0" name="Text Box 339">
          <a:extLst>
            <a:ext uri="{FF2B5EF4-FFF2-40B4-BE49-F238E27FC236}">
              <a16:creationId xmlns:a16="http://schemas.microsoft.com/office/drawing/2014/main" id="{00000000-0008-0000-0F00-00005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1" name="Text Box 340">
          <a:extLst>
            <a:ext uri="{FF2B5EF4-FFF2-40B4-BE49-F238E27FC236}">
              <a16:creationId xmlns:a16="http://schemas.microsoft.com/office/drawing/2014/main" id="{00000000-0008-0000-0F00-00005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2" name="Text Box 341">
          <a:extLst>
            <a:ext uri="{FF2B5EF4-FFF2-40B4-BE49-F238E27FC236}">
              <a16:creationId xmlns:a16="http://schemas.microsoft.com/office/drawing/2014/main" id="{00000000-0008-0000-0F00-00005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3" name="Text Box 342">
          <a:extLst>
            <a:ext uri="{FF2B5EF4-FFF2-40B4-BE49-F238E27FC236}">
              <a16:creationId xmlns:a16="http://schemas.microsoft.com/office/drawing/2014/main" id="{00000000-0008-0000-0F00-00005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4" name="Text Box 343">
          <a:extLst>
            <a:ext uri="{FF2B5EF4-FFF2-40B4-BE49-F238E27FC236}">
              <a16:creationId xmlns:a16="http://schemas.microsoft.com/office/drawing/2014/main" id="{00000000-0008-0000-0F00-00005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5" name="Text Box 344">
          <a:extLst>
            <a:ext uri="{FF2B5EF4-FFF2-40B4-BE49-F238E27FC236}">
              <a16:creationId xmlns:a16="http://schemas.microsoft.com/office/drawing/2014/main" id="{00000000-0008-0000-0F00-00005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6" name="Text Box 345">
          <a:extLst>
            <a:ext uri="{FF2B5EF4-FFF2-40B4-BE49-F238E27FC236}">
              <a16:creationId xmlns:a16="http://schemas.microsoft.com/office/drawing/2014/main" id="{00000000-0008-0000-0F00-00005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7" name="Text Box 346">
          <a:extLst>
            <a:ext uri="{FF2B5EF4-FFF2-40B4-BE49-F238E27FC236}">
              <a16:creationId xmlns:a16="http://schemas.microsoft.com/office/drawing/2014/main" id="{00000000-0008-0000-0F00-00005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8" name="Text Box 347">
          <a:extLst>
            <a:ext uri="{FF2B5EF4-FFF2-40B4-BE49-F238E27FC236}">
              <a16:creationId xmlns:a16="http://schemas.microsoft.com/office/drawing/2014/main" id="{00000000-0008-0000-0F00-00005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49" name="Text Box 348">
          <a:extLst>
            <a:ext uri="{FF2B5EF4-FFF2-40B4-BE49-F238E27FC236}">
              <a16:creationId xmlns:a16="http://schemas.microsoft.com/office/drawing/2014/main" id="{00000000-0008-0000-0F00-00005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0" name="Text Box 349">
          <a:extLst>
            <a:ext uri="{FF2B5EF4-FFF2-40B4-BE49-F238E27FC236}">
              <a16:creationId xmlns:a16="http://schemas.microsoft.com/office/drawing/2014/main" id="{00000000-0008-0000-0F00-00005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1" name="Text Box 350">
          <a:extLst>
            <a:ext uri="{FF2B5EF4-FFF2-40B4-BE49-F238E27FC236}">
              <a16:creationId xmlns:a16="http://schemas.microsoft.com/office/drawing/2014/main" id="{00000000-0008-0000-0F00-00005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2" name="Text Box 351">
          <a:extLst>
            <a:ext uri="{FF2B5EF4-FFF2-40B4-BE49-F238E27FC236}">
              <a16:creationId xmlns:a16="http://schemas.microsoft.com/office/drawing/2014/main" id="{00000000-0008-0000-0F00-00006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3" name="Text Box 352">
          <a:extLst>
            <a:ext uri="{FF2B5EF4-FFF2-40B4-BE49-F238E27FC236}">
              <a16:creationId xmlns:a16="http://schemas.microsoft.com/office/drawing/2014/main" id="{00000000-0008-0000-0F00-00006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4" name="Text Box 353">
          <a:extLst>
            <a:ext uri="{FF2B5EF4-FFF2-40B4-BE49-F238E27FC236}">
              <a16:creationId xmlns:a16="http://schemas.microsoft.com/office/drawing/2014/main" id="{00000000-0008-0000-0F00-00006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5" name="Text Box 354">
          <a:extLst>
            <a:ext uri="{FF2B5EF4-FFF2-40B4-BE49-F238E27FC236}">
              <a16:creationId xmlns:a16="http://schemas.microsoft.com/office/drawing/2014/main" id="{00000000-0008-0000-0F00-00006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6" name="Text Box 355">
          <a:extLst>
            <a:ext uri="{FF2B5EF4-FFF2-40B4-BE49-F238E27FC236}">
              <a16:creationId xmlns:a16="http://schemas.microsoft.com/office/drawing/2014/main" id="{00000000-0008-0000-0F00-00006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7" name="Text Box 356">
          <a:extLst>
            <a:ext uri="{FF2B5EF4-FFF2-40B4-BE49-F238E27FC236}">
              <a16:creationId xmlns:a16="http://schemas.microsoft.com/office/drawing/2014/main" id="{00000000-0008-0000-0F00-00006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8" name="Text Box 357">
          <a:extLst>
            <a:ext uri="{FF2B5EF4-FFF2-40B4-BE49-F238E27FC236}">
              <a16:creationId xmlns:a16="http://schemas.microsoft.com/office/drawing/2014/main" id="{00000000-0008-0000-0F00-00006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59" name="Text Box 358">
          <a:extLst>
            <a:ext uri="{FF2B5EF4-FFF2-40B4-BE49-F238E27FC236}">
              <a16:creationId xmlns:a16="http://schemas.microsoft.com/office/drawing/2014/main" id="{00000000-0008-0000-0F00-00006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0" name="Text Box 359">
          <a:extLst>
            <a:ext uri="{FF2B5EF4-FFF2-40B4-BE49-F238E27FC236}">
              <a16:creationId xmlns:a16="http://schemas.microsoft.com/office/drawing/2014/main" id="{00000000-0008-0000-0F00-00006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1" name="Text Box 360">
          <a:extLst>
            <a:ext uri="{FF2B5EF4-FFF2-40B4-BE49-F238E27FC236}">
              <a16:creationId xmlns:a16="http://schemas.microsoft.com/office/drawing/2014/main" id="{00000000-0008-0000-0F00-00006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2" name="Text Box 361">
          <a:extLst>
            <a:ext uri="{FF2B5EF4-FFF2-40B4-BE49-F238E27FC236}">
              <a16:creationId xmlns:a16="http://schemas.microsoft.com/office/drawing/2014/main" id="{00000000-0008-0000-0F00-00006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3" name="Text Box 362">
          <a:extLst>
            <a:ext uri="{FF2B5EF4-FFF2-40B4-BE49-F238E27FC236}">
              <a16:creationId xmlns:a16="http://schemas.microsoft.com/office/drawing/2014/main" id="{00000000-0008-0000-0F00-00006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4" name="Text Box 363">
          <a:extLst>
            <a:ext uri="{FF2B5EF4-FFF2-40B4-BE49-F238E27FC236}">
              <a16:creationId xmlns:a16="http://schemas.microsoft.com/office/drawing/2014/main" id="{00000000-0008-0000-0F00-00006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5" name="Text Box 364">
          <a:extLst>
            <a:ext uri="{FF2B5EF4-FFF2-40B4-BE49-F238E27FC236}">
              <a16:creationId xmlns:a16="http://schemas.microsoft.com/office/drawing/2014/main" id="{00000000-0008-0000-0F00-00006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6" name="Text Box 365">
          <a:extLst>
            <a:ext uri="{FF2B5EF4-FFF2-40B4-BE49-F238E27FC236}">
              <a16:creationId xmlns:a16="http://schemas.microsoft.com/office/drawing/2014/main" id="{00000000-0008-0000-0F00-00006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7" name="Text Box 366">
          <a:extLst>
            <a:ext uri="{FF2B5EF4-FFF2-40B4-BE49-F238E27FC236}">
              <a16:creationId xmlns:a16="http://schemas.microsoft.com/office/drawing/2014/main" id="{00000000-0008-0000-0F00-00006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8" name="Text Box 367">
          <a:extLst>
            <a:ext uri="{FF2B5EF4-FFF2-40B4-BE49-F238E27FC236}">
              <a16:creationId xmlns:a16="http://schemas.microsoft.com/office/drawing/2014/main" id="{00000000-0008-0000-0F00-00007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69" name="Text Box 368">
          <a:extLst>
            <a:ext uri="{FF2B5EF4-FFF2-40B4-BE49-F238E27FC236}">
              <a16:creationId xmlns:a16="http://schemas.microsoft.com/office/drawing/2014/main" id="{00000000-0008-0000-0F00-00007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0" name="Text Box 369">
          <a:extLst>
            <a:ext uri="{FF2B5EF4-FFF2-40B4-BE49-F238E27FC236}">
              <a16:creationId xmlns:a16="http://schemas.microsoft.com/office/drawing/2014/main" id="{00000000-0008-0000-0F00-00007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1" name="Text Box 370">
          <a:extLst>
            <a:ext uri="{FF2B5EF4-FFF2-40B4-BE49-F238E27FC236}">
              <a16:creationId xmlns:a16="http://schemas.microsoft.com/office/drawing/2014/main" id="{00000000-0008-0000-0F00-00007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2" name="Text Box 371">
          <a:extLst>
            <a:ext uri="{FF2B5EF4-FFF2-40B4-BE49-F238E27FC236}">
              <a16:creationId xmlns:a16="http://schemas.microsoft.com/office/drawing/2014/main" id="{00000000-0008-0000-0F00-00007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3" name="Text Box 372">
          <a:extLst>
            <a:ext uri="{FF2B5EF4-FFF2-40B4-BE49-F238E27FC236}">
              <a16:creationId xmlns:a16="http://schemas.microsoft.com/office/drawing/2014/main" id="{00000000-0008-0000-0F00-00007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4" name="Text Box 373">
          <a:extLst>
            <a:ext uri="{FF2B5EF4-FFF2-40B4-BE49-F238E27FC236}">
              <a16:creationId xmlns:a16="http://schemas.microsoft.com/office/drawing/2014/main" id="{00000000-0008-0000-0F00-00007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5" name="Text Box 374">
          <a:extLst>
            <a:ext uri="{FF2B5EF4-FFF2-40B4-BE49-F238E27FC236}">
              <a16:creationId xmlns:a16="http://schemas.microsoft.com/office/drawing/2014/main" id="{00000000-0008-0000-0F00-00007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6" name="Text Box 375">
          <a:extLst>
            <a:ext uri="{FF2B5EF4-FFF2-40B4-BE49-F238E27FC236}">
              <a16:creationId xmlns:a16="http://schemas.microsoft.com/office/drawing/2014/main" id="{00000000-0008-0000-0F00-00007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7" name="Text Box 376">
          <a:extLst>
            <a:ext uri="{FF2B5EF4-FFF2-40B4-BE49-F238E27FC236}">
              <a16:creationId xmlns:a16="http://schemas.microsoft.com/office/drawing/2014/main" id="{00000000-0008-0000-0F00-00007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8" name="Text Box 377">
          <a:extLst>
            <a:ext uri="{FF2B5EF4-FFF2-40B4-BE49-F238E27FC236}">
              <a16:creationId xmlns:a16="http://schemas.microsoft.com/office/drawing/2014/main" id="{00000000-0008-0000-0F00-00007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79" name="Text Box 378">
          <a:extLst>
            <a:ext uri="{FF2B5EF4-FFF2-40B4-BE49-F238E27FC236}">
              <a16:creationId xmlns:a16="http://schemas.microsoft.com/office/drawing/2014/main" id="{00000000-0008-0000-0F00-00007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0" name="Text Box 379">
          <a:extLst>
            <a:ext uri="{FF2B5EF4-FFF2-40B4-BE49-F238E27FC236}">
              <a16:creationId xmlns:a16="http://schemas.microsoft.com/office/drawing/2014/main" id="{00000000-0008-0000-0F00-00007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1" name="Text Box 380">
          <a:extLst>
            <a:ext uri="{FF2B5EF4-FFF2-40B4-BE49-F238E27FC236}">
              <a16:creationId xmlns:a16="http://schemas.microsoft.com/office/drawing/2014/main" id="{00000000-0008-0000-0F00-00007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2" name="Text Box 381">
          <a:extLst>
            <a:ext uri="{FF2B5EF4-FFF2-40B4-BE49-F238E27FC236}">
              <a16:creationId xmlns:a16="http://schemas.microsoft.com/office/drawing/2014/main" id="{00000000-0008-0000-0F00-00007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3" name="Text Box 382">
          <a:extLst>
            <a:ext uri="{FF2B5EF4-FFF2-40B4-BE49-F238E27FC236}">
              <a16:creationId xmlns:a16="http://schemas.microsoft.com/office/drawing/2014/main" id="{00000000-0008-0000-0F00-00007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4" name="Text Box 383">
          <a:extLst>
            <a:ext uri="{FF2B5EF4-FFF2-40B4-BE49-F238E27FC236}">
              <a16:creationId xmlns:a16="http://schemas.microsoft.com/office/drawing/2014/main" id="{00000000-0008-0000-0F00-00008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5" name="Text Box 384">
          <a:extLst>
            <a:ext uri="{FF2B5EF4-FFF2-40B4-BE49-F238E27FC236}">
              <a16:creationId xmlns:a16="http://schemas.microsoft.com/office/drawing/2014/main" id="{00000000-0008-0000-0F00-00008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6" name="Text Box 385">
          <a:extLst>
            <a:ext uri="{FF2B5EF4-FFF2-40B4-BE49-F238E27FC236}">
              <a16:creationId xmlns:a16="http://schemas.microsoft.com/office/drawing/2014/main" id="{00000000-0008-0000-0F00-00008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7" name="Text Box 386">
          <a:extLst>
            <a:ext uri="{FF2B5EF4-FFF2-40B4-BE49-F238E27FC236}">
              <a16:creationId xmlns:a16="http://schemas.microsoft.com/office/drawing/2014/main" id="{00000000-0008-0000-0F00-00008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8" name="Text Box 387">
          <a:extLst>
            <a:ext uri="{FF2B5EF4-FFF2-40B4-BE49-F238E27FC236}">
              <a16:creationId xmlns:a16="http://schemas.microsoft.com/office/drawing/2014/main" id="{00000000-0008-0000-0F00-00008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89" name="Text Box 388">
          <a:extLst>
            <a:ext uri="{FF2B5EF4-FFF2-40B4-BE49-F238E27FC236}">
              <a16:creationId xmlns:a16="http://schemas.microsoft.com/office/drawing/2014/main" id="{00000000-0008-0000-0F00-00008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0" name="Text Box 389">
          <a:extLst>
            <a:ext uri="{FF2B5EF4-FFF2-40B4-BE49-F238E27FC236}">
              <a16:creationId xmlns:a16="http://schemas.microsoft.com/office/drawing/2014/main" id="{00000000-0008-0000-0F00-00008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1" name="Text Box 390">
          <a:extLst>
            <a:ext uri="{FF2B5EF4-FFF2-40B4-BE49-F238E27FC236}">
              <a16:creationId xmlns:a16="http://schemas.microsoft.com/office/drawing/2014/main" id="{00000000-0008-0000-0F00-00008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2" name="Text Box 391">
          <a:extLst>
            <a:ext uri="{FF2B5EF4-FFF2-40B4-BE49-F238E27FC236}">
              <a16:creationId xmlns:a16="http://schemas.microsoft.com/office/drawing/2014/main" id="{00000000-0008-0000-0F00-00008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3" name="Text Box 392">
          <a:extLst>
            <a:ext uri="{FF2B5EF4-FFF2-40B4-BE49-F238E27FC236}">
              <a16:creationId xmlns:a16="http://schemas.microsoft.com/office/drawing/2014/main" id="{00000000-0008-0000-0F00-00008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4" name="Text Box 393">
          <a:extLst>
            <a:ext uri="{FF2B5EF4-FFF2-40B4-BE49-F238E27FC236}">
              <a16:creationId xmlns:a16="http://schemas.microsoft.com/office/drawing/2014/main" id="{00000000-0008-0000-0F00-00008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5" name="Text Box 394">
          <a:extLst>
            <a:ext uri="{FF2B5EF4-FFF2-40B4-BE49-F238E27FC236}">
              <a16:creationId xmlns:a16="http://schemas.microsoft.com/office/drawing/2014/main" id="{00000000-0008-0000-0F00-00008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6" name="Text Box 395">
          <a:extLst>
            <a:ext uri="{FF2B5EF4-FFF2-40B4-BE49-F238E27FC236}">
              <a16:creationId xmlns:a16="http://schemas.microsoft.com/office/drawing/2014/main" id="{00000000-0008-0000-0F00-00008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7" name="Text Box 396">
          <a:extLst>
            <a:ext uri="{FF2B5EF4-FFF2-40B4-BE49-F238E27FC236}">
              <a16:creationId xmlns:a16="http://schemas.microsoft.com/office/drawing/2014/main" id="{00000000-0008-0000-0F00-00008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8" name="Text Box 397">
          <a:extLst>
            <a:ext uri="{FF2B5EF4-FFF2-40B4-BE49-F238E27FC236}">
              <a16:creationId xmlns:a16="http://schemas.microsoft.com/office/drawing/2014/main" id="{00000000-0008-0000-0F00-00008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399" name="Text Box 398">
          <a:extLst>
            <a:ext uri="{FF2B5EF4-FFF2-40B4-BE49-F238E27FC236}">
              <a16:creationId xmlns:a16="http://schemas.microsoft.com/office/drawing/2014/main" id="{00000000-0008-0000-0F00-00008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0" name="Text Box 399">
          <a:extLst>
            <a:ext uri="{FF2B5EF4-FFF2-40B4-BE49-F238E27FC236}">
              <a16:creationId xmlns:a16="http://schemas.microsoft.com/office/drawing/2014/main" id="{00000000-0008-0000-0F00-00009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1" name="Text Box 400">
          <a:extLst>
            <a:ext uri="{FF2B5EF4-FFF2-40B4-BE49-F238E27FC236}">
              <a16:creationId xmlns:a16="http://schemas.microsoft.com/office/drawing/2014/main" id="{00000000-0008-0000-0F00-00009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2" name="Text Box 401">
          <a:extLst>
            <a:ext uri="{FF2B5EF4-FFF2-40B4-BE49-F238E27FC236}">
              <a16:creationId xmlns:a16="http://schemas.microsoft.com/office/drawing/2014/main" id="{00000000-0008-0000-0F00-00009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3" name="Text Box 402">
          <a:extLst>
            <a:ext uri="{FF2B5EF4-FFF2-40B4-BE49-F238E27FC236}">
              <a16:creationId xmlns:a16="http://schemas.microsoft.com/office/drawing/2014/main" id="{00000000-0008-0000-0F00-00009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4" name="Text Box 403">
          <a:extLst>
            <a:ext uri="{FF2B5EF4-FFF2-40B4-BE49-F238E27FC236}">
              <a16:creationId xmlns:a16="http://schemas.microsoft.com/office/drawing/2014/main" id="{00000000-0008-0000-0F00-00009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5" name="Text Box 404">
          <a:extLst>
            <a:ext uri="{FF2B5EF4-FFF2-40B4-BE49-F238E27FC236}">
              <a16:creationId xmlns:a16="http://schemas.microsoft.com/office/drawing/2014/main" id="{00000000-0008-0000-0F00-00009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6" name="Text Box 405">
          <a:extLst>
            <a:ext uri="{FF2B5EF4-FFF2-40B4-BE49-F238E27FC236}">
              <a16:creationId xmlns:a16="http://schemas.microsoft.com/office/drawing/2014/main" id="{00000000-0008-0000-0F00-00009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7" name="Text Box 406">
          <a:extLst>
            <a:ext uri="{FF2B5EF4-FFF2-40B4-BE49-F238E27FC236}">
              <a16:creationId xmlns:a16="http://schemas.microsoft.com/office/drawing/2014/main" id="{00000000-0008-0000-0F00-00009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8" name="Text Box 407">
          <a:extLst>
            <a:ext uri="{FF2B5EF4-FFF2-40B4-BE49-F238E27FC236}">
              <a16:creationId xmlns:a16="http://schemas.microsoft.com/office/drawing/2014/main" id="{00000000-0008-0000-0F00-00009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09" name="Text Box 408">
          <a:extLst>
            <a:ext uri="{FF2B5EF4-FFF2-40B4-BE49-F238E27FC236}">
              <a16:creationId xmlns:a16="http://schemas.microsoft.com/office/drawing/2014/main" id="{00000000-0008-0000-0F00-00009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0" name="Text Box 409">
          <a:extLst>
            <a:ext uri="{FF2B5EF4-FFF2-40B4-BE49-F238E27FC236}">
              <a16:creationId xmlns:a16="http://schemas.microsoft.com/office/drawing/2014/main" id="{00000000-0008-0000-0F00-00009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1" name="Text Box 410">
          <a:extLst>
            <a:ext uri="{FF2B5EF4-FFF2-40B4-BE49-F238E27FC236}">
              <a16:creationId xmlns:a16="http://schemas.microsoft.com/office/drawing/2014/main" id="{00000000-0008-0000-0F00-00009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2" name="Text Box 411">
          <a:extLst>
            <a:ext uri="{FF2B5EF4-FFF2-40B4-BE49-F238E27FC236}">
              <a16:creationId xmlns:a16="http://schemas.microsoft.com/office/drawing/2014/main" id="{00000000-0008-0000-0F00-00009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3" name="Text Box 412">
          <a:extLst>
            <a:ext uri="{FF2B5EF4-FFF2-40B4-BE49-F238E27FC236}">
              <a16:creationId xmlns:a16="http://schemas.microsoft.com/office/drawing/2014/main" id="{00000000-0008-0000-0F00-00009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4" name="Text Box 413">
          <a:extLst>
            <a:ext uri="{FF2B5EF4-FFF2-40B4-BE49-F238E27FC236}">
              <a16:creationId xmlns:a16="http://schemas.microsoft.com/office/drawing/2014/main" id="{00000000-0008-0000-0F00-00009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5" name="Text Box 414">
          <a:extLst>
            <a:ext uri="{FF2B5EF4-FFF2-40B4-BE49-F238E27FC236}">
              <a16:creationId xmlns:a16="http://schemas.microsoft.com/office/drawing/2014/main" id="{00000000-0008-0000-0F00-00009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6" name="Text Box 415">
          <a:extLst>
            <a:ext uri="{FF2B5EF4-FFF2-40B4-BE49-F238E27FC236}">
              <a16:creationId xmlns:a16="http://schemas.microsoft.com/office/drawing/2014/main" id="{00000000-0008-0000-0F00-0000A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7" name="Text Box 416">
          <a:extLst>
            <a:ext uri="{FF2B5EF4-FFF2-40B4-BE49-F238E27FC236}">
              <a16:creationId xmlns:a16="http://schemas.microsoft.com/office/drawing/2014/main" id="{00000000-0008-0000-0F00-0000A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8" name="Text Box 417">
          <a:extLst>
            <a:ext uri="{FF2B5EF4-FFF2-40B4-BE49-F238E27FC236}">
              <a16:creationId xmlns:a16="http://schemas.microsoft.com/office/drawing/2014/main" id="{00000000-0008-0000-0F00-0000A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19" name="Text Box 418">
          <a:extLst>
            <a:ext uri="{FF2B5EF4-FFF2-40B4-BE49-F238E27FC236}">
              <a16:creationId xmlns:a16="http://schemas.microsoft.com/office/drawing/2014/main" id="{00000000-0008-0000-0F00-0000A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0" name="Text Box 419">
          <a:extLst>
            <a:ext uri="{FF2B5EF4-FFF2-40B4-BE49-F238E27FC236}">
              <a16:creationId xmlns:a16="http://schemas.microsoft.com/office/drawing/2014/main" id="{00000000-0008-0000-0F00-0000A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1" name="Text Box 420">
          <a:extLst>
            <a:ext uri="{FF2B5EF4-FFF2-40B4-BE49-F238E27FC236}">
              <a16:creationId xmlns:a16="http://schemas.microsoft.com/office/drawing/2014/main" id="{00000000-0008-0000-0F00-0000A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2" name="Text Box 421">
          <a:extLst>
            <a:ext uri="{FF2B5EF4-FFF2-40B4-BE49-F238E27FC236}">
              <a16:creationId xmlns:a16="http://schemas.microsoft.com/office/drawing/2014/main" id="{00000000-0008-0000-0F00-0000A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3" name="Text Box 422">
          <a:extLst>
            <a:ext uri="{FF2B5EF4-FFF2-40B4-BE49-F238E27FC236}">
              <a16:creationId xmlns:a16="http://schemas.microsoft.com/office/drawing/2014/main" id="{00000000-0008-0000-0F00-0000A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4" name="Text Box 423">
          <a:extLst>
            <a:ext uri="{FF2B5EF4-FFF2-40B4-BE49-F238E27FC236}">
              <a16:creationId xmlns:a16="http://schemas.microsoft.com/office/drawing/2014/main" id="{00000000-0008-0000-0F00-0000A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5" name="Text Box 424">
          <a:extLst>
            <a:ext uri="{FF2B5EF4-FFF2-40B4-BE49-F238E27FC236}">
              <a16:creationId xmlns:a16="http://schemas.microsoft.com/office/drawing/2014/main" id="{00000000-0008-0000-0F00-0000A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6" name="Text Box 425">
          <a:extLst>
            <a:ext uri="{FF2B5EF4-FFF2-40B4-BE49-F238E27FC236}">
              <a16:creationId xmlns:a16="http://schemas.microsoft.com/office/drawing/2014/main" id="{00000000-0008-0000-0F00-0000A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7" name="Text Box 426">
          <a:extLst>
            <a:ext uri="{FF2B5EF4-FFF2-40B4-BE49-F238E27FC236}">
              <a16:creationId xmlns:a16="http://schemas.microsoft.com/office/drawing/2014/main" id="{00000000-0008-0000-0F00-0000A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8" name="Text Box 427">
          <a:extLst>
            <a:ext uri="{FF2B5EF4-FFF2-40B4-BE49-F238E27FC236}">
              <a16:creationId xmlns:a16="http://schemas.microsoft.com/office/drawing/2014/main" id="{00000000-0008-0000-0F00-0000A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29" name="Text Box 428">
          <a:extLst>
            <a:ext uri="{FF2B5EF4-FFF2-40B4-BE49-F238E27FC236}">
              <a16:creationId xmlns:a16="http://schemas.microsoft.com/office/drawing/2014/main" id="{00000000-0008-0000-0F00-0000A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0" name="Text Box 429">
          <a:extLst>
            <a:ext uri="{FF2B5EF4-FFF2-40B4-BE49-F238E27FC236}">
              <a16:creationId xmlns:a16="http://schemas.microsoft.com/office/drawing/2014/main" id="{00000000-0008-0000-0F00-0000A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1" name="Text Box 430">
          <a:extLst>
            <a:ext uri="{FF2B5EF4-FFF2-40B4-BE49-F238E27FC236}">
              <a16:creationId xmlns:a16="http://schemas.microsoft.com/office/drawing/2014/main" id="{00000000-0008-0000-0F00-0000A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2" name="Text Box 431">
          <a:extLst>
            <a:ext uri="{FF2B5EF4-FFF2-40B4-BE49-F238E27FC236}">
              <a16:creationId xmlns:a16="http://schemas.microsoft.com/office/drawing/2014/main" id="{00000000-0008-0000-0F00-0000B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3" name="Text Box 432">
          <a:extLst>
            <a:ext uri="{FF2B5EF4-FFF2-40B4-BE49-F238E27FC236}">
              <a16:creationId xmlns:a16="http://schemas.microsoft.com/office/drawing/2014/main" id="{00000000-0008-0000-0F00-0000B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4" name="Text Box 433">
          <a:extLst>
            <a:ext uri="{FF2B5EF4-FFF2-40B4-BE49-F238E27FC236}">
              <a16:creationId xmlns:a16="http://schemas.microsoft.com/office/drawing/2014/main" id="{00000000-0008-0000-0F00-0000B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5" name="Text Box 434">
          <a:extLst>
            <a:ext uri="{FF2B5EF4-FFF2-40B4-BE49-F238E27FC236}">
              <a16:creationId xmlns:a16="http://schemas.microsoft.com/office/drawing/2014/main" id="{00000000-0008-0000-0F00-0000B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6" name="Text Box 435">
          <a:extLst>
            <a:ext uri="{FF2B5EF4-FFF2-40B4-BE49-F238E27FC236}">
              <a16:creationId xmlns:a16="http://schemas.microsoft.com/office/drawing/2014/main" id="{00000000-0008-0000-0F00-0000B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7" name="Text Box 436">
          <a:extLst>
            <a:ext uri="{FF2B5EF4-FFF2-40B4-BE49-F238E27FC236}">
              <a16:creationId xmlns:a16="http://schemas.microsoft.com/office/drawing/2014/main" id="{00000000-0008-0000-0F00-0000B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8" name="Text Box 437">
          <a:extLst>
            <a:ext uri="{FF2B5EF4-FFF2-40B4-BE49-F238E27FC236}">
              <a16:creationId xmlns:a16="http://schemas.microsoft.com/office/drawing/2014/main" id="{00000000-0008-0000-0F00-0000B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39" name="Text Box 438">
          <a:extLst>
            <a:ext uri="{FF2B5EF4-FFF2-40B4-BE49-F238E27FC236}">
              <a16:creationId xmlns:a16="http://schemas.microsoft.com/office/drawing/2014/main" id="{00000000-0008-0000-0F00-0000B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0" name="Text Box 439">
          <a:extLst>
            <a:ext uri="{FF2B5EF4-FFF2-40B4-BE49-F238E27FC236}">
              <a16:creationId xmlns:a16="http://schemas.microsoft.com/office/drawing/2014/main" id="{00000000-0008-0000-0F00-0000B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1" name="Text Box 440">
          <a:extLst>
            <a:ext uri="{FF2B5EF4-FFF2-40B4-BE49-F238E27FC236}">
              <a16:creationId xmlns:a16="http://schemas.microsoft.com/office/drawing/2014/main" id="{00000000-0008-0000-0F00-0000B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2" name="Text Box 441">
          <a:extLst>
            <a:ext uri="{FF2B5EF4-FFF2-40B4-BE49-F238E27FC236}">
              <a16:creationId xmlns:a16="http://schemas.microsoft.com/office/drawing/2014/main" id="{00000000-0008-0000-0F00-0000B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3" name="Text Box 442">
          <a:extLst>
            <a:ext uri="{FF2B5EF4-FFF2-40B4-BE49-F238E27FC236}">
              <a16:creationId xmlns:a16="http://schemas.microsoft.com/office/drawing/2014/main" id="{00000000-0008-0000-0F00-0000B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4" name="Text Box 443">
          <a:extLst>
            <a:ext uri="{FF2B5EF4-FFF2-40B4-BE49-F238E27FC236}">
              <a16:creationId xmlns:a16="http://schemas.microsoft.com/office/drawing/2014/main" id="{00000000-0008-0000-0F00-0000B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5" name="Text Box 444">
          <a:extLst>
            <a:ext uri="{FF2B5EF4-FFF2-40B4-BE49-F238E27FC236}">
              <a16:creationId xmlns:a16="http://schemas.microsoft.com/office/drawing/2014/main" id="{00000000-0008-0000-0F00-0000B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6" name="Text Box 445">
          <a:extLst>
            <a:ext uri="{FF2B5EF4-FFF2-40B4-BE49-F238E27FC236}">
              <a16:creationId xmlns:a16="http://schemas.microsoft.com/office/drawing/2014/main" id="{00000000-0008-0000-0F00-0000B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7" name="Text Box 446">
          <a:extLst>
            <a:ext uri="{FF2B5EF4-FFF2-40B4-BE49-F238E27FC236}">
              <a16:creationId xmlns:a16="http://schemas.microsoft.com/office/drawing/2014/main" id="{00000000-0008-0000-0F00-0000B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8" name="Text Box 447">
          <a:extLst>
            <a:ext uri="{FF2B5EF4-FFF2-40B4-BE49-F238E27FC236}">
              <a16:creationId xmlns:a16="http://schemas.microsoft.com/office/drawing/2014/main" id="{00000000-0008-0000-0F00-0000C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49" name="Text Box 448">
          <a:extLst>
            <a:ext uri="{FF2B5EF4-FFF2-40B4-BE49-F238E27FC236}">
              <a16:creationId xmlns:a16="http://schemas.microsoft.com/office/drawing/2014/main" id="{00000000-0008-0000-0F00-0000C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0" name="Text Box 449">
          <a:extLst>
            <a:ext uri="{FF2B5EF4-FFF2-40B4-BE49-F238E27FC236}">
              <a16:creationId xmlns:a16="http://schemas.microsoft.com/office/drawing/2014/main" id="{00000000-0008-0000-0F00-0000C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1" name="Text Box 450">
          <a:extLst>
            <a:ext uri="{FF2B5EF4-FFF2-40B4-BE49-F238E27FC236}">
              <a16:creationId xmlns:a16="http://schemas.microsoft.com/office/drawing/2014/main" id="{00000000-0008-0000-0F00-0000C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2" name="Text Box 451">
          <a:extLst>
            <a:ext uri="{FF2B5EF4-FFF2-40B4-BE49-F238E27FC236}">
              <a16:creationId xmlns:a16="http://schemas.microsoft.com/office/drawing/2014/main" id="{00000000-0008-0000-0F00-0000C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3" name="Text Box 452">
          <a:extLst>
            <a:ext uri="{FF2B5EF4-FFF2-40B4-BE49-F238E27FC236}">
              <a16:creationId xmlns:a16="http://schemas.microsoft.com/office/drawing/2014/main" id="{00000000-0008-0000-0F00-0000C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4" name="Text Box 453">
          <a:extLst>
            <a:ext uri="{FF2B5EF4-FFF2-40B4-BE49-F238E27FC236}">
              <a16:creationId xmlns:a16="http://schemas.microsoft.com/office/drawing/2014/main" id="{00000000-0008-0000-0F00-0000C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5" name="Text Box 454">
          <a:extLst>
            <a:ext uri="{FF2B5EF4-FFF2-40B4-BE49-F238E27FC236}">
              <a16:creationId xmlns:a16="http://schemas.microsoft.com/office/drawing/2014/main" id="{00000000-0008-0000-0F00-0000C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6" name="Text Box 455">
          <a:extLst>
            <a:ext uri="{FF2B5EF4-FFF2-40B4-BE49-F238E27FC236}">
              <a16:creationId xmlns:a16="http://schemas.microsoft.com/office/drawing/2014/main" id="{00000000-0008-0000-0F00-0000C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7" name="Text Box 456">
          <a:extLst>
            <a:ext uri="{FF2B5EF4-FFF2-40B4-BE49-F238E27FC236}">
              <a16:creationId xmlns:a16="http://schemas.microsoft.com/office/drawing/2014/main" id="{00000000-0008-0000-0F00-0000C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8" name="Text Box 457">
          <a:extLst>
            <a:ext uri="{FF2B5EF4-FFF2-40B4-BE49-F238E27FC236}">
              <a16:creationId xmlns:a16="http://schemas.microsoft.com/office/drawing/2014/main" id="{00000000-0008-0000-0F00-0000C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59" name="Text Box 458">
          <a:extLst>
            <a:ext uri="{FF2B5EF4-FFF2-40B4-BE49-F238E27FC236}">
              <a16:creationId xmlns:a16="http://schemas.microsoft.com/office/drawing/2014/main" id="{00000000-0008-0000-0F00-0000C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0" name="Text Box 459">
          <a:extLst>
            <a:ext uri="{FF2B5EF4-FFF2-40B4-BE49-F238E27FC236}">
              <a16:creationId xmlns:a16="http://schemas.microsoft.com/office/drawing/2014/main" id="{00000000-0008-0000-0F00-0000C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1" name="Text Box 460">
          <a:extLst>
            <a:ext uri="{FF2B5EF4-FFF2-40B4-BE49-F238E27FC236}">
              <a16:creationId xmlns:a16="http://schemas.microsoft.com/office/drawing/2014/main" id="{00000000-0008-0000-0F00-0000C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2" name="Text Box 461">
          <a:extLst>
            <a:ext uri="{FF2B5EF4-FFF2-40B4-BE49-F238E27FC236}">
              <a16:creationId xmlns:a16="http://schemas.microsoft.com/office/drawing/2014/main" id="{00000000-0008-0000-0F00-0000C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3" name="Text Box 462">
          <a:extLst>
            <a:ext uri="{FF2B5EF4-FFF2-40B4-BE49-F238E27FC236}">
              <a16:creationId xmlns:a16="http://schemas.microsoft.com/office/drawing/2014/main" id="{00000000-0008-0000-0F00-0000C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4" name="Text Box 463">
          <a:extLst>
            <a:ext uri="{FF2B5EF4-FFF2-40B4-BE49-F238E27FC236}">
              <a16:creationId xmlns:a16="http://schemas.microsoft.com/office/drawing/2014/main" id="{00000000-0008-0000-0F00-0000D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5" name="Text Box 464">
          <a:extLst>
            <a:ext uri="{FF2B5EF4-FFF2-40B4-BE49-F238E27FC236}">
              <a16:creationId xmlns:a16="http://schemas.microsoft.com/office/drawing/2014/main" id="{00000000-0008-0000-0F00-0000D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6" name="Text Box 465">
          <a:extLst>
            <a:ext uri="{FF2B5EF4-FFF2-40B4-BE49-F238E27FC236}">
              <a16:creationId xmlns:a16="http://schemas.microsoft.com/office/drawing/2014/main" id="{00000000-0008-0000-0F00-0000D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7" name="Text Box 466">
          <a:extLst>
            <a:ext uri="{FF2B5EF4-FFF2-40B4-BE49-F238E27FC236}">
              <a16:creationId xmlns:a16="http://schemas.microsoft.com/office/drawing/2014/main" id="{00000000-0008-0000-0F00-0000D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8" name="Text Box 467">
          <a:extLst>
            <a:ext uri="{FF2B5EF4-FFF2-40B4-BE49-F238E27FC236}">
              <a16:creationId xmlns:a16="http://schemas.microsoft.com/office/drawing/2014/main" id="{00000000-0008-0000-0F00-0000D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69" name="Text Box 468">
          <a:extLst>
            <a:ext uri="{FF2B5EF4-FFF2-40B4-BE49-F238E27FC236}">
              <a16:creationId xmlns:a16="http://schemas.microsoft.com/office/drawing/2014/main" id="{00000000-0008-0000-0F00-0000D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0" name="Text Box 469">
          <a:extLst>
            <a:ext uri="{FF2B5EF4-FFF2-40B4-BE49-F238E27FC236}">
              <a16:creationId xmlns:a16="http://schemas.microsoft.com/office/drawing/2014/main" id="{00000000-0008-0000-0F00-0000D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1" name="Text Box 470">
          <a:extLst>
            <a:ext uri="{FF2B5EF4-FFF2-40B4-BE49-F238E27FC236}">
              <a16:creationId xmlns:a16="http://schemas.microsoft.com/office/drawing/2014/main" id="{00000000-0008-0000-0F00-0000D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2" name="Text Box 471">
          <a:extLst>
            <a:ext uri="{FF2B5EF4-FFF2-40B4-BE49-F238E27FC236}">
              <a16:creationId xmlns:a16="http://schemas.microsoft.com/office/drawing/2014/main" id="{00000000-0008-0000-0F00-0000D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3" name="Text Box 472">
          <a:extLst>
            <a:ext uri="{FF2B5EF4-FFF2-40B4-BE49-F238E27FC236}">
              <a16:creationId xmlns:a16="http://schemas.microsoft.com/office/drawing/2014/main" id="{00000000-0008-0000-0F00-0000D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4" name="Text Box 473">
          <a:extLst>
            <a:ext uri="{FF2B5EF4-FFF2-40B4-BE49-F238E27FC236}">
              <a16:creationId xmlns:a16="http://schemas.microsoft.com/office/drawing/2014/main" id="{00000000-0008-0000-0F00-0000D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5" name="Text Box 474">
          <a:extLst>
            <a:ext uri="{FF2B5EF4-FFF2-40B4-BE49-F238E27FC236}">
              <a16:creationId xmlns:a16="http://schemas.microsoft.com/office/drawing/2014/main" id="{00000000-0008-0000-0F00-0000D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6" name="Text Box 475">
          <a:extLst>
            <a:ext uri="{FF2B5EF4-FFF2-40B4-BE49-F238E27FC236}">
              <a16:creationId xmlns:a16="http://schemas.microsoft.com/office/drawing/2014/main" id="{00000000-0008-0000-0F00-0000D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7" name="Text Box 476">
          <a:extLst>
            <a:ext uri="{FF2B5EF4-FFF2-40B4-BE49-F238E27FC236}">
              <a16:creationId xmlns:a16="http://schemas.microsoft.com/office/drawing/2014/main" id="{00000000-0008-0000-0F00-0000D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8" name="Text Box 477">
          <a:extLst>
            <a:ext uri="{FF2B5EF4-FFF2-40B4-BE49-F238E27FC236}">
              <a16:creationId xmlns:a16="http://schemas.microsoft.com/office/drawing/2014/main" id="{00000000-0008-0000-0F00-0000D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79" name="Text Box 478">
          <a:extLst>
            <a:ext uri="{FF2B5EF4-FFF2-40B4-BE49-F238E27FC236}">
              <a16:creationId xmlns:a16="http://schemas.microsoft.com/office/drawing/2014/main" id="{00000000-0008-0000-0F00-0000D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0" name="Text Box 479">
          <a:extLst>
            <a:ext uri="{FF2B5EF4-FFF2-40B4-BE49-F238E27FC236}">
              <a16:creationId xmlns:a16="http://schemas.microsoft.com/office/drawing/2014/main" id="{00000000-0008-0000-0F00-0000E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1" name="Text Box 480">
          <a:extLst>
            <a:ext uri="{FF2B5EF4-FFF2-40B4-BE49-F238E27FC236}">
              <a16:creationId xmlns:a16="http://schemas.microsoft.com/office/drawing/2014/main" id="{00000000-0008-0000-0F00-0000E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2" name="Text Box 481">
          <a:extLst>
            <a:ext uri="{FF2B5EF4-FFF2-40B4-BE49-F238E27FC236}">
              <a16:creationId xmlns:a16="http://schemas.microsoft.com/office/drawing/2014/main" id="{00000000-0008-0000-0F00-0000E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3" name="Text Box 482">
          <a:extLst>
            <a:ext uri="{FF2B5EF4-FFF2-40B4-BE49-F238E27FC236}">
              <a16:creationId xmlns:a16="http://schemas.microsoft.com/office/drawing/2014/main" id="{00000000-0008-0000-0F00-0000E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4" name="Text Box 483">
          <a:extLst>
            <a:ext uri="{FF2B5EF4-FFF2-40B4-BE49-F238E27FC236}">
              <a16:creationId xmlns:a16="http://schemas.microsoft.com/office/drawing/2014/main" id="{00000000-0008-0000-0F00-0000E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5" name="Text Box 484">
          <a:extLst>
            <a:ext uri="{FF2B5EF4-FFF2-40B4-BE49-F238E27FC236}">
              <a16:creationId xmlns:a16="http://schemas.microsoft.com/office/drawing/2014/main" id="{00000000-0008-0000-0F00-0000E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6" name="Text Box 485">
          <a:extLst>
            <a:ext uri="{FF2B5EF4-FFF2-40B4-BE49-F238E27FC236}">
              <a16:creationId xmlns:a16="http://schemas.microsoft.com/office/drawing/2014/main" id="{00000000-0008-0000-0F00-0000E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7" name="Text Box 486">
          <a:extLst>
            <a:ext uri="{FF2B5EF4-FFF2-40B4-BE49-F238E27FC236}">
              <a16:creationId xmlns:a16="http://schemas.microsoft.com/office/drawing/2014/main" id="{00000000-0008-0000-0F00-0000E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8" name="Text Box 487">
          <a:extLst>
            <a:ext uri="{FF2B5EF4-FFF2-40B4-BE49-F238E27FC236}">
              <a16:creationId xmlns:a16="http://schemas.microsoft.com/office/drawing/2014/main" id="{00000000-0008-0000-0F00-0000E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89" name="Text Box 488">
          <a:extLst>
            <a:ext uri="{FF2B5EF4-FFF2-40B4-BE49-F238E27FC236}">
              <a16:creationId xmlns:a16="http://schemas.microsoft.com/office/drawing/2014/main" id="{00000000-0008-0000-0F00-0000E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0" name="Text Box 489">
          <a:extLst>
            <a:ext uri="{FF2B5EF4-FFF2-40B4-BE49-F238E27FC236}">
              <a16:creationId xmlns:a16="http://schemas.microsoft.com/office/drawing/2014/main" id="{00000000-0008-0000-0F00-0000E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1" name="Text Box 490">
          <a:extLst>
            <a:ext uri="{FF2B5EF4-FFF2-40B4-BE49-F238E27FC236}">
              <a16:creationId xmlns:a16="http://schemas.microsoft.com/office/drawing/2014/main" id="{00000000-0008-0000-0F00-0000E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2" name="Text Box 491">
          <a:extLst>
            <a:ext uri="{FF2B5EF4-FFF2-40B4-BE49-F238E27FC236}">
              <a16:creationId xmlns:a16="http://schemas.microsoft.com/office/drawing/2014/main" id="{00000000-0008-0000-0F00-0000E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3" name="Text Box 492">
          <a:extLst>
            <a:ext uri="{FF2B5EF4-FFF2-40B4-BE49-F238E27FC236}">
              <a16:creationId xmlns:a16="http://schemas.microsoft.com/office/drawing/2014/main" id="{00000000-0008-0000-0F00-0000E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4" name="Text Box 493">
          <a:extLst>
            <a:ext uri="{FF2B5EF4-FFF2-40B4-BE49-F238E27FC236}">
              <a16:creationId xmlns:a16="http://schemas.microsoft.com/office/drawing/2014/main" id="{00000000-0008-0000-0F00-0000E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5" name="Text Box 494">
          <a:extLst>
            <a:ext uri="{FF2B5EF4-FFF2-40B4-BE49-F238E27FC236}">
              <a16:creationId xmlns:a16="http://schemas.microsoft.com/office/drawing/2014/main" id="{00000000-0008-0000-0F00-0000E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6" name="Text Box 495">
          <a:extLst>
            <a:ext uri="{FF2B5EF4-FFF2-40B4-BE49-F238E27FC236}">
              <a16:creationId xmlns:a16="http://schemas.microsoft.com/office/drawing/2014/main" id="{00000000-0008-0000-0F00-0000F0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7" name="Text Box 496">
          <a:extLst>
            <a:ext uri="{FF2B5EF4-FFF2-40B4-BE49-F238E27FC236}">
              <a16:creationId xmlns:a16="http://schemas.microsoft.com/office/drawing/2014/main" id="{00000000-0008-0000-0F00-0000F1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8" name="Text Box 497">
          <a:extLst>
            <a:ext uri="{FF2B5EF4-FFF2-40B4-BE49-F238E27FC236}">
              <a16:creationId xmlns:a16="http://schemas.microsoft.com/office/drawing/2014/main" id="{00000000-0008-0000-0F00-0000F2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499" name="Text Box 498">
          <a:extLst>
            <a:ext uri="{FF2B5EF4-FFF2-40B4-BE49-F238E27FC236}">
              <a16:creationId xmlns:a16="http://schemas.microsoft.com/office/drawing/2014/main" id="{00000000-0008-0000-0F00-0000F3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0" name="Text Box 499">
          <a:extLst>
            <a:ext uri="{FF2B5EF4-FFF2-40B4-BE49-F238E27FC236}">
              <a16:creationId xmlns:a16="http://schemas.microsoft.com/office/drawing/2014/main" id="{00000000-0008-0000-0F00-0000F4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1" name="Text Box 500">
          <a:extLst>
            <a:ext uri="{FF2B5EF4-FFF2-40B4-BE49-F238E27FC236}">
              <a16:creationId xmlns:a16="http://schemas.microsoft.com/office/drawing/2014/main" id="{00000000-0008-0000-0F00-0000F5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2" name="Text Box 501">
          <a:extLst>
            <a:ext uri="{FF2B5EF4-FFF2-40B4-BE49-F238E27FC236}">
              <a16:creationId xmlns:a16="http://schemas.microsoft.com/office/drawing/2014/main" id="{00000000-0008-0000-0F00-0000F6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3" name="Text Box 502">
          <a:extLst>
            <a:ext uri="{FF2B5EF4-FFF2-40B4-BE49-F238E27FC236}">
              <a16:creationId xmlns:a16="http://schemas.microsoft.com/office/drawing/2014/main" id="{00000000-0008-0000-0F00-0000F7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4" name="Text Box 503">
          <a:extLst>
            <a:ext uri="{FF2B5EF4-FFF2-40B4-BE49-F238E27FC236}">
              <a16:creationId xmlns:a16="http://schemas.microsoft.com/office/drawing/2014/main" id="{00000000-0008-0000-0F00-0000F8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5" name="Text Box 504">
          <a:extLst>
            <a:ext uri="{FF2B5EF4-FFF2-40B4-BE49-F238E27FC236}">
              <a16:creationId xmlns:a16="http://schemas.microsoft.com/office/drawing/2014/main" id="{00000000-0008-0000-0F00-0000F9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6" name="Text Box 505">
          <a:extLst>
            <a:ext uri="{FF2B5EF4-FFF2-40B4-BE49-F238E27FC236}">
              <a16:creationId xmlns:a16="http://schemas.microsoft.com/office/drawing/2014/main" id="{00000000-0008-0000-0F00-0000FA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7" name="Text Box 506">
          <a:extLst>
            <a:ext uri="{FF2B5EF4-FFF2-40B4-BE49-F238E27FC236}">
              <a16:creationId xmlns:a16="http://schemas.microsoft.com/office/drawing/2014/main" id="{00000000-0008-0000-0F00-0000FB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8" name="Text Box 507">
          <a:extLst>
            <a:ext uri="{FF2B5EF4-FFF2-40B4-BE49-F238E27FC236}">
              <a16:creationId xmlns:a16="http://schemas.microsoft.com/office/drawing/2014/main" id="{00000000-0008-0000-0F00-0000FC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09" name="Text Box 508">
          <a:extLst>
            <a:ext uri="{FF2B5EF4-FFF2-40B4-BE49-F238E27FC236}">
              <a16:creationId xmlns:a16="http://schemas.microsoft.com/office/drawing/2014/main" id="{00000000-0008-0000-0F00-0000FD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0" name="Text Box 509">
          <a:extLst>
            <a:ext uri="{FF2B5EF4-FFF2-40B4-BE49-F238E27FC236}">
              <a16:creationId xmlns:a16="http://schemas.microsoft.com/office/drawing/2014/main" id="{00000000-0008-0000-0F00-0000FE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1" name="Text Box 510">
          <a:extLst>
            <a:ext uri="{FF2B5EF4-FFF2-40B4-BE49-F238E27FC236}">
              <a16:creationId xmlns:a16="http://schemas.microsoft.com/office/drawing/2014/main" id="{00000000-0008-0000-0F00-0000FF01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2" name="Text Box 511">
          <a:extLst>
            <a:ext uri="{FF2B5EF4-FFF2-40B4-BE49-F238E27FC236}">
              <a16:creationId xmlns:a16="http://schemas.microsoft.com/office/drawing/2014/main" id="{00000000-0008-0000-0F00-00000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3" name="Text Box 512">
          <a:extLst>
            <a:ext uri="{FF2B5EF4-FFF2-40B4-BE49-F238E27FC236}">
              <a16:creationId xmlns:a16="http://schemas.microsoft.com/office/drawing/2014/main" id="{00000000-0008-0000-0F00-00000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4" name="Text Box 513">
          <a:extLst>
            <a:ext uri="{FF2B5EF4-FFF2-40B4-BE49-F238E27FC236}">
              <a16:creationId xmlns:a16="http://schemas.microsoft.com/office/drawing/2014/main" id="{00000000-0008-0000-0F00-00000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5" name="Text Box 514">
          <a:extLst>
            <a:ext uri="{FF2B5EF4-FFF2-40B4-BE49-F238E27FC236}">
              <a16:creationId xmlns:a16="http://schemas.microsoft.com/office/drawing/2014/main" id="{00000000-0008-0000-0F00-00000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6" name="Text Box 515">
          <a:extLst>
            <a:ext uri="{FF2B5EF4-FFF2-40B4-BE49-F238E27FC236}">
              <a16:creationId xmlns:a16="http://schemas.microsoft.com/office/drawing/2014/main" id="{00000000-0008-0000-0F00-00000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7" name="Text Box 516">
          <a:extLst>
            <a:ext uri="{FF2B5EF4-FFF2-40B4-BE49-F238E27FC236}">
              <a16:creationId xmlns:a16="http://schemas.microsoft.com/office/drawing/2014/main" id="{00000000-0008-0000-0F00-00000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8" name="Text Box 517">
          <a:extLst>
            <a:ext uri="{FF2B5EF4-FFF2-40B4-BE49-F238E27FC236}">
              <a16:creationId xmlns:a16="http://schemas.microsoft.com/office/drawing/2014/main" id="{00000000-0008-0000-0F00-00000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19" name="Text Box 518">
          <a:extLst>
            <a:ext uri="{FF2B5EF4-FFF2-40B4-BE49-F238E27FC236}">
              <a16:creationId xmlns:a16="http://schemas.microsoft.com/office/drawing/2014/main" id="{00000000-0008-0000-0F00-00000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0" name="Text Box 519">
          <a:extLst>
            <a:ext uri="{FF2B5EF4-FFF2-40B4-BE49-F238E27FC236}">
              <a16:creationId xmlns:a16="http://schemas.microsoft.com/office/drawing/2014/main" id="{00000000-0008-0000-0F00-00000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1" name="Text Box 520">
          <a:extLst>
            <a:ext uri="{FF2B5EF4-FFF2-40B4-BE49-F238E27FC236}">
              <a16:creationId xmlns:a16="http://schemas.microsoft.com/office/drawing/2014/main" id="{00000000-0008-0000-0F00-00000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2" name="Text Box 521">
          <a:extLst>
            <a:ext uri="{FF2B5EF4-FFF2-40B4-BE49-F238E27FC236}">
              <a16:creationId xmlns:a16="http://schemas.microsoft.com/office/drawing/2014/main" id="{00000000-0008-0000-0F00-00000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3" name="Text Box 522">
          <a:extLst>
            <a:ext uri="{FF2B5EF4-FFF2-40B4-BE49-F238E27FC236}">
              <a16:creationId xmlns:a16="http://schemas.microsoft.com/office/drawing/2014/main" id="{00000000-0008-0000-0F00-00000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4" name="Text Box 523">
          <a:extLst>
            <a:ext uri="{FF2B5EF4-FFF2-40B4-BE49-F238E27FC236}">
              <a16:creationId xmlns:a16="http://schemas.microsoft.com/office/drawing/2014/main" id="{00000000-0008-0000-0F00-00000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5" name="Text Box 524">
          <a:extLst>
            <a:ext uri="{FF2B5EF4-FFF2-40B4-BE49-F238E27FC236}">
              <a16:creationId xmlns:a16="http://schemas.microsoft.com/office/drawing/2014/main" id="{00000000-0008-0000-0F00-00000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6" name="Text Box 525">
          <a:extLst>
            <a:ext uri="{FF2B5EF4-FFF2-40B4-BE49-F238E27FC236}">
              <a16:creationId xmlns:a16="http://schemas.microsoft.com/office/drawing/2014/main" id="{00000000-0008-0000-0F00-00000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7" name="Text Box 526">
          <a:extLst>
            <a:ext uri="{FF2B5EF4-FFF2-40B4-BE49-F238E27FC236}">
              <a16:creationId xmlns:a16="http://schemas.microsoft.com/office/drawing/2014/main" id="{00000000-0008-0000-0F00-00000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8" name="Text Box 527">
          <a:extLst>
            <a:ext uri="{FF2B5EF4-FFF2-40B4-BE49-F238E27FC236}">
              <a16:creationId xmlns:a16="http://schemas.microsoft.com/office/drawing/2014/main" id="{00000000-0008-0000-0F00-00001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29" name="Text Box 528">
          <a:extLst>
            <a:ext uri="{FF2B5EF4-FFF2-40B4-BE49-F238E27FC236}">
              <a16:creationId xmlns:a16="http://schemas.microsoft.com/office/drawing/2014/main" id="{00000000-0008-0000-0F00-00001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0" name="Text Box 529">
          <a:extLst>
            <a:ext uri="{FF2B5EF4-FFF2-40B4-BE49-F238E27FC236}">
              <a16:creationId xmlns:a16="http://schemas.microsoft.com/office/drawing/2014/main" id="{00000000-0008-0000-0F00-00001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1" name="Text Box 530">
          <a:extLst>
            <a:ext uri="{FF2B5EF4-FFF2-40B4-BE49-F238E27FC236}">
              <a16:creationId xmlns:a16="http://schemas.microsoft.com/office/drawing/2014/main" id="{00000000-0008-0000-0F00-00001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2" name="Text Box 531">
          <a:extLst>
            <a:ext uri="{FF2B5EF4-FFF2-40B4-BE49-F238E27FC236}">
              <a16:creationId xmlns:a16="http://schemas.microsoft.com/office/drawing/2014/main" id="{00000000-0008-0000-0F00-00001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3" name="Text Box 532">
          <a:extLst>
            <a:ext uri="{FF2B5EF4-FFF2-40B4-BE49-F238E27FC236}">
              <a16:creationId xmlns:a16="http://schemas.microsoft.com/office/drawing/2014/main" id="{00000000-0008-0000-0F00-00001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4" name="Text Box 533">
          <a:extLst>
            <a:ext uri="{FF2B5EF4-FFF2-40B4-BE49-F238E27FC236}">
              <a16:creationId xmlns:a16="http://schemas.microsoft.com/office/drawing/2014/main" id="{00000000-0008-0000-0F00-00001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5" name="Text Box 534">
          <a:extLst>
            <a:ext uri="{FF2B5EF4-FFF2-40B4-BE49-F238E27FC236}">
              <a16:creationId xmlns:a16="http://schemas.microsoft.com/office/drawing/2014/main" id="{00000000-0008-0000-0F00-00001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6" name="Text Box 535">
          <a:extLst>
            <a:ext uri="{FF2B5EF4-FFF2-40B4-BE49-F238E27FC236}">
              <a16:creationId xmlns:a16="http://schemas.microsoft.com/office/drawing/2014/main" id="{00000000-0008-0000-0F00-00001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7" name="Text Box 536">
          <a:extLst>
            <a:ext uri="{FF2B5EF4-FFF2-40B4-BE49-F238E27FC236}">
              <a16:creationId xmlns:a16="http://schemas.microsoft.com/office/drawing/2014/main" id="{00000000-0008-0000-0F00-00001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8" name="Text Box 537">
          <a:extLst>
            <a:ext uri="{FF2B5EF4-FFF2-40B4-BE49-F238E27FC236}">
              <a16:creationId xmlns:a16="http://schemas.microsoft.com/office/drawing/2014/main" id="{00000000-0008-0000-0F00-00001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39" name="Text Box 538">
          <a:extLst>
            <a:ext uri="{FF2B5EF4-FFF2-40B4-BE49-F238E27FC236}">
              <a16:creationId xmlns:a16="http://schemas.microsoft.com/office/drawing/2014/main" id="{00000000-0008-0000-0F00-00001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0" name="Text Box 539">
          <a:extLst>
            <a:ext uri="{FF2B5EF4-FFF2-40B4-BE49-F238E27FC236}">
              <a16:creationId xmlns:a16="http://schemas.microsoft.com/office/drawing/2014/main" id="{00000000-0008-0000-0F00-00001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1" name="Text Box 540">
          <a:extLst>
            <a:ext uri="{FF2B5EF4-FFF2-40B4-BE49-F238E27FC236}">
              <a16:creationId xmlns:a16="http://schemas.microsoft.com/office/drawing/2014/main" id="{00000000-0008-0000-0F00-00001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2" name="Text Box 541">
          <a:extLst>
            <a:ext uri="{FF2B5EF4-FFF2-40B4-BE49-F238E27FC236}">
              <a16:creationId xmlns:a16="http://schemas.microsoft.com/office/drawing/2014/main" id="{00000000-0008-0000-0F00-00001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3" name="Text Box 542">
          <a:extLst>
            <a:ext uri="{FF2B5EF4-FFF2-40B4-BE49-F238E27FC236}">
              <a16:creationId xmlns:a16="http://schemas.microsoft.com/office/drawing/2014/main" id="{00000000-0008-0000-0F00-00001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4" name="Text Box 543">
          <a:extLst>
            <a:ext uri="{FF2B5EF4-FFF2-40B4-BE49-F238E27FC236}">
              <a16:creationId xmlns:a16="http://schemas.microsoft.com/office/drawing/2014/main" id="{00000000-0008-0000-0F00-00002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5" name="Text Box 544">
          <a:extLst>
            <a:ext uri="{FF2B5EF4-FFF2-40B4-BE49-F238E27FC236}">
              <a16:creationId xmlns:a16="http://schemas.microsoft.com/office/drawing/2014/main" id="{00000000-0008-0000-0F00-00002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6" name="Text Box 545">
          <a:extLst>
            <a:ext uri="{FF2B5EF4-FFF2-40B4-BE49-F238E27FC236}">
              <a16:creationId xmlns:a16="http://schemas.microsoft.com/office/drawing/2014/main" id="{00000000-0008-0000-0F00-00002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7" name="Text Box 546">
          <a:extLst>
            <a:ext uri="{FF2B5EF4-FFF2-40B4-BE49-F238E27FC236}">
              <a16:creationId xmlns:a16="http://schemas.microsoft.com/office/drawing/2014/main" id="{00000000-0008-0000-0F00-00002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8" name="Text Box 547">
          <a:extLst>
            <a:ext uri="{FF2B5EF4-FFF2-40B4-BE49-F238E27FC236}">
              <a16:creationId xmlns:a16="http://schemas.microsoft.com/office/drawing/2014/main" id="{00000000-0008-0000-0F00-00002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49" name="Text Box 548">
          <a:extLst>
            <a:ext uri="{FF2B5EF4-FFF2-40B4-BE49-F238E27FC236}">
              <a16:creationId xmlns:a16="http://schemas.microsoft.com/office/drawing/2014/main" id="{00000000-0008-0000-0F00-00002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0" name="Text Box 549">
          <a:extLst>
            <a:ext uri="{FF2B5EF4-FFF2-40B4-BE49-F238E27FC236}">
              <a16:creationId xmlns:a16="http://schemas.microsoft.com/office/drawing/2014/main" id="{00000000-0008-0000-0F00-00002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1" name="Text Box 550">
          <a:extLst>
            <a:ext uri="{FF2B5EF4-FFF2-40B4-BE49-F238E27FC236}">
              <a16:creationId xmlns:a16="http://schemas.microsoft.com/office/drawing/2014/main" id="{00000000-0008-0000-0F00-00002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2" name="Text Box 551">
          <a:extLst>
            <a:ext uri="{FF2B5EF4-FFF2-40B4-BE49-F238E27FC236}">
              <a16:creationId xmlns:a16="http://schemas.microsoft.com/office/drawing/2014/main" id="{00000000-0008-0000-0F00-00002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3" name="Text Box 552">
          <a:extLst>
            <a:ext uri="{FF2B5EF4-FFF2-40B4-BE49-F238E27FC236}">
              <a16:creationId xmlns:a16="http://schemas.microsoft.com/office/drawing/2014/main" id="{00000000-0008-0000-0F00-00002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4" name="Text Box 553">
          <a:extLst>
            <a:ext uri="{FF2B5EF4-FFF2-40B4-BE49-F238E27FC236}">
              <a16:creationId xmlns:a16="http://schemas.microsoft.com/office/drawing/2014/main" id="{00000000-0008-0000-0F00-00002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5" name="Text Box 554">
          <a:extLst>
            <a:ext uri="{FF2B5EF4-FFF2-40B4-BE49-F238E27FC236}">
              <a16:creationId xmlns:a16="http://schemas.microsoft.com/office/drawing/2014/main" id="{00000000-0008-0000-0F00-00002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6" name="Text Box 555">
          <a:extLst>
            <a:ext uri="{FF2B5EF4-FFF2-40B4-BE49-F238E27FC236}">
              <a16:creationId xmlns:a16="http://schemas.microsoft.com/office/drawing/2014/main" id="{00000000-0008-0000-0F00-00002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7" name="Text Box 556">
          <a:extLst>
            <a:ext uri="{FF2B5EF4-FFF2-40B4-BE49-F238E27FC236}">
              <a16:creationId xmlns:a16="http://schemas.microsoft.com/office/drawing/2014/main" id="{00000000-0008-0000-0F00-00002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8" name="Text Box 557">
          <a:extLst>
            <a:ext uri="{FF2B5EF4-FFF2-40B4-BE49-F238E27FC236}">
              <a16:creationId xmlns:a16="http://schemas.microsoft.com/office/drawing/2014/main" id="{00000000-0008-0000-0F00-00002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59" name="Text Box 558">
          <a:extLst>
            <a:ext uri="{FF2B5EF4-FFF2-40B4-BE49-F238E27FC236}">
              <a16:creationId xmlns:a16="http://schemas.microsoft.com/office/drawing/2014/main" id="{00000000-0008-0000-0F00-00002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0" name="Text Box 559">
          <a:extLst>
            <a:ext uri="{FF2B5EF4-FFF2-40B4-BE49-F238E27FC236}">
              <a16:creationId xmlns:a16="http://schemas.microsoft.com/office/drawing/2014/main" id="{00000000-0008-0000-0F00-00003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1" name="Text Box 560">
          <a:extLst>
            <a:ext uri="{FF2B5EF4-FFF2-40B4-BE49-F238E27FC236}">
              <a16:creationId xmlns:a16="http://schemas.microsoft.com/office/drawing/2014/main" id="{00000000-0008-0000-0F00-00003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2" name="Text Box 561">
          <a:extLst>
            <a:ext uri="{FF2B5EF4-FFF2-40B4-BE49-F238E27FC236}">
              <a16:creationId xmlns:a16="http://schemas.microsoft.com/office/drawing/2014/main" id="{00000000-0008-0000-0F00-00003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3" name="Text Box 562">
          <a:extLst>
            <a:ext uri="{FF2B5EF4-FFF2-40B4-BE49-F238E27FC236}">
              <a16:creationId xmlns:a16="http://schemas.microsoft.com/office/drawing/2014/main" id="{00000000-0008-0000-0F00-00003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4" name="Text Box 563">
          <a:extLst>
            <a:ext uri="{FF2B5EF4-FFF2-40B4-BE49-F238E27FC236}">
              <a16:creationId xmlns:a16="http://schemas.microsoft.com/office/drawing/2014/main" id="{00000000-0008-0000-0F00-00003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5" name="Text Box 564">
          <a:extLst>
            <a:ext uri="{FF2B5EF4-FFF2-40B4-BE49-F238E27FC236}">
              <a16:creationId xmlns:a16="http://schemas.microsoft.com/office/drawing/2014/main" id="{00000000-0008-0000-0F00-00003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6" name="Text Box 565">
          <a:extLst>
            <a:ext uri="{FF2B5EF4-FFF2-40B4-BE49-F238E27FC236}">
              <a16:creationId xmlns:a16="http://schemas.microsoft.com/office/drawing/2014/main" id="{00000000-0008-0000-0F00-00003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7" name="Text Box 566">
          <a:extLst>
            <a:ext uri="{FF2B5EF4-FFF2-40B4-BE49-F238E27FC236}">
              <a16:creationId xmlns:a16="http://schemas.microsoft.com/office/drawing/2014/main" id="{00000000-0008-0000-0F00-00003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8" name="Text Box 567">
          <a:extLst>
            <a:ext uri="{FF2B5EF4-FFF2-40B4-BE49-F238E27FC236}">
              <a16:creationId xmlns:a16="http://schemas.microsoft.com/office/drawing/2014/main" id="{00000000-0008-0000-0F00-00003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69" name="Text Box 568">
          <a:extLst>
            <a:ext uri="{FF2B5EF4-FFF2-40B4-BE49-F238E27FC236}">
              <a16:creationId xmlns:a16="http://schemas.microsoft.com/office/drawing/2014/main" id="{00000000-0008-0000-0F00-00003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0" name="Text Box 569">
          <a:extLst>
            <a:ext uri="{FF2B5EF4-FFF2-40B4-BE49-F238E27FC236}">
              <a16:creationId xmlns:a16="http://schemas.microsoft.com/office/drawing/2014/main" id="{00000000-0008-0000-0F00-00003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1" name="Text Box 570">
          <a:extLst>
            <a:ext uri="{FF2B5EF4-FFF2-40B4-BE49-F238E27FC236}">
              <a16:creationId xmlns:a16="http://schemas.microsoft.com/office/drawing/2014/main" id="{00000000-0008-0000-0F00-00003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2" name="Text Box 571">
          <a:extLst>
            <a:ext uri="{FF2B5EF4-FFF2-40B4-BE49-F238E27FC236}">
              <a16:creationId xmlns:a16="http://schemas.microsoft.com/office/drawing/2014/main" id="{00000000-0008-0000-0F00-00003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3" name="Text Box 572">
          <a:extLst>
            <a:ext uri="{FF2B5EF4-FFF2-40B4-BE49-F238E27FC236}">
              <a16:creationId xmlns:a16="http://schemas.microsoft.com/office/drawing/2014/main" id="{00000000-0008-0000-0F00-00003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4" name="Text Box 573">
          <a:extLst>
            <a:ext uri="{FF2B5EF4-FFF2-40B4-BE49-F238E27FC236}">
              <a16:creationId xmlns:a16="http://schemas.microsoft.com/office/drawing/2014/main" id="{00000000-0008-0000-0F00-00003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5" name="Text Box 574">
          <a:extLst>
            <a:ext uri="{FF2B5EF4-FFF2-40B4-BE49-F238E27FC236}">
              <a16:creationId xmlns:a16="http://schemas.microsoft.com/office/drawing/2014/main" id="{00000000-0008-0000-0F00-00003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6" name="Text Box 575">
          <a:extLst>
            <a:ext uri="{FF2B5EF4-FFF2-40B4-BE49-F238E27FC236}">
              <a16:creationId xmlns:a16="http://schemas.microsoft.com/office/drawing/2014/main" id="{00000000-0008-0000-0F00-00004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7" name="Text Box 576">
          <a:extLst>
            <a:ext uri="{FF2B5EF4-FFF2-40B4-BE49-F238E27FC236}">
              <a16:creationId xmlns:a16="http://schemas.microsoft.com/office/drawing/2014/main" id="{00000000-0008-0000-0F00-00004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8" name="Text Box 577">
          <a:extLst>
            <a:ext uri="{FF2B5EF4-FFF2-40B4-BE49-F238E27FC236}">
              <a16:creationId xmlns:a16="http://schemas.microsoft.com/office/drawing/2014/main" id="{00000000-0008-0000-0F00-00004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79" name="Text Box 578">
          <a:extLst>
            <a:ext uri="{FF2B5EF4-FFF2-40B4-BE49-F238E27FC236}">
              <a16:creationId xmlns:a16="http://schemas.microsoft.com/office/drawing/2014/main" id="{00000000-0008-0000-0F00-00004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0" name="Text Box 579">
          <a:extLst>
            <a:ext uri="{FF2B5EF4-FFF2-40B4-BE49-F238E27FC236}">
              <a16:creationId xmlns:a16="http://schemas.microsoft.com/office/drawing/2014/main" id="{00000000-0008-0000-0F00-00004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1" name="Text Box 580">
          <a:extLst>
            <a:ext uri="{FF2B5EF4-FFF2-40B4-BE49-F238E27FC236}">
              <a16:creationId xmlns:a16="http://schemas.microsoft.com/office/drawing/2014/main" id="{00000000-0008-0000-0F00-00004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2" name="Text Box 581">
          <a:extLst>
            <a:ext uri="{FF2B5EF4-FFF2-40B4-BE49-F238E27FC236}">
              <a16:creationId xmlns:a16="http://schemas.microsoft.com/office/drawing/2014/main" id="{00000000-0008-0000-0F00-00004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3" name="Text Box 582">
          <a:extLst>
            <a:ext uri="{FF2B5EF4-FFF2-40B4-BE49-F238E27FC236}">
              <a16:creationId xmlns:a16="http://schemas.microsoft.com/office/drawing/2014/main" id="{00000000-0008-0000-0F00-00004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4" name="Text Box 583">
          <a:extLst>
            <a:ext uri="{FF2B5EF4-FFF2-40B4-BE49-F238E27FC236}">
              <a16:creationId xmlns:a16="http://schemas.microsoft.com/office/drawing/2014/main" id="{00000000-0008-0000-0F00-00004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5" name="Text Box 584">
          <a:extLst>
            <a:ext uri="{FF2B5EF4-FFF2-40B4-BE49-F238E27FC236}">
              <a16:creationId xmlns:a16="http://schemas.microsoft.com/office/drawing/2014/main" id="{00000000-0008-0000-0F00-00004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6" name="Text Box 585">
          <a:extLst>
            <a:ext uri="{FF2B5EF4-FFF2-40B4-BE49-F238E27FC236}">
              <a16:creationId xmlns:a16="http://schemas.microsoft.com/office/drawing/2014/main" id="{00000000-0008-0000-0F00-00004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7" name="Text Box 586">
          <a:extLst>
            <a:ext uri="{FF2B5EF4-FFF2-40B4-BE49-F238E27FC236}">
              <a16:creationId xmlns:a16="http://schemas.microsoft.com/office/drawing/2014/main" id="{00000000-0008-0000-0F00-00004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8" name="Text Box 587">
          <a:extLst>
            <a:ext uri="{FF2B5EF4-FFF2-40B4-BE49-F238E27FC236}">
              <a16:creationId xmlns:a16="http://schemas.microsoft.com/office/drawing/2014/main" id="{00000000-0008-0000-0F00-00004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89" name="Text Box 588">
          <a:extLst>
            <a:ext uri="{FF2B5EF4-FFF2-40B4-BE49-F238E27FC236}">
              <a16:creationId xmlns:a16="http://schemas.microsoft.com/office/drawing/2014/main" id="{00000000-0008-0000-0F00-00004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0" name="Text Box 589">
          <a:extLst>
            <a:ext uri="{FF2B5EF4-FFF2-40B4-BE49-F238E27FC236}">
              <a16:creationId xmlns:a16="http://schemas.microsoft.com/office/drawing/2014/main" id="{00000000-0008-0000-0F00-00004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1" name="Text Box 590">
          <a:extLst>
            <a:ext uri="{FF2B5EF4-FFF2-40B4-BE49-F238E27FC236}">
              <a16:creationId xmlns:a16="http://schemas.microsoft.com/office/drawing/2014/main" id="{00000000-0008-0000-0F00-00004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2" name="Text Box 591">
          <a:extLst>
            <a:ext uri="{FF2B5EF4-FFF2-40B4-BE49-F238E27FC236}">
              <a16:creationId xmlns:a16="http://schemas.microsoft.com/office/drawing/2014/main" id="{00000000-0008-0000-0F00-00005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3" name="Text Box 592">
          <a:extLst>
            <a:ext uri="{FF2B5EF4-FFF2-40B4-BE49-F238E27FC236}">
              <a16:creationId xmlns:a16="http://schemas.microsoft.com/office/drawing/2014/main" id="{00000000-0008-0000-0F00-00005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4" name="Text Box 593">
          <a:extLst>
            <a:ext uri="{FF2B5EF4-FFF2-40B4-BE49-F238E27FC236}">
              <a16:creationId xmlns:a16="http://schemas.microsoft.com/office/drawing/2014/main" id="{00000000-0008-0000-0F00-00005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5" name="Text Box 594">
          <a:extLst>
            <a:ext uri="{FF2B5EF4-FFF2-40B4-BE49-F238E27FC236}">
              <a16:creationId xmlns:a16="http://schemas.microsoft.com/office/drawing/2014/main" id="{00000000-0008-0000-0F00-00005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6" name="Text Box 595">
          <a:extLst>
            <a:ext uri="{FF2B5EF4-FFF2-40B4-BE49-F238E27FC236}">
              <a16:creationId xmlns:a16="http://schemas.microsoft.com/office/drawing/2014/main" id="{00000000-0008-0000-0F00-00005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7" name="Text Box 596">
          <a:extLst>
            <a:ext uri="{FF2B5EF4-FFF2-40B4-BE49-F238E27FC236}">
              <a16:creationId xmlns:a16="http://schemas.microsoft.com/office/drawing/2014/main" id="{00000000-0008-0000-0F00-00005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8" name="Text Box 597">
          <a:extLst>
            <a:ext uri="{FF2B5EF4-FFF2-40B4-BE49-F238E27FC236}">
              <a16:creationId xmlns:a16="http://schemas.microsoft.com/office/drawing/2014/main" id="{00000000-0008-0000-0F00-00005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599" name="Text Box 598">
          <a:extLst>
            <a:ext uri="{FF2B5EF4-FFF2-40B4-BE49-F238E27FC236}">
              <a16:creationId xmlns:a16="http://schemas.microsoft.com/office/drawing/2014/main" id="{00000000-0008-0000-0F00-00005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0" name="Text Box 599">
          <a:extLst>
            <a:ext uri="{FF2B5EF4-FFF2-40B4-BE49-F238E27FC236}">
              <a16:creationId xmlns:a16="http://schemas.microsoft.com/office/drawing/2014/main" id="{00000000-0008-0000-0F00-00005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1" name="Text Box 600">
          <a:extLst>
            <a:ext uri="{FF2B5EF4-FFF2-40B4-BE49-F238E27FC236}">
              <a16:creationId xmlns:a16="http://schemas.microsoft.com/office/drawing/2014/main" id="{00000000-0008-0000-0F00-00005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2" name="Text Box 601">
          <a:extLst>
            <a:ext uri="{FF2B5EF4-FFF2-40B4-BE49-F238E27FC236}">
              <a16:creationId xmlns:a16="http://schemas.microsoft.com/office/drawing/2014/main" id="{00000000-0008-0000-0F00-00005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3" name="Text Box 602">
          <a:extLst>
            <a:ext uri="{FF2B5EF4-FFF2-40B4-BE49-F238E27FC236}">
              <a16:creationId xmlns:a16="http://schemas.microsoft.com/office/drawing/2014/main" id="{00000000-0008-0000-0F00-00005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4" name="Text Box 603">
          <a:extLst>
            <a:ext uri="{FF2B5EF4-FFF2-40B4-BE49-F238E27FC236}">
              <a16:creationId xmlns:a16="http://schemas.microsoft.com/office/drawing/2014/main" id="{00000000-0008-0000-0F00-00005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5" name="Text Box 604">
          <a:extLst>
            <a:ext uri="{FF2B5EF4-FFF2-40B4-BE49-F238E27FC236}">
              <a16:creationId xmlns:a16="http://schemas.microsoft.com/office/drawing/2014/main" id="{00000000-0008-0000-0F00-00005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6" name="Text Box 605">
          <a:extLst>
            <a:ext uri="{FF2B5EF4-FFF2-40B4-BE49-F238E27FC236}">
              <a16:creationId xmlns:a16="http://schemas.microsoft.com/office/drawing/2014/main" id="{00000000-0008-0000-0F00-00005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7" name="Text Box 606">
          <a:extLst>
            <a:ext uri="{FF2B5EF4-FFF2-40B4-BE49-F238E27FC236}">
              <a16:creationId xmlns:a16="http://schemas.microsoft.com/office/drawing/2014/main" id="{00000000-0008-0000-0F00-00005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8" name="Text Box 607">
          <a:extLst>
            <a:ext uri="{FF2B5EF4-FFF2-40B4-BE49-F238E27FC236}">
              <a16:creationId xmlns:a16="http://schemas.microsoft.com/office/drawing/2014/main" id="{00000000-0008-0000-0F00-00006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09" name="Text Box 608">
          <a:extLst>
            <a:ext uri="{FF2B5EF4-FFF2-40B4-BE49-F238E27FC236}">
              <a16:creationId xmlns:a16="http://schemas.microsoft.com/office/drawing/2014/main" id="{00000000-0008-0000-0F00-00006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0" name="Text Box 609">
          <a:extLst>
            <a:ext uri="{FF2B5EF4-FFF2-40B4-BE49-F238E27FC236}">
              <a16:creationId xmlns:a16="http://schemas.microsoft.com/office/drawing/2014/main" id="{00000000-0008-0000-0F00-00006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1" name="Text Box 610">
          <a:extLst>
            <a:ext uri="{FF2B5EF4-FFF2-40B4-BE49-F238E27FC236}">
              <a16:creationId xmlns:a16="http://schemas.microsoft.com/office/drawing/2014/main" id="{00000000-0008-0000-0F00-00006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2" name="Text Box 611">
          <a:extLst>
            <a:ext uri="{FF2B5EF4-FFF2-40B4-BE49-F238E27FC236}">
              <a16:creationId xmlns:a16="http://schemas.microsoft.com/office/drawing/2014/main" id="{00000000-0008-0000-0F00-00006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3" name="Text Box 612">
          <a:extLst>
            <a:ext uri="{FF2B5EF4-FFF2-40B4-BE49-F238E27FC236}">
              <a16:creationId xmlns:a16="http://schemas.microsoft.com/office/drawing/2014/main" id="{00000000-0008-0000-0F00-00006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4" name="Text Box 613">
          <a:extLst>
            <a:ext uri="{FF2B5EF4-FFF2-40B4-BE49-F238E27FC236}">
              <a16:creationId xmlns:a16="http://schemas.microsoft.com/office/drawing/2014/main" id="{00000000-0008-0000-0F00-00006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5" name="Text Box 614">
          <a:extLst>
            <a:ext uri="{FF2B5EF4-FFF2-40B4-BE49-F238E27FC236}">
              <a16:creationId xmlns:a16="http://schemas.microsoft.com/office/drawing/2014/main" id="{00000000-0008-0000-0F00-00006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6" name="Text Box 615">
          <a:extLst>
            <a:ext uri="{FF2B5EF4-FFF2-40B4-BE49-F238E27FC236}">
              <a16:creationId xmlns:a16="http://schemas.microsoft.com/office/drawing/2014/main" id="{00000000-0008-0000-0F00-00006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7" name="Text Box 616">
          <a:extLst>
            <a:ext uri="{FF2B5EF4-FFF2-40B4-BE49-F238E27FC236}">
              <a16:creationId xmlns:a16="http://schemas.microsoft.com/office/drawing/2014/main" id="{00000000-0008-0000-0F00-00006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8" name="Text Box 617">
          <a:extLst>
            <a:ext uri="{FF2B5EF4-FFF2-40B4-BE49-F238E27FC236}">
              <a16:creationId xmlns:a16="http://schemas.microsoft.com/office/drawing/2014/main" id="{00000000-0008-0000-0F00-00006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19" name="Text Box 618">
          <a:extLst>
            <a:ext uri="{FF2B5EF4-FFF2-40B4-BE49-F238E27FC236}">
              <a16:creationId xmlns:a16="http://schemas.microsoft.com/office/drawing/2014/main" id="{00000000-0008-0000-0F00-00006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0" name="Text Box 619">
          <a:extLst>
            <a:ext uri="{FF2B5EF4-FFF2-40B4-BE49-F238E27FC236}">
              <a16:creationId xmlns:a16="http://schemas.microsoft.com/office/drawing/2014/main" id="{00000000-0008-0000-0F00-00006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1" name="Text Box 620">
          <a:extLst>
            <a:ext uri="{FF2B5EF4-FFF2-40B4-BE49-F238E27FC236}">
              <a16:creationId xmlns:a16="http://schemas.microsoft.com/office/drawing/2014/main" id="{00000000-0008-0000-0F00-00006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2" name="Text Box 621">
          <a:extLst>
            <a:ext uri="{FF2B5EF4-FFF2-40B4-BE49-F238E27FC236}">
              <a16:creationId xmlns:a16="http://schemas.microsoft.com/office/drawing/2014/main" id="{00000000-0008-0000-0F00-00006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3" name="Text Box 622">
          <a:extLst>
            <a:ext uri="{FF2B5EF4-FFF2-40B4-BE49-F238E27FC236}">
              <a16:creationId xmlns:a16="http://schemas.microsoft.com/office/drawing/2014/main" id="{00000000-0008-0000-0F00-00006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4" name="Text Box 623">
          <a:extLst>
            <a:ext uri="{FF2B5EF4-FFF2-40B4-BE49-F238E27FC236}">
              <a16:creationId xmlns:a16="http://schemas.microsoft.com/office/drawing/2014/main" id="{00000000-0008-0000-0F00-00007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5" name="Text Box 624">
          <a:extLst>
            <a:ext uri="{FF2B5EF4-FFF2-40B4-BE49-F238E27FC236}">
              <a16:creationId xmlns:a16="http://schemas.microsoft.com/office/drawing/2014/main" id="{00000000-0008-0000-0F00-00007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6" name="Text Box 625">
          <a:extLst>
            <a:ext uri="{FF2B5EF4-FFF2-40B4-BE49-F238E27FC236}">
              <a16:creationId xmlns:a16="http://schemas.microsoft.com/office/drawing/2014/main" id="{00000000-0008-0000-0F00-00007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7" name="Text Box 626">
          <a:extLst>
            <a:ext uri="{FF2B5EF4-FFF2-40B4-BE49-F238E27FC236}">
              <a16:creationId xmlns:a16="http://schemas.microsoft.com/office/drawing/2014/main" id="{00000000-0008-0000-0F00-00007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8" name="Text Box 627">
          <a:extLst>
            <a:ext uri="{FF2B5EF4-FFF2-40B4-BE49-F238E27FC236}">
              <a16:creationId xmlns:a16="http://schemas.microsoft.com/office/drawing/2014/main" id="{00000000-0008-0000-0F00-00007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29" name="Text Box 628">
          <a:extLst>
            <a:ext uri="{FF2B5EF4-FFF2-40B4-BE49-F238E27FC236}">
              <a16:creationId xmlns:a16="http://schemas.microsoft.com/office/drawing/2014/main" id="{00000000-0008-0000-0F00-00007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0" name="Text Box 629">
          <a:extLst>
            <a:ext uri="{FF2B5EF4-FFF2-40B4-BE49-F238E27FC236}">
              <a16:creationId xmlns:a16="http://schemas.microsoft.com/office/drawing/2014/main" id="{00000000-0008-0000-0F00-00007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1" name="Text Box 630">
          <a:extLst>
            <a:ext uri="{FF2B5EF4-FFF2-40B4-BE49-F238E27FC236}">
              <a16:creationId xmlns:a16="http://schemas.microsoft.com/office/drawing/2014/main" id="{00000000-0008-0000-0F00-00007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2" name="Text Box 631">
          <a:extLst>
            <a:ext uri="{FF2B5EF4-FFF2-40B4-BE49-F238E27FC236}">
              <a16:creationId xmlns:a16="http://schemas.microsoft.com/office/drawing/2014/main" id="{00000000-0008-0000-0F00-00007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3" name="Text Box 632">
          <a:extLst>
            <a:ext uri="{FF2B5EF4-FFF2-40B4-BE49-F238E27FC236}">
              <a16:creationId xmlns:a16="http://schemas.microsoft.com/office/drawing/2014/main" id="{00000000-0008-0000-0F00-00007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4" name="Text Box 633">
          <a:extLst>
            <a:ext uri="{FF2B5EF4-FFF2-40B4-BE49-F238E27FC236}">
              <a16:creationId xmlns:a16="http://schemas.microsoft.com/office/drawing/2014/main" id="{00000000-0008-0000-0F00-00007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5" name="Text Box 634">
          <a:extLst>
            <a:ext uri="{FF2B5EF4-FFF2-40B4-BE49-F238E27FC236}">
              <a16:creationId xmlns:a16="http://schemas.microsoft.com/office/drawing/2014/main" id="{00000000-0008-0000-0F00-00007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6" name="Text Box 635">
          <a:extLst>
            <a:ext uri="{FF2B5EF4-FFF2-40B4-BE49-F238E27FC236}">
              <a16:creationId xmlns:a16="http://schemas.microsoft.com/office/drawing/2014/main" id="{00000000-0008-0000-0F00-00007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7" name="Text Box 636">
          <a:extLst>
            <a:ext uri="{FF2B5EF4-FFF2-40B4-BE49-F238E27FC236}">
              <a16:creationId xmlns:a16="http://schemas.microsoft.com/office/drawing/2014/main" id="{00000000-0008-0000-0F00-00007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8" name="Text Box 637">
          <a:extLst>
            <a:ext uri="{FF2B5EF4-FFF2-40B4-BE49-F238E27FC236}">
              <a16:creationId xmlns:a16="http://schemas.microsoft.com/office/drawing/2014/main" id="{00000000-0008-0000-0F00-00007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39" name="Text Box 638">
          <a:extLst>
            <a:ext uri="{FF2B5EF4-FFF2-40B4-BE49-F238E27FC236}">
              <a16:creationId xmlns:a16="http://schemas.microsoft.com/office/drawing/2014/main" id="{00000000-0008-0000-0F00-00007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0" name="Text Box 639">
          <a:extLst>
            <a:ext uri="{FF2B5EF4-FFF2-40B4-BE49-F238E27FC236}">
              <a16:creationId xmlns:a16="http://schemas.microsoft.com/office/drawing/2014/main" id="{00000000-0008-0000-0F00-00008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1" name="Text Box 640">
          <a:extLst>
            <a:ext uri="{FF2B5EF4-FFF2-40B4-BE49-F238E27FC236}">
              <a16:creationId xmlns:a16="http://schemas.microsoft.com/office/drawing/2014/main" id="{00000000-0008-0000-0F00-00008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2" name="Text Box 641">
          <a:extLst>
            <a:ext uri="{FF2B5EF4-FFF2-40B4-BE49-F238E27FC236}">
              <a16:creationId xmlns:a16="http://schemas.microsoft.com/office/drawing/2014/main" id="{00000000-0008-0000-0F00-00008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3" name="Text Box 642">
          <a:extLst>
            <a:ext uri="{FF2B5EF4-FFF2-40B4-BE49-F238E27FC236}">
              <a16:creationId xmlns:a16="http://schemas.microsoft.com/office/drawing/2014/main" id="{00000000-0008-0000-0F00-00008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4" name="Text Box 643">
          <a:extLst>
            <a:ext uri="{FF2B5EF4-FFF2-40B4-BE49-F238E27FC236}">
              <a16:creationId xmlns:a16="http://schemas.microsoft.com/office/drawing/2014/main" id="{00000000-0008-0000-0F00-00008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5" name="Text Box 644">
          <a:extLst>
            <a:ext uri="{FF2B5EF4-FFF2-40B4-BE49-F238E27FC236}">
              <a16:creationId xmlns:a16="http://schemas.microsoft.com/office/drawing/2014/main" id="{00000000-0008-0000-0F00-00008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6" name="Text Box 645">
          <a:extLst>
            <a:ext uri="{FF2B5EF4-FFF2-40B4-BE49-F238E27FC236}">
              <a16:creationId xmlns:a16="http://schemas.microsoft.com/office/drawing/2014/main" id="{00000000-0008-0000-0F00-00008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7" name="Text Box 646">
          <a:extLst>
            <a:ext uri="{FF2B5EF4-FFF2-40B4-BE49-F238E27FC236}">
              <a16:creationId xmlns:a16="http://schemas.microsoft.com/office/drawing/2014/main" id="{00000000-0008-0000-0F00-00008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8" name="Text Box 647">
          <a:extLst>
            <a:ext uri="{FF2B5EF4-FFF2-40B4-BE49-F238E27FC236}">
              <a16:creationId xmlns:a16="http://schemas.microsoft.com/office/drawing/2014/main" id="{00000000-0008-0000-0F00-00008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49" name="Text Box 648">
          <a:extLst>
            <a:ext uri="{FF2B5EF4-FFF2-40B4-BE49-F238E27FC236}">
              <a16:creationId xmlns:a16="http://schemas.microsoft.com/office/drawing/2014/main" id="{00000000-0008-0000-0F00-00008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0" name="Text Box 649">
          <a:extLst>
            <a:ext uri="{FF2B5EF4-FFF2-40B4-BE49-F238E27FC236}">
              <a16:creationId xmlns:a16="http://schemas.microsoft.com/office/drawing/2014/main" id="{00000000-0008-0000-0F00-00008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1" name="Text Box 650">
          <a:extLst>
            <a:ext uri="{FF2B5EF4-FFF2-40B4-BE49-F238E27FC236}">
              <a16:creationId xmlns:a16="http://schemas.microsoft.com/office/drawing/2014/main" id="{00000000-0008-0000-0F00-00008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2" name="Text Box 651">
          <a:extLst>
            <a:ext uri="{FF2B5EF4-FFF2-40B4-BE49-F238E27FC236}">
              <a16:creationId xmlns:a16="http://schemas.microsoft.com/office/drawing/2014/main" id="{00000000-0008-0000-0F00-00008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3" name="Text Box 652">
          <a:extLst>
            <a:ext uri="{FF2B5EF4-FFF2-40B4-BE49-F238E27FC236}">
              <a16:creationId xmlns:a16="http://schemas.microsoft.com/office/drawing/2014/main" id="{00000000-0008-0000-0F00-00008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4" name="Text Box 653">
          <a:extLst>
            <a:ext uri="{FF2B5EF4-FFF2-40B4-BE49-F238E27FC236}">
              <a16:creationId xmlns:a16="http://schemas.microsoft.com/office/drawing/2014/main" id="{00000000-0008-0000-0F00-00008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5" name="Text Box 654">
          <a:extLst>
            <a:ext uri="{FF2B5EF4-FFF2-40B4-BE49-F238E27FC236}">
              <a16:creationId xmlns:a16="http://schemas.microsoft.com/office/drawing/2014/main" id="{00000000-0008-0000-0F00-00008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6" name="Text Box 655">
          <a:extLst>
            <a:ext uri="{FF2B5EF4-FFF2-40B4-BE49-F238E27FC236}">
              <a16:creationId xmlns:a16="http://schemas.microsoft.com/office/drawing/2014/main" id="{00000000-0008-0000-0F00-00009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7" name="Text Box 656">
          <a:extLst>
            <a:ext uri="{FF2B5EF4-FFF2-40B4-BE49-F238E27FC236}">
              <a16:creationId xmlns:a16="http://schemas.microsoft.com/office/drawing/2014/main" id="{00000000-0008-0000-0F00-00009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8" name="Text Box 657">
          <a:extLst>
            <a:ext uri="{FF2B5EF4-FFF2-40B4-BE49-F238E27FC236}">
              <a16:creationId xmlns:a16="http://schemas.microsoft.com/office/drawing/2014/main" id="{00000000-0008-0000-0F00-00009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59" name="Text Box 658">
          <a:extLst>
            <a:ext uri="{FF2B5EF4-FFF2-40B4-BE49-F238E27FC236}">
              <a16:creationId xmlns:a16="http://schemas.microsoft.com/office/drawing/2014/main" id="{00000000-0008-0000-0F00-00009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0" name="Text Box 659">
          <a:extLst>
            <a:ext uri="{FF2B5EF4-FFF2-40B4-BE49-F238E27FC236}">
              <a16:creationId xmlns:a16="http://schemas.microsoft.com/office/drawing/2014/main" id="{00000000-0008-0000-0F00-00009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1" name="Text Box 660">
          <a:extLst>
            <a:ext uri="{FF2B5EF4-FFF2-40B4-BE49-F238E27FC236}">
              <a16:creationId xmlns:a16="http://schemas.microsoft.com/office/drawing/2014/main" id="{00000000-0008-0000-0F00-00009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2" name="Text Box 661">
          <a:extLst>
            <a:ext uri="{FF2B5EF4-FFF2-40B4-BE49-F238E27FC236}">
              <a16:creationId xmlns:a16="http://schemas.microsoft.com/office/drawing/2014/main" id="{00000000-0008-0000-0F00-00009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3" name="Text Box 662">
          <a:extLst>
            <a:ext uri="{FF2B5EF4-FFF2-40B4-BE49-F238E27FC236}">
              <a16:creationId xmlns:a16="http://schemas.microsoft.com/office/drawing/2014/main" id="{00000000-0008-0000-0F00-00009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4" name="Text Box 663">
          <a:extLst>
            <a:ext uri="{FF2B5EF4-FFF2-40B4-BE49-F238E27FC236}">
              <a16:creationId xmlns:a16="http://schemas.microsoft.com/office/drawing/2014/main" id="{00000000-0008-0000-0F00-00009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5" name="Text Box 664">
          <a:extLst>
            <a:ext uri="{FF2B5EF4-FFF2-40B4-BE49-F238E27FC236}">
              <a16:creationId xmlns:a16="http://schemas.microsoft.com/office/drawing/2014/main" id="{00000000-0008-0000-0F00-00009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6" name="Text Box 665">
          <a:extLst>
            <a:ext uri="{FF2B5EF4-FFF2-40B4-BE49-F238E27FC236}">
              <a16:creationId xmlns:a16="http://schemas.microsoft.com/office/drawing/2014/main" id="{00000000-0008-0000-0F00-00009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7" name="Text Box 666">
          <a:extLst>
            <a:ext uri="{FF2B5EF4-FFF2-40B4-BE49-F238E27FC236}">
              <a16:creationId xmlns:a16="http://schemas.microsoft.com/office/drawing/2014/main" id="{00000000-0008-0000-0F00-00009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8" name="Text Box 667">
          <a:extLst>
            <a:ext uri="{FF2B5EF4-FFF2-40B4-BE49-F238E27FC236}">
              <a16:creationId xmlns:a16="http://schemas.microsoft.com/office/drawing/2014/main" id="{00000000-0008-0000-0F00-00009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69" name="Text Box 668">
          <a:extLst>
            <a:ext uri="{FF2B5EF4-FFF2-40B4-BE49-F238E27FC236}">
              <a16:creationId xmlns:a16="http://schemas.microsoft.com/office/drawing/2014/main" id="{00000000-0008-0000-0F00-00009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0" name="Text Box 669">
          <a:extLst>
            <a:ext uri="{FF2B5EF4-FFF2-40B4-BE49-F238E27FC236}">
              <a16:creationId xmlns:a16="http://schemas.microsoft.com/office/drawing/2014/main" id="{00000000-0008-0000-0F00-00009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1" name="Text Box 670">
          <a:extLst>
            <a:ext uri="{FF2B5EF4-FFF2-40B4-BE49-F238E27FC236}">
              <a16:creationId xmlns:a16="http://schemas.microsoft.com/office/drawing/2014/main" id="{00000000-0008-0000-0F00-00009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2" name="Text Box 671">
          <a:extLst>
            <a:ext uri="{FF2B5EF4-FFF2-40B4-BE49-F238E27FC236}">
              <a16:creationId xmlns:a16="http://schemas.microsoft.com/office/drawing/2014/main" id="{00000000-0008-0000-0F00-0000A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3" name="Text Box 672">
          <a:extLst>
            <a:ext uri="{FF2B5EF4-FFF2-40B4-BE49-F238E27FC236}">
              <a16:creationId xmlns:a16="http://schemas.microsoft.com/office/drawing/2014/main" id="{00000000-0008-0000-0F00-0000A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4" name="Text Box 673">
          <a:extLst>
            <a:ext uri="{FF2B5EF4-FFF2-40B4-BE49-F238E27FC236}">
              <a16:creationId xmlns:a16="http://schemas.microsoft.com/office/drawing/2014/main" id="{00000000-0008-0000-0F00-0000A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5" name="Text Box 674">
          <a:extLst>
            <a:ext uri="{FF2B5EF4-FFF2-40B4-BE49-F238E27FC236}">
              <a16:creationId xmlns:a16="http://schemas.microsoft.com/office/drawing/2014/main" id="{00000000-0008-0000-0F00-0000A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6" name="Text Box 675">
          <a:extLst>
            <a:ext uri="{FF2B5EF4-FFF2-40B4-BE49-F238E27FC236}">
              <a16:creationId xmlns:a16="http://schemas.microsoft.com/office/drawing/2014/main" id="{00000000-0008-0000-0F00-0000A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7" name="Text Box 676">
          <a:extLst>
            <a:ext uri="{FF2B5EF4-FFF2-40B4-BE49-F238E27FC236}">
              <a16:creationId xmlns:a16="http://schemas.microsoft.com/office/drawing/2014/main" id="{00000000-0008-0000-0F00-0000A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8" name="Text Box 677">
          <a:extLst>
            <a:ext uri="{FF2B5EF4-FFF2-40B4-BE49-F238E27FC236}">
              <a16:creationId xmlns:a16="http://schemas.microsoft.com/office/drawing/2014/main" id="{00000000-0008-0000-0F00-0000A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79" name="Text Box 678">
          <a:extLst>
            <a:ext uri="{FF2B5EF4-FFF2-40B4-BE49-F238E27FC236}">
              <a16:creationId xmlns:a16="http://schemas.microsoft.com/office/drawing/2014/main" id="{00000000-0008-0000-0F00-0000A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0" name="Text Box 679">
          <a:extLst>
            <a:ext uri="{FF2B5EF4-FFF2-40B4-BE49-F238E27FC236}">
              <a16:creationId xmlns:a16="http://schemas.microsoft.com/office/drawing/2014/main" id="{00000000-0008-0000-0F00-0000A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1" name="Text Box 680">
          <a:extLst>
            <a:ext uri="{FF2B5EF4-FFF2-40B4-BE49-F238E27FC236}">
              <a16:creationId xmlns:a16="http://schemas.microsoft.com/office/drawing/2014/main" id="{00000000-0008-0000-0F00-0000A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2" name="Text Box 681">
          <a:extLst>
            <a:ext uri="{FF2B5EF4-FFF2-40B4-BE49-F238E27FC236}">
              <a16:creationId xmlns:a16="http://schemas.microsoft.com/office/drawing/2014/main" id="{00000000-0008-0000-0F00-0000A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3" name="Text Box 682">
          <a:extLst>
            <a:ext uri="{FF2B5EF4-FFF2-40B4-BE49-F238E27FC236}">
              <a16:creationId xmlns:a16="http://schemas.microsoft.com/office/drawing/2014/main" id="{00000000-0008-0000-0F00-0000A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4" name="Text Box 683">
          <a:extLst>
            <a:ext uri="{FF2B5EF4-FFF2-40B4-BE49-F238E27FC236}">
              <a16:creationId xmlns:a16="http://schemas.microsoft.com/office/drawing/2014/main" id="{00000000-0008-0000-0F00-0000A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5" name="Text Box 684">
          <a:extLst>
            <a:ext uri="{FF2B5EF4-FFF2-40B4-BE49-F238E27FC236}">
              <a16:creationId xmlns:a16="http://schemas.microsoft.com/office/drawing/2014/main" id="{00000000-0008-0000-0F00-0000A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6" name="Text Box 685">
          <a:extLst>
            <a:ext uri="{FF2B5EF4-FFF2-40B4-BE49-F238E27FC236}">
              <a16:creationId xmlns:a16="http://schemas.microsoft.com/office/drawing/2014/main" id="{00000000-0008-0000-0F00-0000A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7" name="Text Box 686">
          <a:extLst>
            <a:ext uri="{FF2B5EF4-FFF2-40B4-BE49-F238E27FC236}">
              <a16:creationId xmlns:a16="http://schemas.microsoft.com/office/drawing/2014/main" id="{00000000-0008-0000-0F00-0000A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8" name="Text Box 687">
          <a:extLst>
            <a:ext uri="{FF2B5EF4-FFF2-40B4-BE49-F238E27FC236}">
              <a16:creationId xmlns:a16="http://schemas.microsoft.com/office/drawing/2014/main" id="{00000000-0008-0000-0F00-0000B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89" name="Text Box 688">
          <a:extLst>
            <a:ext uri="{FF2B5EF4-FFF2-40B4-BE49-F238E27FC236}">
              <a16:creationId xmlns:a16="http://schemas.microsoft.com/office/drawing/2014/main" id="{00000000-0008-0000-0F00-0000B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0" name="Text Box 689">
          <a:extLst>
            <a:ext uri="{FF2B5EF4-FFF2-40B4-BE49-F238E27FC236}">
              <a16:creationId xmlns:a16="http://schemas.microsoft.com/office/drawing/2014/main" id="{00000000-0008-0000-0F00-0000B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1" name="Text Box 690">
          <a:extLst>
            <a:ext uri="{FF2B5EF4-FFF2-40B4-BE49-F238E27FC236}">
              <a16:creationId xmlns:a16="http://schemas.microsoft.com/office/drawing/2014/main" id="{00000000-0008-0000-0F00-0000B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2" name="Text Box 691">
          <a:extLst>
            <a:ext uri="{FF2B5EF4-FFF2-40B4-BE49-F238E27FC236}">
              <a16:creationId xmlns:a16="http://schemas.microsoft.com/office/drawing/2014/main" id="{00000000-0008-0000-0F00-0000B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3" name="Text Box 692">
          <a:extLst>
            <a:ext uri="{FF2B5EF4-FFF2-40B4-BE49-F238E27FC236}">
              <a16:creationId xmlns:a16="http://schemas.microsoft.com/office/drawing/2014/main" id="{00000000-0008-0000-0F00-0000B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4" name="Text Box 693">
          <a:extLst>
            <a:ext uri="{FF2B5EF4-FFF2-40B4-BE49-F238E27FC236}">
              <a16:creationId xmlns:a16="http://schemas.microsoft.com/office/drawing/2014/main" id="{00000000-0008-0000-0F00-0000B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5" name="Text Box 694">
          <a:extLst>
            <a:ext uri="{FF2B5EF4-FFF2-40B4-BE49-F238E27FC236}">
              <a16:creationId xmlns:a16="http://schemas.microsoft.com/office/drawing/2014/main" id="{00000000-0008-0000-0F00-0000B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6" name="Text Box 695">
          <a:extLst>
            <a:ext uri="{FF2B5EF4-FFF2-40B4-BE49-F238E27FC236}">
              <a16:creationId xmlns:a16="http://schemas.microsoft.com/office/drawing/2014/main" id="{00000000-0008-0000-0F00-0000B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7" name="Text Box 696">
          <a:extLst>
            <a:ext uri="{FF2B5EF4-FFF2-40B4-BE49-F238E27FC236}">
              <a16:creationId xmlns:a16="http://schemas.microsoft.com/office/drawing/2014/main" id="{00000000-0008-0000-0F00-0000B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8" name="Text Box 697">
          <a:extLst>
            <a:ext uri="{FF2B5EF4-FFF2-40B4-BE49-F238E27FC236}">
              <a16:creationId xmlns:a16="http://schemas.microsoft.com/office/drawing/2014/main" id="{00000000-0008-0000-0F00-0000B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699" name="Text Box 698">
          <a:extLst>
            <a:ext uri="{FF2B5EF4-FFF2-40B4-BE49-F238E27FC236}">
              <a16:creationId xmlns:a16="http://schemas.microsoft.com/office/drawing/2014/main" id="{00000000-0008-0000-0F00-0000B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0" name="Text Box 699">
          <a:extLst>
            <a:ext uri="{FF2B5EF4-FFF2-40B4-BE49-F238E27FC236}">
              <a16:creationId xmlns:a16="http://schemas.microsoft.com/office/drawing/2014/main" id="{00000000-0008-0000-0F00-0000B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1" name="Text Box 700">
          <a:extLst>
            <a:ext uri="{FF2B5EF4-FFF2-40B4-BE49-F238E27FC236}">
              <a16:creationId xmlns:a16="http://schemas.microsoft.com/office/drawing/2014/main" id="{00000000-0008-0000-0F00-0000B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2" name="Text Box 701">
          <a:extLst>
            <a:ext uri="{FF2B5EF4-FFF2-40B4-BE49-F238E27FC236}">
              <a16:creationId xmlns:a16="http://schemas.microsoft.com/office/drawing/2014/main" id="{00000000-0008-0000-0F00-0000B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3" name="Text Box 702">
          <a:extLst>
            <a:ext uri="{FF2B5EF4-FFF2-40B4-BE49-F238E27FC236}">
              <a16:creationId xmlns:a16="http://schemas.microsoft.com/office/drawing/2014/main" id="{00000000-0008-0000-0F00-0000B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4" name="Text Box 703">
          <a:extLst>
            <a:ext uri="{FF2B5EF4-FFF2-40B4-BE49-F238E27FC236}">
              <a16:creationId xmlns:a16="http://schemas.microsoft.com/office/drawing/2014/main" id="{00000000-0008-0000-0F00-0000C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5" name="Text Box 704">
          <a:extLst>
            <a:ext uri="{FF2B5EF4-FFF2-40B4-BE49-F238E27FC236}">
              <a16:creationId xmlns:a16="http://schemas.microsoft.com/office/drawing/2014/main" id="{00000000-0008-0000-0F00-0000C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6" name="Text Box 705">
          <a:extLst>
            <a:ext uri="{FF2B5EF4-FFF2-40B4-BE49-F238E27FC236}">
              <a16:creationId xmlns:a16="http://schemas.microsoft.com/office/drawing/2014/main" id="{00000000-0008-0000-0F00-0000C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7" name="Text Box 706">
          <a:extLst>
            <a:ext uri="{FF2B5EF4-FFF2-40B4-BE49-F238E27FC236}">
              <a16:creationId xmlns:a16="http://schemas.microsoft.com/office/drawing/2014/main" id="{00000000-0008-0000-0F00-0000C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8" name="Text Box 707">
          <a:extLst>
            <a:ext uri="{FF2B5EF4-FFF2-40B4-BE49-F238E27FC236}">
              <a16:creationId xmlns:a16="http://schemas.microsoft.com/office/drawing/2014/main" id="{00000000-0008-0000-0F00-0000C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09" name="Text Box 708">
          <a:extLst>
            <a:ext uri="{FF2B5EF4-FFF2-40B4-BE49-F238E27FC236}">
              <a16:creationId xmlns:a16="http://schemas.microsoft.com/office/drawing/2014/main" id="{00000000-0008-0000-0F00-0000C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0" name="Text Box 709">
          <a:extLst>
            <a:ext uri="{FF2B5EF4-FFF2-40B4-BE49-F238E27FC236}">
              <a16:creationId xmlns:a16="http://schemas.microsoft.com/office/drawing/2014/main" id="{00000000-0008-0000-0F00-0000C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1" name="Text Box 710">
          <a:extLst>
            <a:ext uri="{FF2B5EF4-FFF2-40B4-BE49-F238E27FC236}">
              <a16:creationId xmlns:a16="http://schemas.microsoft.com/office/drawing/2014/main" id="{00000000-0008-0000-0F00-0000C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2" name="Text Box 711">
          <a:extLst>
            <a:ext uri="{FF2B5EF4-FFF2-40B4-BE49-F238E27FC236}">
              <a16:creationId xmlns:a16="http://schemas.microsoft.com/office/drawing/2014/main" id="{00000000-0008-0000-0F00-0000C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3" name="Text Box 712">
          <a:extLst>
            <a:ext uri="{FF2B5EF4-FFF2-40B4-BE49-F238E27FC236}">
              <a16:creationId xmlns:a16="http://schemas.microsoft.com/office/drawing/2014/main" id="{00000000-0008-0000-0F00-0000C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4" name="Text Box 713">
          <a:extLst>
            <a:ext uri="{FF2B5EF4-FFF2-40B4-BE49-F238E27FC236}">
              <a16:creationId xmlns:a16="http://schemas.microsoft.com/office/drawing/2014/main" id="{00000000-0008-0000-0F00-0000C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5" name="Text Box 714">
          <a:extLst>
            <a:ext uri="{FF2B5EF4-FFF2-40B4-BE49-F238E27FC236}">
              <a16:creationId xmlns:a16="http://schemas.microsoft.com/office/drawing/2014/main" id="{00000000-0008-0000-0F00-0000C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6" name="Text Box 715">
          <a:extLst>
            <a:ext uri="{FF2B5EF4-FFF2-40B4-BE49-F238E27FC236}">
              <a16:creationId xmlns:a16="http://schemas.microsoft.com/office/drawing/2014/main" id="{00000000-0008-0000-0F00-0000C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7" name="Text Box 716">
          <a:extLst>
            <a:ext uri="{FF2B5EF4-FFF2-40B4-BE49-F238E27FC236}">
              <a16:creationId xmlns:a16="http://schemas.microsoft.com/office/drawing/2014/main" id="{00000000-0008-0000-0F00-0000C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8" name="Text Box 717">
          <a:extLst>
            <a:ext uri="{FF2B5EF4-FFF2-40B4-BE49-F238E27FC236}">
              <a16:creationId xmlns:a16="http://schemas.microsoft.com/office/drawing/2014/main" id="{00000000-0008-0000-0F00-0000C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19" name="Text Box 718">
          <a:extLst>
            <a:ext uri="{FF2B5EF4-FFF2-40B4-BE49-F238E27FC236}">
              <a16:creationId xmlns:a16="http://schemas.microsoft.com/office/drawing/2014/main" id="{00000000-0008-0000-0F00-0000C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0" name="Text Box 719">
          <a:extLst>
            <a:ext uri="{FF2B5EF4-FFF2-40B4-BE49-F238E27FC236}">
              <a16:creationId xmlns:a16="http://schemas.microsoft.com/office/drawing/2014/main" id="{00000000-0008-0000-0F00-0000D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1" name="Text Box 720">
          <a:extLst>
            <a:ext uri="{FF2B5EF4-FFF2-40B4-BE49-F238E27FC236}">
              <a16:creationId xmlns:a16="http://schemas.microsoft.com/office/drawing/2014/main" id="{00000000-0008-0000-0F00-0000D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2" name="Text Box 721">
          <a:extLst>
            <a:ext uri="{FF2B5EF4-FFF2-40B4-BE49-F238E27FC236}">
              <a16:creationId xmlns:a16="http://schemas.microsoft.com/office/drawing/2014/main" id="{00000000-0008-0000-0F00-0000D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3" name="Text Box 722">
          <a:extLst>
            <a:ext uri="{FF2B5EF4-FFF2-40B4-BE49-F238E27FC236}">
              <a16:creationId xmlns:a16="http://schemas.microsoft.com/office/drawing/2014/main" id="{00000000-0008-0000-0F00-0000D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4" name="Text Box 723">
          <a:extLst>
            <a:ext uri="{FF2B5EF4-FFF2-40B4-BE49-F238E27FC236}">
              <a16:creationId xmlns:a16="http://schemas.microsoft.com/office/drawing/2014/main" id="{00000000-0008-0000-0F00-0000D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5" name="Text Box 724">
          <a:extLst>
            <a:ext uri="{FF2B5EF4-FFF2-40B4-BE49-F238E27FC236}">
              <a16:creationId xmlns:a16="http://schemas.microsoft.com/office/drawing/2014/main" id="{00000000-0008-0000-0F00-0000D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6" name="Text Box 725">
          <a:extLst>
            <a:ext uri="{FF2B5EF4-FFF2-40B4-BE49-F238E27FC236}">
              <a16:creationId xmlns:a16="http://schemas.microsoft.com/office/drawing/2014/main" id="{00000000-0008-0000-0F00-0000D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7" name="Text Box 726">
          <a:extLst>
            <a:ext uri="{FF2B5EF4-FFF2-40B4-BE49-F238E27FC236}">
              <a16:creationId xmlns:a16="http://schemas.microsoft.com/office/drawing/2014/main" id="{00000000-0008-0000-0F00-0000D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8" name="Text Box 727">
          <a:extLst>
            <a:ext uri="{FF2B5EF4-FFF2-40B4-BE49-F238E27FC236}">
              <a16:creationId xmlns:a16="http://schemas.microsoft.com/office/drawing/2014/main" id="{00000000-0008-0000-0F00-0000D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29" name="Text Box 728">
          <a:extLst>
            <a:ext uri="{FF2B5EF4-FFF2-40B4-BE49-F238E27FC236}">
              <a16:creationId xmlns:a16="http://schemas.microsoft.com/office/drawing/2014/main" id="{00000000-0008-0000-0F00-0000D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0" name="Text Box 729">
          <a:extLst>
            <a:ext uri="{FF2B5EF4-FFF2-40B4-BE49-F238E27FC236}">
              <a16:creationId xmlns:a16="http://schemas.microsoft.com/office/drawing/2014/main" id="{00000000-0008-0000-0F00-0000D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1" name="Text Box 730">
          <a:extLst>
            <a:ext uri="{FF2B5EF4-FFF2-40B4-BE49-F238E27FC236}">
              <a16:creationId xmlns:a16="http://schemas.microsoft.com/office/drawing/2014/main" id="{00000000-0008-0000-0F00-0000D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2" name="Text Box 731">
          <a:extLst>
            <a:ext uri="{FF2B5EF4-FFF2-40B4-BE49-F238E27FC236}">
              <a16:creationId xmlns:a16="http://schemas.microsoft.com/office/drawing/2014/main" id="{00000000-0008-0000-0F00-0000D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3" name="Text Box 732">
          <a:extLst>
            <a:ext uri="{FF2B5EF4-FFF2-40B4-BE49-F238E27FC236}">
              <a16:creationId xmlns:a16="http://schemas.microsoft.com/office/drawing/2014/main" id="{00000000-0008-0000-0F00-0000D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4" name="Text Box 733">
          <a:extLst>
            <a:ext uri="{FF2B5EF4-FFF2-40B4-BE49-F238E27FC236}">
              <a16:creationId xmlns:a16="http://schemas.microsoft.com/office/drawing/2014/main" id="{00000000-0008-0000-0F00-0000D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5" name="Text Box 734">
          <a:extLst>
            <a:ext uri="{FF2B5EF4-FFF2-40B4-BE49-F238E27FC236}">
              <a16:creationId xmlns:a16="http://schemas.microsoft.com/office/drawing/2014/main" id="{00000000-0008-0000-0F00-0000D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6" name="Text Box 735">
          <a:extLst>
            <a:ext uri="{FF2B5EF4-FFF2-40B4-BE49-F238E27FC236}">
              <a16:creationId xmlns:a16="http://schemas.microsoft.com/office/drawing/2014/main" id="{00000000-0008-0000-0F00-0000E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7" name="Text Box 736">
          <a:extLst>
            <a:ext uri="{FF2B5EF4-FFF2-40B4-BE49-F238E27FC236}">
              <a16:creationId xmlns:a16="http://schemas.microsoft.com/office/drawing/2014/main" id="{00000000-0008-0000-0F00-0000E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8" name="Text Box 737">
          <a:extLst>
            <a:ext uri="{FF2B5EF4-FFF2-40B4-BE49-F238E27FC236}">
              <a16:creationId xmlns:a16="http://schemas.microsoft.com/office/drawing/2014/main" id="{00000000-0008-0000-0F00-0000E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39" name="Text Box 738">
          <a:extLst>
            <a:ext uri="{FF2B5EF4-FFF2-40B4-BE49-F238E27FC236}">
              <a16:creationId xmlns:a16="http://schemas.microsoft.com/office/drawing/2014/main" id="{00000000-0008-0000-0F00-0000E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0" name="Text Box 739">
          <a:extLst>
            <a:ext uri="{FF2B5EF4-FFF2-40B4-BE49-F238E27FC236}">
              <a16:creationId xmlns:a16="http://schemas.microsoft.com/office/drawing/2014/main" id="{00000000-0008-0000-0F00-0000E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1" name="Text Box 740">
          <a:extLst>
            <a:ext uri="{FF2B5EF4-FFF2-40B4-BE49-F238E27FC236}">
              <a16:creationId xmlns:a16="http://schemas.microsoft.com/office/drawing/2014/main" id="{00000000-0008-0000-0F00-0000E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2" name="Text Box 741">
          <a:extLst>
            <a:ext uri="{FF2B5EF4-FFF2-40B4-BE49-F238E27FC236}">
              <a16:creationId xmlns:a16="http://schemas.microsoft.com/office/drawing/2014/main" id="{00000000-0008-0000-0F00-0000E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3" name="Text Box 742">
          <a:extLst>
            <a:ext uri="{FF2B5EF4-FFF2-40B4-BE49-F238E27FC236}">
              <a16:creationId xmlns:a16="http://schemas.microsoft.com/office/drawing/2014/main" id="{00000000-0008-0000-0F00-0000E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4" name="Text Box 743">
          <a:extLst>
            <a:ext uri="{FF2B5EF4-FFF2-40B4-BE49-F238E27FC236}">
              <a16:creationId xmlns:a16="http://schemas.microsoft.com/office/drawing/2014/main" id="{00000000-0008-0000-0F00-0000E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5" name="Text Box 744">
          <a:extLst>
            <a:ext uri="{FF2B5EF4-FFF2-40B4-BE49-F238E27FC236}">
              <a16:creationId xmlns:a16="http://schemas.microsoft.com/office/drawing/2014/main" id="{00000000-0008-0000-0F00-0000E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6" name="Text Box 745">
          <a:extLst>
            <a:ext uri="{FF2B5EF4-FFF2-40B4-BE49-F238E27FC236}">
              <a16:creationId xmlns:a16="http://schemas.microsoft.com/office/drawing/2014/main" id="{00000000-0008-0000-0F00-0000E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7" name="Text Box 746">
          <a:extLst>
            <a:ext uri="{FF2B5EF4-FFF2-40B4-BE49-F238E27FC236}">
              <a16:creationId xmlns:a16="http://schemas.microsoft.com/office/drawing/2014/main" id="{00000000-0008-0000-0F00-0000E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8" name="Text Box 747">
          <a:extLst>
            <a:ext uri="{FF2B5EF4-FFF2-40B4-BE49-F238E27FC236}">
              <a16:creationId xmlns:a16="http://schemas.microsoft.com/office/drawing/2014/main" id="{00000000-0008-0000-0F00-0000E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49" name="Text Box 748">
          <a:extLst>
            <a:ext uri="{FF2B5EF4-FFF2-40B4-BE49-F238E27FC236}">
              <a16:creationId xmlns:a16="http://schemas.microsoft.com/office/drawing/2014/main" id="{00000000-0008-0000-0F00-0000E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0" name="Text Box 749">
          <a:extLst>
            <a:ext uri="{FF2B5EF4-FFF2-40B4-BE49-F238E27FC236}">
              <a16:creationId xmlns:a16="http://schemas.microsoft.com/office/drawing/2014/main" id="{00000000-0008-0000-0F00-0000E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1" name="Text Box 750">
          <a:extLst>
            <a:ext uri="{FF2B5EF4-FFF2-40B4-BE49-F238E27FC236}">
              <a16:creationId xmlns:a16="http://schemas.microsoft.com/office/drawing/2014/main" id="{00000000-0008-0000-0F00-0000E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2" name="Text Box 751">
          <a:extLst>
            <a:ext uri="{FF2B5EF4-FFF2-40B4-BE49-F238E27FC236}">
              <a16:creationId xmlns:a16="http://schemas.microsoft.com/office/drawing/2014/main" id="{00000000-0008-0000-0F00-0000F0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3" name="Text Box 752">
          <a:extLst>
            <a:ext uri="{FF2B5EF4-FFF2-40B4-BE49-F238E27FC236}">
              <a16:creationId xmlns:a16="http://schemas.microsoft.com/office/drawing/2014/main" id="{00000000-0008-0000-0F00-0000F1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4" name="Text Box 753">
          <a:extLst>
            <a:ext uri="{FF2B5EF4-FFF2-40B4-BE49-F238E27FC236}">
              <a16:creationId xmlns:a16="http://schemas.microsoft.com/office/drawing/2014/main" id="{00000000-0008-0000-0F00-0000F2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5" name="Text Box 754">
          <a:extLst>
            <a:ext uri="{FF2B5EF4-FFF2-40B4-BE49-F238E27FC236}">
              <a16:creationId xmlns:a16="http://schemas.microsoft.com/office/drawing/2014/main" id="{00000000-0008-0000-0F00-0000F3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6" name="Text Box 755">
          <a:extLst>
            <a:ext uri="{FF2B5EF4-FFF2-40B4-BE49-F238E27FC236}">
              <a16:creationId xmlns:a16="http://schemas.microsoft.com/office/drawing/2014/main" id="{00000000-0008-0000-0F00-0000F4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7" name="Text Box 756">
          <a:extLst>
            <a:ext uri="{FF2B5EF4-FFF2-40B4-BE49-F238E27FC236}">
              <a16:creationId xmlns:a16="http://schemas.microsoft.com/office/drawing/2014/main" id="{00000000-0008-0000-0F00-0000F5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8" name="Text Box 757">
          <a:extLst>
            <a:ext uri="{FF2B5EF4-FFF2-40B4-BE49-F238E27FC236}">
              <a16:creationId xmlns:a16="http://schemas.microsoft.com/office/drawing/2014/main" id="{00000000-0008-0000-0F00-0000F6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59" name="Text Box 758">
          <a:extLst>
            <a:ext uri="{FF2B5EF4-FFF2-40B4-BE49-F238E27FC236}">
              <a16:creationId xmlns:a16="http://schemas.microsoft.com/office/drawing/2014/main" id="{00000000-0008-0000-0F00-0000F7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0" name="Text Box 759">
          <a:extLst>
            <a:ext uri="{FF2B5EF4-FFF2-40B4-BE49-F238E27FC236}">
              <a16:creationId xmlns:a16="http://schemas.microsoft.com/office/drawing/2014/main" id="{00000000-0008-0000-0F00-0000F8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1" name="Text Box 760">
          <a:extLst>
            <a:ext uri="{FF2B5EF4-FFF2-40B4-BE49-F238E27FC236}">
              <a16:creationId xmlns:a16="http://schemas.microsoft.com/office/drawing/2014/main" id="{00000000-0008-0000-0F00-0000F9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2" name="Text Box 761">
          <a:extLst>
            <a:ext uri="{FF2B5EF4-FFF2-40B4-BE49-F238E27FC236}">
              <a16:creationId xmlns:a16="http://schemas.microsoft.com/office/drawing/2014/main" id="{00000000-0008-0000-0F00-0000FA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3" name="Text Box 762">
          <a:extLst>
            <a:ext uri="{FF2B5EF4-FFF2-40B4-BE49-F238E27FC236}">
              <a16:creationId xmlns:a16="http://schemas.microsoft.com/office/drawing/2014/main" id="{00000000-0008-0000-0F00-0000FB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4" name="Text Box 763">
          <a:extLst>
            <a:ext uri="{FF2B5EF4-FFF2-40B4-BE49-F238E27FC236}">
              <a16:creationId xmlns:a16="http://schemas.microsoft.com/office/drawing/2014/main" id="{00000000-0008-0000-0F00-0000FC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5" name="Text Box 764">
          <a:extLst>
            <a:ext uri="{FF2B5EF4-FFF2-40B4-BE49-F238E27FC236}">
              <a16:creationId xmlns:a16="http://schemas.microsoft.com/office/drawing/2014/main" id="{00000000-0008-0000-0F00-0000FD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6" name="Text Box 765">
          <a:extLst>
            <a:ext uri="{FF2B5EF4-FFF2-40B4-BE49-F238E27FC236}">
              <a16:creationId xmlns:a16="http://schemas.microsoft.com/office/drawing/2014/main" id="{00000000-0008-0000-0F00-0000FE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7" name="Text Box 766">
          <a:extLst>
            <a:ext uri="{FF2B5EF4-FFF2-40B4-BE49-F238E27FC236}">
              <a16:creationId xmlns:a16="http://schemas.microsoft.com/office/drawing/2014/main" id="{00000000-0008-0000-0F00-0000FF02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8" name="Text Box 767">
          <a:extLst>
            <a:ext uri="{FF2B5EF4-FFF2-40B4-BE49-F238E27FC236}">
              <a16:creationId xmlns:a16="http://schemas.microsoft.com/office/drawing/2014/main" id="{00000000-0008-0000-0F00-00000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69" name="Text Box 768">
          <a:extLst>
            <a:ext uri="{FF2B5EF4-FFF2-40B4-BE49-F238E27FC236}">
              <a16:creationId xmlns:a16="http://schemas.microsoft.com/office/drawing/2014/main" id="{00000000-0008-0000-0F00-00000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0" name="Text Box 769">
          <a:extLst>
            <a:ext uri="{FF2B5EF4-FFF2-40B4-BE49-F238E27FC236}">
              <a16:creationId xmlns:a16="http://schemas.microsoft.com/office/drawing/2014/main" id="{00000000-0008-0000-0F00-00000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1" name="Text Box 770">
          <a:extLst>
            <a:ext uri="{FF2B5EF4-FFF2-40B4-BE49-F238E27FC236}">
              <a16:creationId xmlns:a16="http://schemas.microsoft.com/office/drawing/2014/main" id="{00000000-0008-0000-0F00-00000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2" name="Text Box 771">
          <a:extLst>
            <a:ext uri="{FF2B5EF4-FFF2-40B4-BE49-F238E27FC236}">
              <a16:creationId xmlns:a16="http://schemas.microsoft.com/office/drawing/2014/main" id="{00000000-0008-0000-0F00-00000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3" name="Text Box 772">
          <a:extLst>
            <a:ext uri="{FF2B5EF4-FFF2-40B4-BE49-F238E27FC236}">
              <a16:creationId xmlns:a16="http://schemas.microsoft.com/office/drawing/2014/main" id="{00000000-0008-0000-0F00-00000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4" name="Text Box 773">
          <a:extLst>
            <a:ext uri="{FF2B5EF4-FFF2-40B4-BE49-F238E27FC236}">
              <a16:creationId xmlns:a16="http://schemas.microsoft.com/office/drawing/2014/main" id="{00000000-0008-0000-0F00-00000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5" name="Text Box 774">
          <a:extLst>
            <a:ext uri="{FF2B5EF4-FFF2-40B4-BE49-F238E27FC236}">
              <a16:creationId xmlns:a16="http://schemas.microsoft.com/office/drawing/2014/main" id="{00000000-0008-0000-0F00-00000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6" name="Text Box 775">
          <a:extLst>
            <a:ext uri="{FF2B5EF4-FFF2-40B4-BE49-F238E27FC236}">
              <a16:creationId xmlns:a16="http://schemas.microsoft.com/office/drawing/2014/main" id="{00000000-0008-0000-0F00-00000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7" name="Text Box 776">
          <a:extLst>
            <a:ext uri="{FF2B5EF4-FFF2-40B4-BE49-F238E27FC236}">
              <a16:creationId xmlns:a16="http://schemas.microsoft.com/office/drawing/2014/main" id="{00000000-0008-0000-0F00-00000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8" name="Text Box 777">
          <a:extLst>
            <a:ext uri="{FF2B5EF4-FFF2-40B4-BE49-F238E27FC236}">
              <a16:creationId xmlns:a16="http://schemas.microsoft.com/office/drawing/2014/main" id="{00000000-0008-0000-0F00-00000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79" name="Text Box 778">
          <a:extLst>
            <a:ext uri="{FF2B5EF4-FFF2-40B4-BE49-F238E27FC236}">
              <a16:creationId xmlns:a16="http://schemas.microsoft.com/office/drawing/2014/main" id="{00000000-0008-0000-0F00-00000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0" name="Text Box 779">
          <a:extLst>
            <a:ext uri="{FF2B5EF4-FFF2-40B4-BE49-F238E27FC236}">
              <a16:creationId xmlns:a16="http://schemas.microsoft.com/office/drawing/2014/main" id="{00000000-0008-0000-0F00-00000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1" name="Text Box 780">
          <a:extLst>
            <a:ext uri="{FF2B5EF4-FFF2-40B4-BE49-F238E27FC236}">
              <a16:creationId xmlns:a16="http://schemas.microsoft.com/office/drawing/2014/main" id="{00000000-0008-0000-0F00-00000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2" name="Text Box 781">
          <a:extLst>
            <a:ext uri="{FF2B5EF4-FFF2-40B4-BE49-F238E27FC236}">
              <a16:creationId xmlns:a16="http://schemas.microsoft.com/office/drawing/2014/main" id="{00000000-0008-0000-0F00-00000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3" name="Text Box 782">
          <a:extLst>
            <a:ext uri="{FF2B5EF4-FFF2-40B4-BE49-F238E27FC236}">
              <a16:creationId xmlns:a16="http://schemas.microsoft.com/office/drawing/2014/main" id="{00000000-0008-0000-0F00-00000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4" name="Text Box 783">
          <a:extLst>
            <a:ext uri="{FF2B5EF4-FFF2-40B4-BE49-F238E27FC236}">
              <a16:creationId xmlns:a16="http://schemas.microsoft.com/office/drawing/2014/main" id="{00000000-0008-0000-0F00-00001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5" name="Text Box 784">
          <a:extLst>
            <a:ext uri="{FF2B5EF4-FFF2-40B4-BE49-F238E27FC236}">
              <a16:creationId xmlns:a16="http://schemas.microsoft.com/office/drawing/2014/main" id="{00000000-0008-0000-0F00-00001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6" name="Text Box 785">
          <a:extLst>
            <a:ext uri="{FF2B5EF4-FFF2-40B4-BE49-F238E27FC236}">
              <a16:creationId xmlns:a16="http://schemas.microsoft.com/office/drawing/2014/main" id="{00000000-0008-0000-0F00-00001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7" name="Text Box 786">
          <a:extLst>
            <a:ext uri="{FF2B5EF4-FFF2-40B4-BE49-F238E27FC236}">
              <a16:creationId xmlns:a16="http://schemas.microsoft.com/office/drawing/2014/main" id="{00000000-0008-0000-0F00-00001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8" name="Text Box 787">
          <a:extLst>
            <a:ext uri="{FF2B5EF4-FFF2-40B4-BE49-F238E27FC236}">
              <a16:creationId xmlns:a16="http://schemas.microsoft.com/office/drawing/2014/main" id="{00000000-0008-0000-0F00-00001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89" name="Text Box 788">
          <a:extLst>
            <a:ext uri="{FF2B5EF4-FFF2-40B4-BE49-F238E27FC236}">
              <a16:creationId xmlns:a16="http://schemas.microsoft.com/office/drawing/2014/main" id="{00000000-0008-0000-0F00-00001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0" name="Text Box 789">
          <a:extLst>
            <a:ext uri="{FF2B5EF4-FFF2-40B4-BE49-F238E27FC236}">
              <a16:creationId xmlns:a16="http://schemas.microsoft.com/office/drawing/2014/main" id="{00000000-0008-0000-0F00-00001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1" name="Text Box 790">
          <a:extLst>
            <a:ext uri="{FF2B5EF4-FFF2-40B4-BE49-F238E27FC236}">
              <a16:creationId xmlns:a16="http://schemas.microsoft.com/office/drawing/2014/main" id="{00000000-0008-0000-0F00-00001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2" name="Text Box 791">
          <a:extLst>
            <a:ext uri="{FF2B5EF4-FFF2-40B4-BE49-F238E27FC236}">
              <a16:creationId xmlns:a16="http://schemas.microsoft.com/office/drawing/2014/main" id="{00000000-0008-0000-0F00-00001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3" name="Text Box 792">
          <a:extLst>
            <a:ext uri="{FF2B5EF4-FFF2-40B4-BE49-F238E27FC236}">
              <a16:creationId xmlns:a16="http://schemas.microsoft.com/office/drawing/2014/main" id="{00000000-0008-0000-0F00-00001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4" name="Text Box 793">
          <a:extLst>
            <a:ext uri="{FF2B5EF4-FFF2-40B4-BE49-F238E27FC236}">
              <a16:creationId xmlns:a16="http://schemas.microsoft.com/office/drawing/2014/main" id="{00000000-0008-0000-0F00-00001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5" name="Text Box 794">
          <a:extLst>
            <a:ext uri="{FF2B5EF4-FFF2-40B4-BE49-F238E27FC236}">
              <a16:creationId xmlns:a16="http://schemas.microsoft.com/office/drawing/2014/main" id="{00000000-0008-0000-0F00-00001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6" name="Text Box 795">
          <a:extLst>
            <a:ext uri="{FF2B5EF4-FFF2-40B4-BE49-F238E27FC236}">
              <a16:creationId xmlns:a16="http://schemas.microsoft.com/office/drawing/2014/main" id="{00000000-0008-0000-0F00-00001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7" name="Text Box 796">
          <a:extLst>
            <a:ext uri="{FF2B5EF4-FFF2-40B4-BE49-F238E27FC236}">
              <a16:creationId xmlns:a16="http://schemas.microsoft.com/office/drawing/2014/main" id="{00000000-0008-0000-0F00-00001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8" name="Text Box 797">
          <a:extLst>
            <a:ext uri="{FF2B5EF4-FFF2-40B4-BE49-F238E27FC236}">
              <a16:creationId xmlns:a16="http://schemas.microsoft.com/office/drawing/2014/main" id="{00000000-0008-0000-0F00-00001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799" name="Text Box 798">
          <a:extLst>
            <a:ext uri="{FF2B5EF4-FFF2-40B4-BE49-F238E27FC236}">
              <a16:creationId xmlns:a16="http://schemas.microsoft.com/office/drawing/2014/main" id="{00000000-0008-0000-0F00-00001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0" name="Text Box 799">
          <a:extLst>
            <a:ext uri="{FF2B5EF4-FFF2-40B4-BE49-F238E27FC236}">
              <a16:creationId xmlns:a16="http://schemas.microsoft.com/office/drawing/2014/main" id="{00000000-0008-0000-0F00-00002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1" name="Text Box 800">
          <a:extLst>
            <a:ext uri="{FF2B5EF4-FFF2-40B4-BE49-F238E27FC236}">
              <a16:creationId xmlns:a16="http://schemas.microsoft.com/office/drawing/2014/main" id="{00000000-0008-0000-0F00-00002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2" name="Text Box 801">
          <a:extLst>
            <a:ext uri="{FF2B5EF4-FFF2-40B4-BE49-F238E27FC236}">
              <a16:creationId xmlns:a16="http://schemas.microsoft.com/office/drawing/2014/main" id="{00000000-0008-0000-0F00-00002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3" name="Text Box 802">
          <a:extLst>
            <a:ext uri="{FF2B5EF4-FFF2-40B4-BE49-F238E27FC236}">
              <a16:creationId xmlns:a16="http://schemas.microsoft.com/office/drawing/2014/main" id="{00000000-0008-0000-0F00-00002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4" name="Text Box 803">
          <a:extLst>
            <a:ext uri="{FF2B5EF4-FFF2-40B4-BE49-F238E27FC236}">
              <a16:creationId xmlns:a16="http://schemas.microsoft.com/office/drawing/2014/main" id="{00000000-0008-0000-0F00-00002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5" name="Text Box 804">
          <a:extLst>
            <a:ext uri="{FF2B5EF4-FFF2-40B4-BE49-F238E27FC236}">
              <a16:creationId xmlns:a16="http://schemas.microsoft.com/office/drawing/2014/main" id="{00000000-0008-0000-0F00-00002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6" name="Text Box 805">
          <a:extLst>
            <a:ext uri="{FF2B5EF4-FFF2-40B4-BE49-F238E27FC236}">
              <a16:creationId xmlns:a16="http://schemas.microsoft.com/office/drawing/2014/main" id="{00000000-0008-0000-0F00-00002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7" name="Text Box 806">
          <a:extLst>
            <a:ext uri="{FF2B5EF4-FFF2-40B4-BE49-F238E27FC236}">
              <a16:creationId xmlns:a16="http://schemas.microsoft.com/office/drawing/2014/main" id="{00000000-0008-0000-0F00-00002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8" name="Text Box 807">
          <a:extLst>
            <a:ext uri="{FF2B5EF4-FFF2-40B4-BE49-F238E27FC236}">
              <a16:creationId xmlns:a16="http://schemas.microsoft.com/office/drawing/2014/main" id="{00000000-0008-0000-0F00-00002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09" name="Text Box 808">
          <a:extLst>
            <a:ext uri="{FF2B5EF4-FFF2-40B4-BE49-F238E27FC236}">
              <a16:creationId xmlns:a16="http://schemas.microsoft.com/office/drawing/2014/main" id="{00000000-0008-0000-0F00-00002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0" name="Text Box 809">
          <a:extLst>
            <a:ext uri="{FF2B5EF4-FFF2-40B4-BE49-F238E27FC236}">
              <a16:creationId xmlns:a16="http://schemas.microsoft.com/office/drawing/2014/main" id="{00000000-0008-0000-0F00-00002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1" name="Text Box 810">
          <a:extLst>
            <a:ext uri="{FF2B5EF4-FFF2-40B4-BE49-F238E27FC236}">
              <a16:creationId xmlns:a16="http://schemas.microsoft.com/office/drawing/2014/main" id="{00000000-0008-0000-0F00-00002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2" name="Text Box 811">
          <a:extLst>
            <a:ext uri="{FF2B5EF4-FFF2-40B4-BE49-F238E27FC236}">
              <a16:creationId xmlns:a16="http://schemas.microsoft.com/office/drawing/2014/main" id="{00000000-0008-0000-0F00-00002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3" name="Text Box 812">
          <a:extLst>
            <a:ext uri="{FF2B5EF4-FFF2-40B4-BE49-F238E27FC236}">
              <a16:creationId xmlns:a16="http://schemas.microsoft.com/office/drawing/2014/main" id="{00000000-0008-0000-0F00-00002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4" name="Text Box 813">
          <a:extLst>
            <a:ext uri="{FF2B5EF4-FFF2-40B4-BE49-F238E27FC236}">
              <a16:creationId xmlns:a16="http://schemas.microsoft.com/office/drawing/2014/main" id="{00000000-0008-0000-0F00-00002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5" name="Text Box 814">
          <a:extLst>
            <a:ext uri="{FF2B5EF4-FFF2-40B4-BE49-F238E27FC236}">
              <a16:creationId xmlns:a16="http://schemas.microsoft.com/office/drawing/2014/main" id="{00000000-0008-0000-0F00-00002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6" name="Text Box 815">
          <a:extLst>
            <a:ext uri="{FF2B5EF4-FFF2-40B4-BE49-F238E27FC236}">
              <a16:creationId xmlns:a16="http://schemas.microsoft.com/office/drawing/2014/main" id="{00000000-0008-0000-0F00-00003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7" name="Text Box 816">
          <a:extLst>
            <a:ext uri="{FF2B5EF4-FFF2-40B4-BE49-F238E27FC236}">
              <a16:creationId xmlns:a16="http://schemas.microsoft.com/office/drawing/2014/main" id="{00000000-0008-0000-0F00-00003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8" name="Text Box 817">
          <a:extLst>
            <a:ext uri="{FF2B5EF4-FFF2-40B4-BE49-F238E27FC236}">
              <a16:creationId xmlns:a16="http://schemas.microsoft.com/office/drawing/2014/main" id="{00000000-0008-0000-0F00-00003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19" name="Text Box 818">
          <a:extLst>
            <a:ext uri="{FF2B5EF4-FFF2-40B4-BE49-F238E27FC236}">
              <a16:creationId xmlns:a16="http://schemas.microsoft.com/office/drawing/2014/main" id="{00000000-0008-0000-0F00-00003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0" name="Text Box 819">
          <a:extLst>
            <a:ext uri="{FF2B5EF4-FFF2-40B4-BE49-F238E27FC236}">
              <a16:creationId xmlns:a16="http://schemas.microsoft.com/office/drawing/2014/main" id="{00000000-0008-0000-0F00-00003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1" name="Text Box 820">
          <a:extLst>
            <a:ext uri="{FF2B5EF4-FFF2-40B4-BE49-F238E27FC236}">
              <a16:creationId xmlns:a16="http://schemas.microsoft.com/office/drawing/2014/main" id="{00000000-0008-0000-0F00-00003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2" name="Text Box 821">
          <a:extLst>
            <a:ext uri="{FF2B5EF4-FFF2-40B4-BE49-F238E27FC236}">
              <a16:creationId xmlns:a16="http://schemas.microsoft.com/office/drawing/2014/main" id="{00000000-0008-0000-0F00-00003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3" name="Text Box 822">
          <a:extLst>
            <a:ext uri="{FF2B5EF4-FFF2-40B4-BE49-F238E27FC236}">
              <a16:creationId xmlns:a16="http://schemas.microsoft.com/office/drawing/2014/main" id="{00000000-0008-0000-0F00-00003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4" name="Text Box 823">
          <a:extLst>
            <a:ext uri="{FF2B5EF4-FFF2-40B4-BE49-F238E27FC236}">
              <a16:creationId xmlns:a16="http://schemas.microsoft.com/office/drawing/2014/main" id="{00000000-0008-0000-0F00-00003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5" name="Text Box 824">
          <a:extLst>
            <a:ext uri="{FF2B5EF4-FFF2-40B4-BE49-F238E27FC236}">
              <a16:creationId xmlns:a16="http://schemas.microsoft.com/office/drawing/2014/main" id="{00000000-0008-0000-0F00-00003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6" name="Text Box 825">
          <a:extLst>
            <a:ext uri="{FF2B5EF4-FFF2-40B4-BE49-F238E27FC236}">
              <a16:creationId xmlns:a16="http://schemas.microsoft.com/office/drawing/2014/main" id="{00000000-0008-0000-0F00-00003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7" name="Text Box 826">
          <a:extLst>
            <a:ext uri="{FF2B5EF4-FFF2-40B4-BE49-F238E27FC236}">
              <a16:creationId xmlns:a16="http://schemas.microsoft.com/office/drawing/2014/main" id="{00000000-0008-0000-0F00-00003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8" name="Text Box 827">
          <a:extLst>
            <a:ext uri="{FF2B5EF4-FFF2-40B4-BE49-F238E27FC236}">
              <a16:creationId xmlns:a16="http://schemas.microsoft.com/office/drawing/2014/main" id="{00000000-0008-0000-0F00-00003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29" name="Text Box 828">
          <a:extLst>
            <a:ext uri="{FF2B5EF4-FFF2-40B4-BE49-F238E27FC236}">
              <a16:creationId xmlns:a16="http://schemas.microsoft.com/office/drawing/2014/main" id="{00000000-0008-0000-0F00-00003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0" name="Text Box 829">
          <a:extLst>
            <a:ext uri="{FF2B5EF4-FFF2-40B4-BE49-F238E27FC236}">
              <a16:creationId xmlns:a16="http://schemas.microsoft.com/office/drawing/2014/main" id="{00000000-0008-0000-0F00-00003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1" name="Text Box 830">
          <a:extLst>
            <a:ext uri="{FF2B5EF4-FFF2-40B4-BE49-F238E27FC236}">
              <a16:creationId xmlns:a16="http://schemas.microsoft.com/office/drawing/2014/main" id="{00000000-0008-0000-0F00-00003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2" name="Text Box 831">
          <a:extLst>
            <a:ext uri="{FF2B5EF4-FFF2-40B4-BE49-F238E27FC236}">
              <a16:creationId xmlns:a16="http://schemas.microsoft.com/office/drawing/2014/main" id="{00000000-0008-0000-0F00-00004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3" name="Text Box 832">
          <a:extLst>
            <a:ext uri="{FF2B5EF4-FFF2-40B4-BE49-F238E27FC236}">
              <a16:creationId xmlns:a16="http://schemas.microsoft.com/office/drawing/2014/main" id="{00000000-0008-0000-0F00-00004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4" name="Text Box 833">
          <a:extLst>
            <a:ext uri="{FF2B5EF4-FFF2-40B4-BE49-F238E27FC236}">
              <a16:creationId xmlns:a16="http://schemas.microsoft.com/office/drawing/2014/main" id="{00000000-0008-0000-0F00-00004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5" name="Text Box 834">
          <a:extLst>
            <a:ext uri="{FF2B5EF4-FFF2-40B4-BE49-F238E27FC236}">
              <a16:creationId xmlns:a16="http://schemas.microsoft.com/office/drawing/2014/main" id="{00000000-0008-0000-0F00-00004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6" name="Text Box 835">
          <a:extLst>
            <a:ext uri="{FF2B5EF4-FFF2-40B4-BE49-F238E27FC236}">
              <a16:creationId xmlns:a16="http://schemas.microsoft.com/office/drawing/2014/main" id="{00000000-0008-0000-0F00-00004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7" name="Text Box 836">
          <a:extLst>
            <a:ext uri="{FF2B5EF4-FFF2-40B4-BE49-F238E27FC236}">
              <a16:creationId xmlns:a16="http://schemas.microsoft.com/office/drawing/2014/main" id="{00000000-0008-0000-0F00-00004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8" name="Text Box 837">
          <a:extLst>
            <a:ext uri="{FF2B5EF4-FFF2-40B4-BE49-F238E27FC236}">
              <a16:creationId xmlns:a16="http://schemas.microsoft.com/office/drawing/2014/main" id="{00000000-0008-0000-0F00-00004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39" name="Text Box 838">
          <a:extLst>
            <a:ext uri="{FF2B5EF4-FFF2-40B4-BE49-F238E27FC236}">
              <a16:creationId xmlns:a16="http://schemas.microsoft.com/office/drawing/2014/main" id="{00000000-0008-0000-0F00-00004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0" name="Text Box 839">
          <a:extLst>
            <a:ext uri="{FF2B5EF4-FFF2-40B4-BE49-F238E27FC236}">
              <a16:creationId xmlns:a16="http://schemas.microsoft.com/office/drawing/2014/main" id="{00000000-0008-0000-0F00-00004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1" name="Text Box 840">
          <a:extLst>
            <a:ext uri="{FF2B5EF4-FFF2-40B4-BE49-F238E27FC236}">
              <a16:creationId xmlns:a16="http://schemas.microsoft.com/office/drawing/2014/main" id="{00000000-0008-0000-0F00-00004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2" name="Text Box 841">
          <a:extLst>
            <a:ext uri="{FF2B5EF4-FFF2-40B4-BE49-F238E27FC236}">
              <a16:creationId xmlns:a16="http://schemas.microsoft.com/office/drawing/2014/main" id="{00000000-0008-0000-0F00-00004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3" name="Text Box 842">
          <a:extLst>
            <a:ext uri="{FF2B5EF4-FFF2-40B4-BE49-F238E27FC236}">
              <a16:creationId xmlns:a16="http://schemas.microsoft.com/office/drawing/2014/main" id="{00000000-0008-0000-0F00-00004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4" name="Text Box 843">
          <a:extLst>
            <a:ext uri="{FF2B5EF4-FFF2-40B4-BE49-F238E27FC236}">
              <a16:creationId xmlns:a16="http://schemas.microsoft.com/office/drawing/2014/main" id="{00000000-0008-0000-0F00-00004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5" name="Text Box 844">
          <a:extLst>
            <a:ext uri="{FF2B5EF4-FFF2-40B4-BE49-F238E27FC236}">
              <a16:creationId xmlns:a16="http://schemas.microsoft.com/office/drawing/2014/main" id="{00000000-0008-0000-0F00-00004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6" name="Text Box 845">
          <a:extLst>
            <a:ext uri="{FF2B5EF4-FFF2-40B4-BE49-F238E27FC236}">
              <a16:creationId xmlns:a16="http://schemas.microsoft.com/office/drawing/2014/main" id="{00000000-0008-0000-0F00-00004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7" name="Text Box 846">
          <a:extLst>
            <a:ext uri="{FF2B5EF4-FFF2-40B4-BE49-F238E27FC236}">
              <a16:creationId xmlns:a16="http://schemas.microsoft.com/office/drawing/2014/main" id="{00000000-0008-0000-0F00-00004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8" name="Text Box 847">
          <a:extLst>
            <a:ext uri="{FF2B5EF4-FFF2-40B4-BE49-F238E27FC236}">
              <a16:creationId xmlns:a16="http://schemas.microsoft.com/office/drawing/2014/main" id="{00000000-0008-0000-0F00-00005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49" name="Text Box 848">
          <a:extLst>
            <a:ext uri="{FF2B5EF4-FFF2-40B4-BE49-F238E27FC236}">
              <a16:creationId xmlns:a16="http://schemas.microsoft.com/office/drawing/2014/main" id="{00000000-0008-0000-0F00-00005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0" name="Text Box 849">
          <a:extLst>
            <a:ext uri="{FF2B5EF4-FFF2-40B4-BE49-F238E27FC236}">
              <a16:creationId xmlns:a16="http://schemas.microsoft.com/office/drawing/2014/main" id="{00000000-0008-0000-0F00-00005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1" name="Text Box 850">
          <a:extLst>
            <a:ext uri="{FF2B5EF4-FFF2-40B4-BE49-F238E27FC236}">
              <a16:creationId xmlns:a16="http://schemas.microsoft.com/office/drawing/2014/main" id="{00000000-0008-0000-0F00-00005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2" name="Text Box 851">
          <a:extLst>
            <a:ext uri="{FF2B5EF4-FFF2-40B4-BE49-F238E27FC236}">
              <a16:creationId xmlns:a16="http://schemas.microsoft.com/office/drawing/2014/main" id="{00000000-0008-0000-0F00-00005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3" name="Text Box 852">
          <a:extLst>
            <a:ext uri="{FF2B5EF4-FFF2-40B4-BE49-F238E27FC236}">
              <a16:creationId xmlns:a16="http://schemas.microsoft.com/office/drawing/2014/main" id="{00000000-0008-0000-0F00-00005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4" name="Text Box 853">
          <a:extLst>
            <a:ext uri="{FF2B5EF4-FFF2-40B4-BE49-F238E27FC236}">
              <a16:creationId xmlns:a16="http://schemas.microsoft.com/office/drawing/2014/main" id="{00000000-0008-0000-0F00-00005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5" name="Text Box 854">
          <a:extLst>
            <a:ext uri="{FF2B5EF4-FFF2-40B4-BE49-F238E27FC236}">
              <a16:creationId xmlns:a16="http://schemas.microsoft.com/office/drawing/2014/main" id="{00000000-0008-0000-0F00-00005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6" name="Text Box 855">
          <a:extLst>
            <a:ext uri="{FF2B5EF4-FFF2-40B4-BE49-F238E27FC236}">
              <a16:creationId xmlns:a16="http://schemas.microsoft.com/office/drawing/2014/main" id="{00000000-0008-0000-0F00-00005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7" name="Text Box 856">
          <a:extLst>
            <a:ext uri="{FF2B5EF4-FFF2-40B4-BE49-F238E27FC236}">
              <a16:creationId xmlns:a16="http://schemas.microsoft.com/office/drawing/2014/main" id="{00000000-0008-0000-0F00-00005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8" name="Text Box 857">
          <a:extLst>
            <a:ext uri="{FF2B5EF4-FFF2-40B4-BE49-F238E27FC236}">
              <a16:creationId xmlns:a16="http://schemas.microsoft.com/office/drawing/2014/main" id="{00000000-0008-0000-0F00-00005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59" name="Text Box 858">
          <a:extLst>
            <a:ext uri="{FF2B5EF4-FFF2-40B4-BE49-F238E27FC236}">
              <a16:creationId xmlns:a16="http://schemas.microsoft.com/office/drawing/2014/main" id="{00000000-0008-0000-0F00-00005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0" name="Text Box 859">
          <a:extLst>
            <a:ext uri="{FF2B5EF4-FFF2-40B4-BE49-F238E27FC236}">
              <a16:creationId xmlns:a16="http://schemas.microsoft.com/office/drawing/2014/main" id="{00000000-0008-0000-0F00-00005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1" name="Text Box 860">
          <a:extLst>
            <a:ext uri="{FF2B5EF4-FFF2-40B4-BE49-F238E27FC236}">
              <a16:creationId xmlns:a16="http://schemas.microsoft.com/office/drawing/2014/main" id="{00000000-0008-0000-0F00-00005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2" name="Text Box 861">
          <a:extLst>
            <a:ext uri="{FF2B5EF4-FFF2-40B4-BE49-F238E27FC236}">
              <a16:creationId xmlns:a16="http://schemas.microsoft.com/office/drawing/2014/main" id="{00000000-0008-0000-0F00-00005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3" name="Text Box 862">
          <a:extLst>
            <a:ext uri="{FF2B5EF4-FFF2-40B4-BE49-F238E27FC236}">
              <a16:creationId xmlns:a16="http://schemas.microsoft.com/office/drawing/2014/main" id="{00000000-0008-0000-0F00-00005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4" name="Text Box 863">
          <a:extLst>
            <a:ext uri="{FF2B5EF4-FFF2-40B4-BE49-F238E27FC236}">
              <a16:creationId xmlns:a16="http://schemas.microsoft.com/office/drawing/2014/main" id="{00000000-0008-0000-0F00-00006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5" name="Text Box 864">
          <a:extLst>
            <a:ext uri="{FF2B5EF4-FFF2-40B4-BE49-F238E27FC236}">
              <a16:creationId xmlns:a16="http://schemas.microsoft.com/office/drawing/2014/main" id="{00000000-0008-0000-0F00-00006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6" name="Text Box 865">
          <a:extLst>
            <a:ext uri="{FF2B5EF4-FFF2-40B4-BE49-F238E27FC236}">
              <a16:creationId xmlns:a16="http://schemas.microsoft.com/office/drawing/2014/main" id="{00000000-0008-0000-0F00-00006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7" name="Text Box 866">
          <a:extLst>
            <a:ext uri="{FF2B5EF4-FFF2-40B4-BE49-F238E27FC236}">
              <a16:creationId xmlns:a16="http://schemas.microsoft.com/office/drawing/2014/main" id="{00000000-0008-0000-0F00-00006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8" name="Text Box 867">
          <a:extLst>
            <a:ext uri="{FF2B5EF4-FFF2-40B4-BE49-F238E27FC236}">
              <a16:creationId xmlns:a16="http://schemas.microsoft.com/office/drawing/2014/main" id="{00000000-0008-0000-0F00-00006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69" name="Text Box 868">
          <a:extLst>
            <a:ext uri="{FF2B5EF4-FFF2-40B4-BE49-F238E27FC236}">
              <a16:creationId xmlns:a16="http://schemas.microsoft.com/office/drawing/2014/main" id="{00000000-0008-0000-0F00-00006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0" name="Text Box 869">
          <a:extLst>
            <a:ext uri="{FF2B5EF4-FFF2-40B4-BE49-F238E27FC236}">
              <a16:creationId xmlns:a16="http://schemas.microsoft.com/office/drawing/2014/main" id="{00000000-0008-0000-0F00-00006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1" name="Text Box 870">
          <a:extLst>
            <a:ext uri="{FF2B5EF4-FFF2-40B4-BE49-F238E27FC236}">
              <a16:creationId xmlns:a16="http://schemas.microsoft.com/office/drawing/2014/main" id="{00000000-0008-0000-0F00-00006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2" name="Text Box 871">
          <a:extLst>
            <a:ext uri="{FF2B5EF4-FFF2-40B4-BE49-F238E27FC236}">
              <a16:creationId xmlns:a16="http://schemas.microsoft.com/office/drawing/2014/main" id="{00000000-0008-0000-0F00-00006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3" name="Text Box 872">
          <a:extLst>
            <a:ext uri="{FF2B5EF4-FFF2-40B4-BE49-F238E27FC236}">
              <a16:creationId xmlns:a16="http://schemas.microsoft.com/office/drawing/2014/main" id="{00000000-0008-0000-0F00-00006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4" name="Text Box 873">
          <a:extLst>
            <a:ext uri="{FF2B5EF4-FFF2-40B4-BE49-F238E27FC236}">
              <a16:creationId xmlns:a16="http://schemas.microsoft.com/office/drawing/2014/main" id="{00000000-0008-0000-0F00-00006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5" name="Text Box 874">
          <a:extLst>
            <a:ext uri="{FF2B5EF4-FFF2-40B4-BE49-F238E27FC236}">
              <a16:creationId xmlns:a16="http://schemas.microsoft.com/office/drawing/2014/main" id="{00000000-0008-0000-0F00-00006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6" name="Text Box 875">
          <a:extLst>
            <a:ext uri="{FF2B5EF4-FFF2-40B4-BE49-F238E27FC236}">
              <a16:creationId xmlns:a16="http://schemas.microsoft.com/office/drawing/2014/main" id="{00000000-0008-0000-0F00-00006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7" name="Text Box 876">
          <a:extLst>
            <a:ext uri="{FF2B5EF4-FFF2-40B4-BE49-F238E27FC236}">
              <a16:creationId xmlns:a16="http://schemas.microsoft.com/office/drawing/2014/main" id="{00000000-0008-0000-0F00-00006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8" name="Text Box 877">
          <a:extLst>
            <a:ext uri="{FF2B5EF4-FFF2-40B4-BE49-F238E27FC236}">
              <a16:creationId xmlns:a16="http://schemas.microsoft.com/office/drawing/2014/main" id="{00000000-0008-0000-0F00-00006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79" name="Text Box 878">
          <a:extLst>
            <a:ext uri="{FF2B5EF4-FFF2-40B4-BE49-F238E27FC236}">
              <a16:creationId xmlns:a16="http://schemas.microsoft.com/office/drawing/2014/main" id="{00000000-0008-0000-0F00-00006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0" name="Text Box 879">
          <a:extLst>
            <a:ext uri="{FF2B5EF4-FFF2-40B4-BE49-F238E27FC236}">
              <a16:creationId xmlns:a16="http://schemas.microsoft.com/office/drawing/2014/main" id="{00000000-0008-0000-0F00-00007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1" name="Text Box 880">
          <a:extLst>
            <a:ext uri="{FF2B5EF4-FFF2-40B4-BE49-F238E27FC236}">
              <a16:creationId xmlns:a16="http://schemas.microsoft.com/office/drawing/2014/main" id="{00000000-0008-0000-0F00-00007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2" name="Text Box 881">
          <a:extLst>
            <a:ext uri="{FF2B5EF4-FFF2-40B4-BE49-F238E27FC236}">
              <a16:creationId xmlns:a16="http://schemas.microsoft.com/office/drawing/2014/main" id="{00000000-0008-0000-0F00-00007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3" name="Text Box 882">
          <a:extLst>
            <a:ext uri="{FF2B5EF4-FFF2-40B4-BE49-F238E27FC236}">
              <a16:creationId xmlns:a16="http://schemas.microsoft.com/office/drawing/2014/main" id="{00000000-0008-0000-0F00-00007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4" name="Text Box 883">
          <a:extLst>
            <a:ext uri="{FF2B5EF4-FFF2-40B4-BE49-F238E27FC236}">
              <a16:creationId xmlns:a16="http://schemas.microsoft.com/office/drawing/2014/main" id="{00000000-0008-0000-0F00-00007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5" name="Text Box 884">
          <a:extLst>
            <a:ext uri="{FF2B5EF4-FFF2-40B4-BE49-F238E27FC236}">
              <a16:creationId xmlns:a16="http://schemas.microsoft.com/office/drawing/2014/main" id="{00000000-0008-0000-0F00-00007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6" name="Text Box 885">
          <a:extLst>
            <a:ext uri="{FF2B5EF4-FFF2-40B4-BE49-F238E27FC236}">
              <a16:creationId xmlns:a16="http://schemas.microsoft.com/office/drawing/2014/main" id="{00000000-0008-0000-0F00-000076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7" name="Text Box 886">
          <a:extLst>
            <a:ext uri="{FF2B5EF4-FFF2-40B4-BE49-F238E27FC236}">
              <a16:creationId xmlns:a16="http://schemas.microsoft.com/office/drawing/2014/main" id="{00000000-0008-0000-0F00-000077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8" name="Text Box 887">
          <a:extLst>
            <a:ext uri="{FF2B5EF4-FFF2-40B4-BE49-F238E27FC236}">
              <a16:creationId xmlns:a16="http://schemas.microsoft.com/office/drawing/2014/main" id="{00000000-0008-0000-0F00-000078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89" name="Text Box 888">
          <a:extLst>
            <a:ext uri="{FF2B5EF4-FFF2-40B4-BE49-F238E27FC236}">
              <a16:creationId xmlns:a16="http://schemas.microsoft.com/office/drawing/2014/main" id="{00000000-0008-0000-0F00-000079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0" name="Text Box 889">
          <a:extLst>
            <a:ext uri="{FF2B5EF4-FFF2-40B4-BE49-F238E27FC236}">
              <a16:creationId xmlns:a16="http://schemas.microsoft.com/office/drawing/2014/main" id="{00000000-0008-0000-0F00-00007A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1" name="Text Box 890">
          <a:extLst>
            <a:ext uri="{FF2B5EF4-FFF2-40B4-BE49-F238E27FC236}">
              <a16:creationId xmlns:a16="http://schemas.microsoft.com/office/drawing/2014/main" id="{00000000-0008-0000-0F00-00007B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2" name="Text Box 891">
          <a:extLst>
            <a:ext uri="{FF2B5EF4-FFF2-40B4-BE49-F238E27FC236}">
              <a16:creationId xmlns:a16="http://schemas.microsoft.com/office/drawing/2014/main" id="{00000000-0008-0000-0F00-00007C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3" name="Text Box 892">
          <a:extLst>
            <a:ext uri="{FF2B5EF4-FFF2-40B4-BE49-F238E27FC236}">
              <a16:creationId xmlns:a16="http://schemas.microsoft.com/office/drawing/2014/main" id="{00000000-0008-0000-0F00-00007D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4" name="Text Box 893">
          <a:extLst>
            <a:ext uri="{FF2B5EF4-FFF2-40B4-BE49-F238E27FC236}">
              <a16:creationId xmlns:a16="http://schemas.microsoft.com/office/drawing/2014/main" id="{00000000-0008-0000-0F00-00007E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5" name="Text Box 894">
          <a:extLst>
            <a:ext uri="{FF2B5EF4-FFF2-40B4-BE49-F238E27FC236}">
              <a16:creationId xmlns:a16="http://schemas.microsoft.com/office/drawing/2014/main" id="{00000000-0008-0000-0F00-00007F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6" name="Text Box 895">
          <a:extLst>
            <a:ext uri="{FF2B5EF4-FFF2-40B4-BE49-F238E27FC236}">
              <a16:creationId xmlns:a16="http://schemas.microsoft.com/office/drawing/2014/main" id="{00000000-0008-0000-0F00-000080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7" name="Text Box 896">
          <a:extLst>
            <a:ext uri="{FF2B5EF4-FFF2-40B4-BE49-F238E27FC236}">
              <a16:creationId xmlns:a16="http://schemas.microsoft.com/office/drawing/2014/main" id="{00000000-0008-0000-0F00-000081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8" name="Text Box 897">
          <a:extLst>
            <a:ext uri="{FF2B5EF4-FFF2-40B4-BE49-F238E27FC236}">
              <a16:creationId xmlns:a16="http://schemas.microsoft.com/office/drawing/2014/main" id="{00000000-0008-0000-0F00-000082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899" name="Text Box 898">
          <a:extLst>
            <a:ext uri="{FF2B5EF4-FFF2-40B4-BE49-F238E27FC236}">
              <a16:creationId xmlns:a16="http://schemas.microsoft.com/office/drawing/2014/main" id="{00000000-0008-0000-0F00-000083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00" name="Text Box 899">
          <a:extLst>
            <a:ext uri="{FF2B5EF4-FFF2-40B4-BE49-F238E27FC236}">
              <a16:creationId xmlns:a16="http://schemas.microsoft.com/office/drawing/2014/main" id="{00000000-0008-0000-0F00-000084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twoCellAnchor editAs="oneCell">
    <xdr:from>
      <xdr:col>4</xdr:col>
      <xdr:colOff>0</xdr:colOff>
      <xdr:row>223</xdr:row>
      <xdr:rowOff>0</xdr:rowOff>
    </xdr:from>
    <xdr:to>
      <xdr:col>4</xdr:col>
      <xdr:colOff>76200</xdr:colOff>
      <xdr:row>224</xdr:row>
      <xdr:rowOff>37145</xdr:rowOff>
    </xdr:to>
    <xdr:sp macro="" textlink="">
      <xdr:nvSpPr>
        <xdr:cNvPr id="901" name="Text Box 900">
          <a:extLst>
            <a:ext uri="{FF2B5EF4-FFF2-40B4-BE49-F238E27FC236}">
              <a16:creationId xmlns:a16="http://schemas.microsoft.com/office/drawing/2014/main" id="{00000000-0008-0000-0F00-000085030000}"/>
            </a:ext>
          </a:extLst>
        </xdr:cNvPr>
        <xdr:cNvSpPr txBox="1">
          <a:spLocks noChangeArrowheads="1"/>
        </xdr:cNvSpPr>
      </xdr:nvSpPr>
      <xdr:spPr bwMode="auto">
        <a:xfrm>
          <a:off x="4495800" y="40414575"/>
          <a:ext cx="76200" cy="200024"/>
        </a:xfrm>
        <a:prstGeom prst="rect">
          <a:avLst/>
        </a:prstGeom>
        <a:noFill/>
        <a:ln w="9525">
          <a:noFill/>
          <a:miter lim="800000"/>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17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17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17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17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17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17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17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17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17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17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6</xdr:col>
      <xdr:colOff>534865</xdr:colOff>
      <xdr:row>15</xdr:row>
      <xdr:rowOff>43963</xdr:rowOff>
    </xdr:from>
    <xdr:to>
      <xdr:col>7</xdr:col>
      <xdr:colOff>124558</xdr:colOff>
      <xdr:row>17</xdr:row>
      <xdr:rowOff>124559</xdr:rowOff>
    </xdr:to>
    <xdr:sp macro="" textlink="">
      <xdr:nvSpPr>
        <xdr:cNvPr id="4" name="Right Brace 3">
          <a:extLst>
            <a:ext uri="{FF2B5EF4-FFF2-40B4-BE49-F238E27FC236}">
              <a16:creationId xmlns:a16="http://schemas.microsoft.com/office/drawing/2014/main" id="{00000000-0008-0000-1F00-000004000000}"/>
            </a:ext>
          </a:extLst>
        </xdr:cNvPr>
        <xdr:cNvSpPr/>
      </xdr:nvSpPr>
      <xdr:spPr>
        <a:xfrm>
          <a:off x="4087690" y="2796688"/>
          <a:ext cx="285018" cy="480646"/>
        </a:xfrm>
        <a:prstGeom prst="righ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lang="en-US" sz="1100">
            <a:ln>
              <a:solidFill>
                <a:sysClr val="windowText" lastClr="000000"/>
              </a:solidFill>
            </a:ln>
            <a:solidFill>
              <a:sysClr val="windowText" lastClr="000000"/>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24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24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24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24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24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24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24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24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24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24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esktop/estimates/Under%20Ground%20Drainage/Estimates/H.M.padu/Working/valicherla%203.00%20lakhs%20working%20ssr%202018-19%20&amp;%202019-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esktop/estimates/MGNREGS%20WORKS/2024-25%20MGNREGS/P.C.Palli/Yadavalli%203.00%20lakhs%20working%20estim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W"/>
      <sheetName val="SPE"/>
      <sheetName val="WORK"/>
      <sheetName val="cement cal"/>
      <sheetName val="deduct quotation"/>
      <sheetName val="lead 2018-19"/>
      <sheetName val="CON 2018-19-1"/>
      <sheetName val="data 2018-19"/>
      <sheetName val="lead 2019-20"/>
      <sheetName val="data 2019-20"/>
      <sheetName val="CON 2019-20"/>
      <sheetName val="GENETIC"/>
      <sheetName val="CS"/>
      <sheetName val="CR"/>
      <sheetName val="CR-G"/>
      <sheetName val="C-1"/>
      <sheetName val="CC f -2"/>
      <sheetName val="ccbc "/>
      <sheetName val="Seigneorage"/>
      <sheetName val="CERTI "/>
      <sheetName val="RE-DE"/>
      <sheetName val="Q-1"/>
      <sheetName val="Q-2"/>
      <sheetName val="Q-3"/>
      <sheetName val="Q-4"/>
      <sheetName val="voucer part"/>
      <sheetName val="1"/>
      <sheetName val="5"/>
      <sheetName val="7"/>
      <sheetName val="10"/>
      <sheetName val="11"/>
      <sheetName val="12"/>
      <sheetName val="M-1"/>
      <sheetName val="M-2"/>
      <sheetName val="M-3"/>
      <sheetName val="Lead"/>
    </sheetNames>
    <sheetDataSet>
      <sheetData sheetId="0"/>
      <sheetData sheetId="1"/>
      <sheetData sheetId="2">
        <row r="11">
          <cell r="I11">
            <v>52.82</v>
          </cell>
        </row>
      </sheetData>
      <sheetData sheetId="3"/>
      <sheetData sheetId="4"/>
      <sheetData sheetId="5"/>
      <sheetData sheetId="6"/>
      <sheetData sheetId="7"/>
      <sheetData sheetId="8"/>
      <sheetData sheetId="9"/>
      <sheetData sheetId="10"/>
      <sheetData sheetId="11">
        <row r="32">
          <cell r="H32">
            <v>2066</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A.M"/>
      <sheetName val="input data"/>
      <sheetName val="WORK"/>
      <sheetName val="seigneorage"/>
      <sheetName val="lead 2023-24"/>
      <sheetName val="data 2023-24"/>
      <sheetName val="work list"/>
      <sheetName val="CON 2023-24"/>
      <sheetName val="CS"/>
      <sheetName val="CR"/>
      <sheetName val="R-1"/>
      <sheetName val="R-2"/>
      <sheetName val="C-1"/>
      <sheetName val="CC f -2"/>
      <sheetName val="ccbc  (2)"/>
      <sheetName val="SEIG"/>
      <sheetName val="CERTI "/>
      <sheetName val="RE-DE"/>
      <sheetName val="voucer part"/>
      <sheetName val="1"/>
      <sheetName val="2"/>
      <sheetName val="3"/>
      <sheetName val="M-1 "/>
      <sheetName val="M-2"/>
    </sheetNames>
    <sheetDataSet>
      <sheetData sheetId="0">
        <row r="34">
          <cell r="F34" t="str">
            <v>0208031005/RC/9999005208647</v>
          </cell>
        </row>
      </sheetData>
      <sheetData sheetId="1"/>
      <sheetData sheetId="2">
        <row r="8">
          <cell r="H8">
            <v>271</v>
          </cell>
        </row>
      </sheetData>
      <sheetData sheetId="3">
        <row r="10">
          <cell r="E10">
            <v>12.22</v>
          </cell>
        </row>
      </sheetData>
      <sheetData sheetId="4">
        <row r="26">
          <cell r="I26">
            <v>23.96</v>
          </cell>
        </row>
      </sheetData>
      <sheetData sheetId="5"/>
      <sheetData sheetId="6">
        <row r="3">
          <cell r="B3" t="str">
            <v xml:space="preserve">Name of the work : </v>
          </cell>
        </row>
        <row r="21">
          <cell r="G21" t="str">
            <v>Deputy Executive Engineer</v>
          </cell>
        </row>
        <row r="22">
          <cell r="G22" t="str">
            <v>PRI Sub Division: Kanigiri</v>
          </cell>
        </row>
      </sheetData>
      <sheetData sheetId="7"/>
      <sheetData sheetId="8"/>
      <sheetData sheetId="9"/>
      <sheetData sheetId="10"/>
      <sheetData sheetId="11"/>
      <sheetData sheetId="12">
        <row r="12">
          <cell r="F12">
            <v>1451</v>
          </cell>
        </row>
      </sheetData>
      <sheetData sheetId="13">
        <row r="12">
          <cell r="M12">
            <v>89291</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K54"/>
  <sheetViews>
    <sheetView tabSelected="1" view="pageBreakPreview" topLeftCell="A15" zoomScale="130" zoomScaleSheetLayoutView="130" workbookViewId="0">
      <selection activeCell="G43" sqref="G43:H43"/>
    </sheetView>
  </sheetViews>
  <sheetFormatPr defaultRowHeight="12.75"/>
  <cols>
    <col min="1" max="1" width="4.85546875" style="22" customWidth="1"/>
    <col min="2" max="2" width="5.7109375" style="22" customWidth="1"/>
    <col min="3" max="3" width="10.5703125" style="22" customWidth="1"/>
    <col min="4" max="4" width="14.5703125" style="22" customWidth="1"/>
    <col min="5" max="5" width="10.5703125" style="22" customWidth="1"/>
    <col min="6" max="6" width="7.7109375" style="22" customWidth="1"/>
    <col min="7" max="7" width="9" style="22" customWidth="1"/>
    <col min="8" max="8" width="16.28515625" style="22" customWidth="1"/>
    <col min="9" max="9" width="16" style="22" customWidth="1"/>
    <col min="10" max="10" width="8.85546875" style="22" customWidth="1"/>
    <col min="11" max="11" width="4.28515625" style="22" customWidth="1"/>
    <col min="12" max="16384" width="9.140625" style="22"/>
  </cols>
  <sheetData>
    <row r="1" spans="1:11">
      <c r="A1" s="1082"/>
      <c r="B1" s="1082"/>
      <c r="C1" s="1082"/>
      <c r="D1" s="1082"/>
      <c r="E1" s="1082"/>
      <c r="F1" s="1082"/>
      <c r="G1" s="1082"/>
      <c r="H1" s="1082"/>
      <c r="I1" s="1082"/>
      <c r="J1" s="1082"/>
      <c r="K1" s="1082"/>
    </row>
    <row r="2" spans="1:11" ht="15" customHeight="1">
      <c r="A2" s="1082"/>
      <c r="B2" s="1082"/>
      <c r="C2" s="1082"/>
      <c r="D2" s="1082"/>
      <c r="E2" s="1082"/>
      <c r="F2" s="1082"/>
      <c r="G2" s="1082"/>
      <c r="H2" s="1082"/>
      <c r="I2" s="1082"/>
      <c r="J2" s="1082"/>
      <c r="K2" s="1082"/>
    </row>
    <row r="3" spans="1:11" ht="13.5" customHeight="1">
      <c r="A3" s="1086" t="s">
        <v>390</v>
      </c>
      <c r="B3" s="1086"/>
      <c r="C3" s="1086"/>
      <c r="D3" s="1086"/>
      <c r="E3" s="1086"/>
      <c r="F3" s="1086"/>
      <c r="G3" s="1086"/>
      <c r="H3" s="1086"/>
      <c r="I3" s="1086"/>
      <c r="J3" s="1086"/>
      <c r="K3" s="1086"/>
    </row>
    <row r="4" spans="1:11" ht="13.5" customHeight="1">
      <c r="A4" s="1085" t="s">
        <v>393</v>
      </c>
      <c r="B4" s="21"/>
      <c r="C4" s="21"/>
      <c r="D4" s="21"/>
      <c r="E4" s="21"/>
      <c r="F4" s="21"/>
      <c r="G4" s="21"/>
      <c r="H4" s="21"/>
      <c r="I4" s="21"/>
      <c r="J4" s="21"/>
      <c r="K4" s="1091" t="s">
        <v>391</v>
      </c>
    </row>
    <row r="5" spans="1:11" ht="12.75" customHeight="1">
      <c r="A5" s="1085"/>
      <c r="K5" s="1091"/>
    </row>
    <row r="6" spans="1:11">
      <c r="A6" s="1085"/>
      <c r="K6" s="1091"/>
    </row>
    <row r="7" spans="1:11">
      <c r="A7" s="1085"/>
      <c r="K7" s="1091"/>
    </row>
    <row r="8" spans="1:11">
      <c r="A8" s="1085"/>
      <c r="K8" s="1091"/>
    </row>
    <row r="9" spans="1:11">
      <c r="A9" s="1085"/>
      <c r="K9" s="1091"/>
    </row>
    <row r="10" spans="1:11">
      <c r="A10" s="1085"/>
      <c r="K10" s="1091"/>
    </row>
    <row r="11" spans="1:11">
      <c r="A11" s="1085"/>
      <c r="K11" s="1091"/>
    </row>
    <row r="12" spans="1:11">
      <c r="A12" s="1085"/>
      <c r="K12" s="1091"/>
    </row>
    <row r="13" spans="1:11">
      <c r="A13" s="1085"/>
      <c r="E13" s="23"/>
      <c r="F13" s="23"/>
      <c r="G13" s="23"/>
      <c r="K13" s="1091"/>
    </row>
    <row r="14" spans="1:11">
      <c r="A14" s="1085"/>
      <c r="K14" s="1091"/>
    </row>
    <row r="15" spans="1:11">
      <c r="A15" s="1085"/>
      <c r="K15" s="1091"/>
    </row>
    <row r="16" spans="1:11">
      <c r="A16" s="1085"/>
      <c r="K16" s="1091"/>
    </row>
    <row r="17" spans="1:11">
      <c r="A17" s="1085"/>
      <c r="K17" s="1091"/>
    </row>
    <row r="18" spans="1:11">
      <c r="A18" s="1085"/>
      <c r="K18" s="1091"/>
    </row>
    <row r="19" spans="1:11">
      <c r="A19" s="1085"/>
      <c r="K19" s="1091"/>
    </row>
    <row r="20" spans="1:11">
      <c r="A20" s="1085"/>
      <c r="K20" s="1091"/>
    </row>
    <row r="21" spans="1:11">
      <c r="A21" s="1085"/>
      <c r="K21" s="1091"/>
    </row>
    <row r="22" spans="1:11">
      <c r="A22" s="1085"/>
      <c r="K22" s="1091"/>
    </row>
    <row r="23" spans="1:11" ht="10.5" customHeight="1">
      <c r="A23" s="1085"/>
      <c r="D23" s="24"/>
      <c r="E23" s="24"/>
      <c r="F23" s="24"/>
      <c r="G23" s="24"/>
      <c r="H23" s="24"/>
      <c r="I23" s="24"/>
      <c r="K23" s="1091"/>
    </row>
    <row r="24" spans="1:11" ht="10.5" customHeight="1">
      <c r="A24" s="1085"/>
      <c r="D24" s="24"/>
      <c r="E24" s="24"/>
      <c r="F24" s="24"/>
      <c r="G24" s="24"/>
      <c r="H24" s="24"/>
      <c r="I24" s="24"/>
      <c r="K24" s="1091"/>
    </row>
    <row r="25" spans="1:11" ht="15" customHeight="1">
      <c r="A25" s="1085"/>
      <c r="C25" s="1092" t="s">
        <v>26</v>
      </c>
      <c r="D25" s="1092"/>
      <c r="E25" s="1092"/>
      <c r="F25" s="1092"/>
      <c r="G25" s="1092"/>
      <c r="H25" s="1092"/>
      <c r="I25" s="1092"/>
      <c r="K25" s="1091"/>
    </row>
    <row r="26" spans="1:11" ht="14.25" customHeight="1">
      <c r="A26" s="1085"/>
      <c r="B26" s="63"/>
      <c r="C26" s="25"/>
      <c r="D26" s="24"/>
      <c r="E26" s="24"/>
      <c r="F26" s="24"/>
      <c r="G26" s="24"/>
      <c r="H26" s="24"/>
      <c r="I26" s="24"/>
      <c r="K26" s="1091"/>
    </row>
    <row r="27" spans="1:11" ht="14.25" customHeight="1">
      <c r="A27" s="1085"/>
      <c r="B27" s="63"/>
      <c r="C27" s="25"/>
      <c r="D27" s="24"/>
      <c r="E27" s="24"/>
      <c r="F27" s="24"/>
      <c r="G27" s="24"/>
      <c r="H27" s="24"/>
      <c r="I27" s="24"/>
      <c r="K27" s="1091"/>
    </row>
    <row r="28" spans="1:11" ht="21">
      <c r="A28" s="1085"/>
      <c r="B28" s="1093" t="s">
        <v>762</v>
      </c>
      <c r="C28" s="1093"/>
      <c r="D28" s="1093"/>
      <c r="E28" s="1093"/>
      <c r="F28" s="1093"/>
      <c r="G28" s="1093"/>
      <c r="H28" s="1093"/>
      <c r="I28" s="1093"/>
      <c r="J28" s="1093"/>
      <c r="K28" s="1091"/>
    </row>
    <row r="29" spans="1:11" ht="33" hidden="1" customHeight="1">
      <c r="A29" s="1085"/>
      <c r="B29" s="63"/>
      <c r="C29" s="25"/>
      <c r="D29" s="55"/>
      <c r="E29" s="55"/>
      <c r="F29" s="55"/>
      <c r="G29" s="55"/>
      <c r="H29" s="55"/>
      <c r="I29" s="55"/>
      <c r="K29" s="1091"/>
    </row>
    <row r="30" spans="1:11" ht="17.25" customHeight="1">
      <c r="A30" s="1085"/>
      <c r="B30" s="63"/>
      <c r="C30" s="25"/>
      <c r="D30" s="55"/>
      <c r="E30" s="55"/>
      <c r="F30" s="55"/>
      <c r="G30" s="55"/>
      <c r="H30" s="55"/>
      <c r="I30" s="55"/>
      <c r="K30" s="1091"/>
    </row>
    <row r="31" spans="1:11" ht="18.75">
      <c r="A31" s="1085"/>
      <c r="B31" s="55"/>
      <c r="C31" s="55"/>
      <c r="D31" s="55"/>
      <c r="E31" s="55"/>
      <c r="F31" s="55"/>
      <c r="G31" s="55"/>
      <c r="H31" s="55"/>
      <c r="I31" s="55"/>
      <c r="J31" s="55"/>
      <c r="K31" s="1091"/>
    </row>
    <row r="32" spans="1:11" ht="18.75">
      <c r="A32" s="1085"/>
      <c r="B32" s="1084" t="s">
        <v>1281</v>
      </c>
      <c r="C32" s="1084"/>
      <c r="D32" s="1084"/>
      <c r="E32" s="1084"/>
      <c r="F32" s="1084"/>
      <c r="G32" s="1084"/>
      <c r="H32" s="1084"/>
      <c r="I32" s="1084"/>
      <c r="J32" s="1084"/>
      <c r="K32" s="1091"/>
    </row>
    <row r="33" spans="1:11" ht="18.75">
      <c r="A33" s="1085"/>
      <c r="B33" s="1084"/>
      <c r="C33" s="1084"/>
      <c r="D33" s="1084"/>
      <c r="E33" s="1084"/>
      <c r="F33" s="1084"/>
      <c r="G33" s="1084"/>
      <c r="H33" s="1084"/>
      <c r="I33" s="1084"/>
      <c r="J33" s="1084"/>
      <c r="K33" s="1091"/>
    </row>
    <row r="34" spans="1:11" ht="18.75">
      <c r="A34" s="1085"/>
      <c r="B34" s="1083"/>
      <c r="C34" s="1083"/>
      <c r="D34" s="1083"/>
      <c r="E34" s="1083"/>
      <c r="F34" s="1084"/>
      <c r="G34" s="1084"/>
      <c r="H34" s="1084"/>
      <c r="I34" s="1084"/>
      <c r="J34" s="1084"/>
      <c r="K34" s="1091"/>
    </row>
    <row r="35" spans="1:11" ht="18" customHeight="1">
      <c r="A35" s="1085"/>
      <c r="C35" s="26"/>
      <c r="D35" s="27"/>
      <c r="E35" s="27"/>
      <c r="F35" s="27"/>
      <c r="G35" s="27"/>
      <c r="H35" s="27"/>
      <c r="I35" s="26"/>
      <c r="K35" s="1091"/>
    </row>
    <row r="36" spans="1:11" ht="81.75" customHeight="1">
      <c r="A36" s="1085"/>
      <c r="C36" s="1094" t="s">
        <v>53</v>
      </c>
      <c r="D36" s="1094"/>
      <c r="E36" s="1094"/>
      <c r="F36" s="64" t="s">
        <v>27</v>
      </c>
      <c r="G36" s="1087" t="str">
        <f>'lead 2025-26'!C3</f>
        <v>Providing BT Surface to the road from Inimerla SC colony to National Highway at Nuchupoda in Inimerla GP of Pamuru Mandal.</v>
      </c>
      <c r="H36" s="1087"/>
      <c r="I36" s="1087"/>
      <c r="J36" s="1087"/>
      <c r="K36" s="1091"/>
    </row>
    <row r="37" spans="1:11" ht="11.25" customHeight="1">
      <c r="A37" s="1085"/>
      <c r="C37" s="66"/>
      <c r="D37" s="66"/>
      <c r="E37" s="66"/>
      <c r="F37" s="65"/>
      <c r="G37" s="65"/>
      <c r="H37" s="65"/>
      <c r="I37" s="65"/>
      <c r="J37" s="56"/>
      <c r="K37" s="1091"/>
    </row>
    <row r="38" spans="1:11" ht="11.25" customHeight="1">
      <c r="A38" s="1085"/>
      <c r="C38" s="66"/>
      <c r="D38" s="66"/>
      <c r="E38" s="66"/>
      <c r="F38" s="65"/>
      <c r="G38" s="65"/>
      <c r="H38" s="65"/>
      <c r="I38" s="65"/>
      <c r="J38" s="56"/>
      <c r="K38" s="1091"/>
    </row>
    <row r="39" spans="1:11" ht="11.25" customHeight="1">
      <c r="A39" s="1085"/>
      <c r="C39" s="66"/>
      <c r="D39" s="66"/>
      <c r="E39" s="66"/>
      <c r="F39" s="65"/>
      <c r="G39" s="65"/>
      <c r="H39" s="65"/>
      <c r="I39" s="65"/>
      <c r="J39" s="56"/>
      <c r="K39" s="1091"/>
    </row>
    <row r="40" spans="1:11" ht="21.75" customHeight="1">
      <c r="A40" s="1085"/>
      <c r="C40" s="1088" t="s">
        <v>28</v>
      </c>
      <c r="D40" s="1088"/>
      <c r="E40" s="1088"/>
      <c r="F40" s="66" t="s">
        <v>27</v>
      </c>
      <c r="G40" s="1090" t="str">
        <f>'lead 2025-26'!K4</f>
        <v>140.00 Lakhs</v>
      </c>
      <c r="H40" s="1090"/>
      <c r="I40" s="28"/>
      <c r="J40" s="56"/>
      <c r="K40" s="1091"/>
    </row>
    <row r="41" spans="1:11" ht="12.75" customHeight="1">
      <c r="A41" s="1085"/>
      <c r="C41" s="68"/>
      <c r="D41" s="68"/>
      <c r="E41" s="68"/>
      <c r="F41" s="66"/>
      <c r="G41" s="29"/>
      <c r="H41" s="29"/>
      <c r="I41" s="28"/>
      <c r="J41" s="56"/>
      <c r="K41" s="1091"/>
    </row>
    <row r="42" spans="1:11" ht="15" customHeight="1">
      <c r="A42" s="1085"/>
      <c r="C42" s="68"/>
      <c r="D42" s="68"/>
      <c r="E42" s="68"/>
      <c r="F42" s="66"/>
      <c r="G42" s="29"/>
      <c r="H42" s="29"/>
      <c r="I42" s="28"/>
      <c r="J42" s="56"/>
      <c r="K42" s="1091"/>
    </row>
    <row r="43" spans="1:11" ht="21.75" customHeight="1">
      <c r="A43" s="1085"/>
      <c r="C43" s="1088" t="s">
        <v>29</v>
      </c>
      <c r="D43" s="1088"/>
      <c r="E43" s="1088"/>
      <c r="F43" s="66" t="s">
        <v>27</v>
      </c>
      <c r="G43" s="1090" t="str">
        <f>'lead 2025-26'!J39</f>
        <v>Pamuru</v>
      </c>
      <c r="H43" s="1090"/>
      <c r="I43" s="28"/>
      <c r="J43" s="56"/>
      <c r="K43" s="1091"/>
    </row>
    <row r="44" spans="1:11" ht="12.75" customHeight="1">
      <c r="A44" s="1085"/>
      <c r="C44" s="56"/>
      <c r="D44" s="56"/>
      <c r="E44" s="56"/>
      <c r="F44" s="67"/>
      <c r="G44" s="56"/>
      <c r="H44" s="56"/>
      <c r="I44" s="56" t="s">
        <v>30</v>
      </c>
      <c r="J44" s="56"/>
      <c r="K44" s="1091"/>
    </row>
    <row r="45" spans="1:11" ht="15.75">
      <c r="A45" s="1085"/>
      <c r="C45" s="68"/>
      <c r="D45" s="68"/>
      <c r="E45" s="68"/>
      <c r="F45" s="66"/>
      <c r="G45" s="54"/>
      <c r="H45" s="54"/>
      <c r="I45" s="54"/>
      <c r="J45" s="56"/>
      <c r="K45" s="1091"/>
    </row>
    <row r="46" spans="1:11" ht="21">
      <c r="A46" s="1085"/>
      <c r="B46" s="30"/>
      <c r="C46" s="1088" t="s">
        <v>31</v>
      </c>
      <c r="D46" s="1088"/>
      <c r="E46" s="1088"/>
      <c r="F46" s="66" t="s">
        <v>27</v>
      </c>
      <c r="G46" s="1089" t="s">
        <v>1194</v>
      </c>
      <c r="H46" s="1089"/>
      <c r="I46" s="1089"/>
      <c r="J46" s="65"/>
      <c r="K46" s="1091"/>
    </row>
    <row r="47" spans="1:11" ht="21">
      <c r="A47" s="1085"/>
      <c r="B47" s="30"/>
      <c r="C47" s="68"/>
      <c r="D47" s="68"/>
      <c r="E47" s="68"/>
      <c r="F47" s="66"/>
      <c r="G47" s="54"/>
      <c r="H47" s="54"/>
      <c r="I47" s="54"/>
      <c r="J47" s="65"/>
      <c r="K47" s="1091"/>
    </row>
    <row r="48" spans="1:11" ht="21">
      <c r="A48" s="1085"/>
      <c r="B48" s="30"/>
      <c r="C48" s="1088" t="s">
        <v>32</v>
      </c>
      <c r="D48" s="1088"/>
      <c r="E48" s="1088"/>
      <c r="F48" s="66" t="s">
        <v>27</v>
      </c>
      <c r="G48" s="1089" t="s">
        <v>164</v>
      </c>
      <c r="H48" s="1089"/>
      <c r="I48" s="1089"/>
      <c r="J48" s="65"/>
      <c r="K48" s="1091"/>
    </row>
    <row r="49" spans="1:11" ht="21">
      <c r="A49" s="1085"/>
      <c r="B49" s="30"/>
      <c r="C49" s="68"/>
      <c r="D49" s="68"/>
      <c r="E49" s="68"/>
      <c r="F49" s="66"/>
      <c r="G49" s="54"/>
      <c r="H49" s="54"/>
      <c r="I49" s="54"/>
      <c r="J49" s="65"/>
      <c r="K49" s="1091"/>
    </row>
    <row r="50" spans="1:11" ht="21">
      <c r="A50" s="1085"/>
      <c r="B50" s="30"/>
      <c r="C50" s="1088" t="s">
        <v>33</v>
      </c>
      <c r="D50" s="1088"/>
      <c r="E50" s="1088"/>
      <c r="F50" s="66" t="s">
        <v>27</v>
      </c>
      <c r="G50" s="1089" t="s">
        <v>107</v>
      </c>
      <c r="H50" s="1089"/>
      <c r="I50" s="1089"/>
      <c r="J50" s="65"/>
      <c r="K50" s="1091"/>
    </row>
    <row r="51" spans="1:11" ht="15.75" customHeight="1">
      <c r="A51" s="1085"/>
      <c r="B51" s="30"/>
      <c r="C51" s="66"/>
      <c r="D51" s="66"/>
      <c r="E51" s="66"/>
      <c r="F51" s="65"/>
      <c r="G51" s="65"/>
      <c r="H51" s="65"/>
      <c r="I51" s="65"/>
      <c r="J51" s="65"/>
      <c r="K51" s="1091"/>
    </row>
    <row r="52" spans="1:11" ht="19.5" customHeight="1">
      <c r="A52" s="1085"/>
      <c r="B52" s="30"/>
      <c r="C52" s="1088"/>
      <c r="D52" s="1088"/>
      <c r="E52" s="1088"/>
      <c r="F52" s="66"/>
      <c r="G52" s="1089"/>
      <c r="H52" s="1089"/>
      <c r="I52" s="1089"/>
      <c r="J52" s="65"/>
      <c r="K52" s="1091"/>
    </row>
    <row r="53" spans="1:11" ht="15.75" customHeight="1">
      <c r="A53" s="1085"/>
      <c r="K53" s="1091"/>
    </row>
    <row r="54" spans="1:11" ht="13.5" customHeight="1">
      <c r="A54" s="1086" t="s">
        <v>392</v>
      </c>
      <c r="B54" s="1086"/>
      <c r="C54" s="1086"/>
      <c r="D54" s="1086"/>
      <c r="E54" s="1086"/>
      <c r="F54" s="1086"/>
      <c r="G54" s="1086"/>
      <c r="H54" s="1086"/>
      <c r="I54" s="1086"/>
      <c r="J54" s="1086"/>
      <c r="K54" s="1086"/>
    </row>
  </sheetData>
  <mergeCells count="25">
    <mergeCell ref="A54:K54"/>
    <mergeCell ref="G40:H40"/>
    <mergeCell ref="K4:K53"/>
    <mergeCell ref="C40:E40"/>
    <mergeCell ref="C43:E43"/>
    <mergeCell ref="G43:H43"/>
    <mergeCell ref="C46:E46"/>
    <mergeCell ref="G46:I46"/>
    <mergeCell ref="C25:I25"/>
    <mergeCell ref="B28:J28"/>
    <mergeCell ref="B32:J32"/>
    <mergeCell ref="C52:E52"/>
    <mergeCell ref="G52:I52"/>
    <mergeCell ref="C36:E36"/>
    <mergeCell ref="C48:E48"/>
    <mergeCell ref="G48:I48"/>
    <mergeCell ref="A1:K2"/>
    <mergeCell ref="B34:E34"/>
    <mergeCell ref="F34:J34"/>
    <mergeCell ref="A4:A53"/>
    <mergeCell ref="A3:K3"/>
    <mergeCell ref="G36:J36"/>
    <mergeCell ref="C50:E50"/>
    <mergeCell ref="G50:I50"/>
    <mergeCell ref="B33:J33"/>
  </mergeCells>
  <phoneticPr fontId="0" type="noConversion"/>
  <printOptions horizontalCentered="1"/>
  <pageMargins left="0.23622047244094499" right="0.15748031496063" top="0.35433070866141703" bottom="0.69" header="0.38" footer="0.23622047244094499"/>
  <pageSetup paperSize="9" scale="90" orientation="portrait" errors="blank"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K41"/>
  <sheetViews>
    <sheetView view="pageBreakPreview" topLeftCell="A16" zoomScale="130" zoomScaleNormal="85" zoomScaleSheetLayoutView="130" workbookViewId="0">
      <selection activeCell="L23" sqref="L23"/>
    </sheetView>
  </sheetViews>
  <sheetFormatPr defaultRowHeight="12.75"/>
  <cols>
    <col min="1" max="1" width="10.85546875" style="4" customWidth="1"/>
    <col min="2" max="4" width="9.140625" style="4"/>
    <col min="5" max="5" width="9" style="4" customWidth="1"/>
    <col min="6" max="16384" width="9.140625" style="4"/>
  </cols>
  <sheetData>
    <row r="1" spans="1:11" ht="21">
      <c r="A1" s="1095" t="s">
        <v>54</v>
      </c>
      <c r="B1" s="1095"/>
      <c r="C1" s="1095"/>
      <c r="D1" s="1095"/>
      <c r="E1" s="1095"/>
      <c r="F1" s="1095"/>
      <c r="G1" s="1095"/>
      <c r="H1" s="1095"/>
      <c r="I1" s="1095"/>
    </row>
    <row r="2" spans="1:11" ht="12.75" customHeight="1">
      <c r="A2" s="5"/>
    </row>
    <row r="3" spans="1:11" ht="19.5" customHeight="1">
      <c r="A3" s="1096" t="s">
        <v>92</v>
      </c>
      <c r="B3" s="1096"/>
      <c r="C3" s="1096"/>
      <c r="D3" s="1096"/>
      <c r="E3" s="1096"/>
      <c r="F3" s="1096"/>
      <c r="G3" s="1096"/>
      <c r="H3" s="1096"/>
      <c r="I3" s="1096"/>
    </row>
    <row r="4" spans="1:11" ht="39" customHeight="1">
      <c r="A4" s="1096" t="str">
        <f>'lead 2025-26'!C3</f>
        <v>Providing BT Surface to the road from Inimerla SC colony to National Highway at Nuchupoda in Inimerla GP of Pamuru Mandal.</v>
      </c>
      <c r="B4" s="1096"/>
      <c r="C4" s="1096"/>
      <c r="D4" s="1096"/>
      <c r="E4" s="1096"/>
      <c r="F4" s="1096"/>
      <c r="G4" s="1096"/>
      <c r="H4" s="1096"/>
      <c r="I4" s="1096"/>
    </row>
    <row r="5" spans="1:11" ht="14.25" customHeight="1">
      <c r="A5" s="6"/>
      <c r="B5" s="6"/>
      <c r="C5" s="6"/>
      <c r="D5" s="6"/>
      <c r="E5" s="6"/>
      <c r="F5" s="1097" t="s">
        <v>55</v>
      </c>
      <c r="G5" s="1097"/>
      <c r="H5" s="7" t="str">
        <f>'lead 2025-26'!K4</f>
        <v>140.00 Lakhs</v>
      </c>
      <c r="I5" s="8"/>
    </row>
    <row r="6" spans="1:11" ht="10.5" customHeight="1">
      <c r="A6" s="6"/>
      <c r="B6" s="6"/>
      <c r="C6" s="6"/>
      <c r="D6" s="6"/>
      <c r="E6" s="6"/>
      <c r="F6" s="6"/>
      <c r="G6" s="6"/>
      <c r="H6" s="6"/>
      <c r="I6" s="6"/>
    </row>
    <row r="7" spans="1:11" s="169" customFormat="1" ht="116.25" customHeight="1">
      <c r="A7" s="1459" t="s">
        <v>1282</v>
      </c>
      <c r="B7" s="1459"/>
      <c r="C7" s="1459"/>
      <c r="D7" s="1459"/>
      <c r="E7" s="1459"/>
      <c r="F7" s="1459"/>
      <c r="G7" s="1459"/>
      <c r="H7" s="1459"/>
      <c r="I7" s="1459"/>
      <c r="J7" s="167"/>
      <c r="K7" s="168"/>
    </row>
    <row r="8" spans="1:11" s="169" customFormat="1" ht="35.25" customHeight="1">
      <c r="A8" s="1098" t="s">
        <v>1195</v>
      </c>
      <c r="B8" s="1098"/>
      <c r="C8" s="1098"/>
      <c r="D8" s="1098"/>
      <c r="E8" s="1098"/>
      <c r="F8" s="1098"/>
      <c r="G8" s="1098"/>
      <c r="H8" s="1098"/>
      <c r="I8" s="1098"/>
      <c r="J8" s="167"/>
      <c r="K8" s="168"/>
    </row>
    <row r="9" spans="1:11" s="641" customFormat="1" ht="24.75" customHeight="1">
      <c r="A9" s="640">
        <v>1</v>
      </c>
      <c r="B9" s="1099" t="s">
        <v>914</v>
      </c>
      <c r="C9" s="1099"/>
      <c r="D9" s="1099"/>
      <c r="E9" s="1099"/>
      <c r="F9" s="1099"/>
      <c r="G9" s="1099"/>
      <c r="H9" s="1099"/>
      <c r="I9" s="1099"/>
    </row>
    <row r="10" spans="1:11" s="641" customFormat="1" ht="24.75" customHeight="1">
      <c r="A10" s="640">
        <v>2</v>
      </c>
      <c r="B10" s="1099" t="s">
        <v>915</v>
      </c>
      <c r="C10" s="1099"/>
      <c r="D10" s="1099"/>
      <c r="E10" s="1099"/>
      <c r="F10" s="1099"/>
      <c r="G10" s="1099"/>
      <c r="H10" s="1099"/>
      <c r="I10" s="1099"/>
    </row>
    <row r="11" spans="1:11" s="641" customFormat="1" ht="24.75" customHeight="1">
      <c r="A11" s="640">
        <v>3</v>
      </c>
      <c r="B11" s="1099" t="s">
        <v>916</v>
      </c>
      <c r="C11" s="1099"/>
      <c r="D11" s="1099"/>
      <c r="E11" s="1099"/>
      <c r="F11" s="1099"/>
      <c r="G11" s="1099"/>
      <c r="H11" s="1099"/>
      <c r="I11" s="1099"/>
    </row>
    <row r="12" spans="1:11" s="641" customFormat="1" ht="24.75" customHeight="1">
      <c r="A12" s="640">
        <v>4</v>
      </c>
      <c r="B12" s="1099" t="s">
        <v>769</v>
      </c>
      <c r="C12" s="1099"/>
      <c r="D12" s="1099"/>
      <c r="E12" s="1099"/>
      <c r="F12" s="1099"/>
      <c r="G12" s="1099"/>
      <c r="H12" s="1099"/>
      <c r="I12" s="1099"/>
    </row>
    <row r="13" spans="1:11" s="641" customFormat="1" ht="24.75" customHeight="1">
      <c r="A13" s="640">
        <v>5</v>
      </c>
      <c r="B13" s="1099" t="s">
        <v>1196</v>
      </c>
      <c r="C13" s="1099"/>
      <c r="D13" s="1099"/>
      <c r="E13" s="1099"/>
      <c r="F13" s="1099"/>
      <c r="G13" s="1099"/>
      <c r="H13" s="1099"/>
      <c r="I13" s="1099"/>
    </row>
    <row r="14" spans="1:11" s="641" customFormat="1" ht="24.75" customHeight="1">
      <c r="A14" s="640">
        <v>6</v>
      </c>
      <c r="B14" s="1099" t="s">
        <v>770</v>
      </c>
      <c r="C14" s="1099"/>
      <c r="D14" s="1099"/>
      <c r="E14" s="1099"/>
      <c r="F14" s="1099"/>
      <c r="G14" s="1099"/>
      <c r="H14" s="1099"/>
      <c r="I14" s="1099"/>
    </row>
    <row r="15" spans="1:11" s="641" customFormat="1" ht="24.75" customHeight="1">
      <c r="A15" s="640">
        <v>7</v>
      </c>
      <c r="B15" s="1099" t="s">
        <v>771</v>
      </c>
      <c r="C15" s="1099"/>
      <c r="D15" s="1099"/>
      <c r="E15" s="1099"/>
      <c r="F15" s="1099"/>
      <c r="G15" s="1099"/>
      <c r="H15" s="1099"/>
      <c r="I15" s="1099"/>
    </row>
    <row r="16" spans="1:11" s="641" customFormat="1" ht="24.75" customHeight="1">
      <c r="A16" s="640">
        <v>8</v>
      </c>
      <c r="B16" s="1099" t="s">
        <v>772</v>
      </c>
      <c r="C16" s="1099"/>
      <c r="D16" s="1099"/>
      <c r="E16" s="1099"/>
      <c r="F16" s="1099"/>
      <c r="G16" s="1099"/>
      <c r="H16" s="1099"/>
      <c r="I16" s="1099"/>
    </row>
    <row r="17" spans="1:11" s="641" customFormat="1" ht="24.75" customHeight="1">
      <c r="A17" s="640">
        <v>9</v>
      </c>
      <c r="B17" s="1099" t="s">
        <v>773</v>
      </c>
      <c r="C17" s="1099"/>
      <c r="D17" s="1099"/>
      <c r="E17" s="1099"/>
      <c r="F17" s="1099"/>
      <c r="G17" s="1099"/>
      <c r="H17" s="1099"/>
      <c r="I17" s="1099"/>
    </row>
    <row r="18" spans="1:11" s="641" customFormat="1" ht="24.75" hidden="1" customHeight="1">
      <c r="A18" s="640">
        <v>10</v>
      </c>
      <c r="B18" s="1099" t="s">
        <v>1197</v>
      </c>
      <c r="C18" s="1099"/>
      <c r="D18" s="1099"/>
      <c r="E18" s="1099"/>
      <c r="F18" s="1099"/>
      <c r="G18" s="1099"/>
      <c r="H18" s="1099"/>
      <c r="I18" s="1099"/>
    </row>
    <row r="19" spans="1:11" s="641" customFormat="1" ht="24.75" customHeight="1">
      <c r="A19" s="640">
        <v>11</v>
      </c>
      <c r="B19" s="1099" t="s">
        <v>774</v>
      </c>
      <c r="C19" s="1099"/>
      <c r="D19" s="1099"/>
      <c r="E19" s="1099"/>
      <c r="F19" s="1099"/>
      <c r="G19" s="1099"/>
      <c r="H19" s="1099"/>
      <c r="I19" s="1099"/>
    </row>
    <row r="20" spans="1:11" s="641" customFormat="1" ht="24.75" customHeight="1">
      <c r="A20" s="640">
        <v>12</v>
      </c>
      <c r="B20" s="1099" t="s">
        <v>775</v>
      </c>
      <c r="C20" s="1099"/>
      <c r="D20" s="1099"/>
      <c r="E20" s="1099"/>
      <c r="F20" s="1099"/>
      <c r="G20" s="1099"/>
      <c r="H20" s="1099"/>
      <c r="I20" s="1099"/>
    </row>
    <row r="21" spans="1:11" s="641" customFormat="1" ht="24.75" customHeight="1">
      <c r="A21" s="640">
        <v>13</v>
      </c>
      <c r="B21" s="1099" t="s">
        <v>917</v>
      </c>
      <c r="C21" s="1099"/>
      <c r="D21" s="1099"/>
      <c r="E21" s="1099"/>
      <c r="F21" s="1099"/>
      <c r="G21" s="1099"/>
      <c r="H21" s="1099"/>
      <c r="I21" s="1099"/>
    </row>
    <row r="22" spans="1:11" s="169" customFormat="1" ht="37.5" customHeight="1">
      <c r="A22" s="1099" t="s">
        <v>918</v>
      </c>
      <c r="B22" s="1099"/>
      <c r="C22" s="1099"/>
      <c r="D22" s="1099"/>
      <c r="E22" s="1099"/>
      <c r="F22" s="1099"/>
      <c r="G22" s="1099"/>
      <c r="H22" s="1099"/>
      <c r="I22" s="1099"/>
      <c r="J22" s="167"/>
      <c r="K22" s="168"/>
    </row>
    <row r="23" spans="1:11" s="141" customFormat="1" ht="39.75" customHeight="1">
      <c r="A23" s="1099" t="s">
        <v>1283</v>
      </c>
      <c r="B23" s="1099"/>
      <c r="C23" s="1099"/>
      <c r="D23" s="1099"/>
      <c r="E23" s="1099"/>
      <c r="F23" s="1099"/>
      <c r="G23" s="1099"/>
      <c r="H23" s="1099"/>
      <c r="I23" s="1099"/>
      <c r="J23" s="139"/>
      <c r="K23" s="140"/>
    </row>
    <row r="24" spans="1:11">
      <c r="D24" s="135"/>
      <c r="E24" s="135"/>
      <c r="F24" s="135"/>
    </row>
    <row r="25" spans="1:11">
      <c r="B25" s="135"/>
      <c r="C25" s="135"/>
      <c r="D25" s="135"/>
      <c r="E25" s="135"/>
      <c r="F25" s="135"/>
      <c r="G25" s="135"/>
      <c r="H25" s="135"/>
      <c r="I25" s="135"/>
    </row>
    <row r="26" spans="1:11" ht="13.5" customHeight="1">
      <c r="B26" s="135"/>
      <c r="C26" s="135"/>
      <c r="D26" s="137"/>
      <c r="E26" s="137"/>
      <c r="F26" s="10"/>
      <c r="G26" s="10"/>
      <c r="H26" s="137"/>
      <c r="I26" s="135"/>
    </row>
    <row r="27" spans="1:11" ht="13.5" customHeight="1">
      <c r="B27" s="135"/>
      <c r="C27" s="135"/>
      <c r="D27" s="137"/>
      <c r="E27" s="102" t="str">
        <f>'lead 2025-26'!$G$37</f>
        <v>Deputy Executive Engineer</v>
      </c>
      <c r="F27" s="138"/>
      <c r="G27" s="187"/>
      <c r="H27" s="187" t="str">
        <f>'lead 2025-26'!J37</f>
        <v>Assistant   Engineer</v>
      </c>
      <c r="I27" s="135"/>
    </row>
    <row r="28" spans="1:11" ht="13.5" customHeight="1">
      <c r="B28" s="135"/>
      <c r="C28" s="135"/>
      <c r="D28" s="137"/>
      <c r="E28" s="102" t="str">
        <f>'lead 2025-26'!$G$38</f>
        <v>PRI Sub Division: Kanigiri</v>
      </c>
      <c r="F28" s="138"/>
      <c r="G28" s="187"/>
      <c r="H28" s="187" t="str">
        <f>'lead 2025-26'!J38</f>
        <v>Mandal Praja Parishad</v>
      </c>
      <c r="I28" s="135"/>
    </row>
    <row r="29" spans="1:11" ht="15.75">
      <c r="B29" s="135"/>
      <c r="C29" s="135"/>
      <c r="D29" s="135"/>
      <c r="E29" s="135"/>
      <c r="F29" s="136"/>
      <c r="G29" s="136"/>
      <c r="H29" s="187" t="str">
        <f>'lead 2025-26'!J39</f>
        <v>Pamuru</v>
      </c>
      <c r="I29" s="135"/>
    </row>
    <row r="30" spans="1:11">
      <c r="C30" s="135"/>
      <c r="D30" s="135"/>
      <c r="E30" s="135"/>
      <c r="F30" s="135"/>
      <c r="G30" s="135"/>
      <c r="H30" s="135"/>
      <c r="I30" s="135"/>
    </row>
    <row r="31" spans="1:11">
      <c r="C31" s="135"/>
      <c r="D31" s="135"/>
      <c r="E31" s="135"/>
      <c r="F31" s="135"/>
      <c r="G31" s="135"/>
      <c r="H31" s="135"/>
      <c r="I31" s="135"/>
    </row>
    <row r="32" spans="1:11">
      <c r="C32" s="135"/>
      <c r="D32" s="135"/>
      <c r="E32" s="135"/>
      <c r="F32" s="135"/>
      <c r="G32" s="135"/>
      <c r="H32" s="135"/>
    </row>
    <row r="33" spans="3:8">
      <c r="C33" s="135"/>
      <c r="D33" s="135"/>
      <c r="E33" s="135"/>
      <c r="F33" s="135"/>
      <c r="G33" s="135"/>
      <c r="H33" s="135"/>
    </row>
    <row r="34" spans="3:8" ht="15">
      <c r="D34" s="9"/>
    </row>
    <row r="41" spans="3:8" ht="13.5" customHeight="1"/>
  </sheetData>
  <mergeCells count="21">
    <mergeCell ref="B11:I11"/>
    <mergeCell ref="B21:I21"/>
    <mergeCell ref="A8:I8"/>
    <mergeCell ref="A22:I22"/>
    <mergeCell ref="A23:I23"/>
    <mergeCell ref="B12:I12"/>
    <mergeCell ref="B14:I14"/>
    <mergeCell ref="B15:I15"/>
    <mergeCell ref="B16:I16"/>
    <mergeCell ref="B17:I17"/>
    <mergeCell ref="B19:I19"/>
    <mergeCell ref="B20:I20"/>
    <mergeCell ref="B9:I9"/>
    <mergeCell ref="B10:I10"/>
    <mergeCell ref="B13:I13"/>
    <mergeCell ref="B18:I18"/>
    <mergeCell ref="A1:I1"/>
    <mergeCell ref="A3:I3"/>
    <mergeCell ref="A4:I4"/>
    <mergeCell ref="F5:G5"/>
    <mergeCell ref="A7:I7"/>
  </mergeCells>
  <phoneticPr fontId="0" type="noConversion"/>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7030A0"/>
  </sheetPr>
  <dimension ref="A1:J54"/>
  <sheetViews>
    <sheetView showZeros="0" view="pageBreakPreview" zoomScale="115" zoomScaleNormal="115" zoomScaleSheetLayoutView="115" workbookViewId="0">
      <selection activeCell="C42" sqref="C42"/>
    </sheetView>
  </sheetViews>
  <sheetFormatPr defaultRowHeight="12.75"/>
  <cols>
    <col min="1" max="1" width="4.42578125" style="33" customWidth="1"/>
    <col min="2" max="2" width="11.140625" style="33" customWidth="1"/>
    <col min="3" max="3" width="43" style="22" customWidth="1"/>
    <col min="4" max="4" width="7.7109375" style="34" customWidth="1"/>
    <col min="5" max="5" width="5.140625" style="35" customWidth="1"/>
    <col min="6" max="6" width="8.28515625" style="33" customWidth="1"/>
    <col min="7" max="7" width="6.28515625" style="33" customWidth="1"/>
    <col min="8" max="8" width="12.140625" style="22" customWidth="1"/>
    <col min="9" max="9" width="10.28515625" style="22" bestFit="1" customWidth="1"/>
    <col min="10" max="11" width="9.140625" style="22"/>
    <col min="12" max="12" width="10.7109375" style="22" bestFit="1" customWidth="1"/>
    <col min="13" max="16384" width="9.140625" style="22"/>
  </cols>
  <sheetData>
    <row r="1" spans="1:10" ht="30" customHeight="1">
      <c r="A1" s="1102" t="s">
        <v>345</v>
      </c>
      <c r="B1" s="1102"/>
      <c r="C1" s="1102"/>
      <c r="D1" s="1102"/>
      <c r="E1" s="1103"/>
      <c r="F1" s="1102"/>
      <c r="G1" s="1102"/>
      <c r="H1" s="1102"/>
    </row>
    <row r="2" spans="1:10" s="56" customFormat="1" ht="36.75" customHeight="1">
      <c r="A2" s="1112" t="str">
        <f>'lead 2025-26'!B3&amp;'lead 2025-26'!C3</f>
        <v>Name of the work : Providing BT Surface to the road from Inimerla SC colony to National Highway at Nuchupoda in Inimerla GP of Pamuru Mandal.</v>
      </c>
      <c r="B2" s="1112"/>
      <c r="C2" s="1112"/>
      <c r="D2" s="1112"/>
      <c r="E2" s="1113"/>
      <c r="F2" s="1112"/>
      <c r="G2" s="1112"/>
      <c r="H2" s="1112"/>
    </row>
    <row r="3" spans="1:10" s="56" customFormat="1" ht="16.5" customHeight="1">
      <c r="A3" s="58"/>
      <c r="B3" s="58"/>
      <c r="C3" s="58"/>
      <c r="D3" s="59"/>
      <c r="E3" s="60"/>
      <c r="F3" s="1104" t="s">
        <v>160</v>
      </c>
      <c r="G3" s="1104"/>
      <c r="H3" s="57" t="str">
        <f>'lead 2025-26'!K4</f>
        <v>140.00 Lakhs</v>
      </c>
    </row>
    <row r="4" spans="1:10" s="61" customFormat="1" ht="15.75" customHeight="1">
      <c r="A4" s="1105" t="s">
        <v>36</v>
      </c>
      <c r="B4" s="1110" t="s">
        <v>346</v>
      </c>
      <c r="C4" s="1105" t="s">
        <v>15</v>
      </c>
      <c r="D4" s="1106" t="s">
        <v>14</v>
      </c>
      <c r="E4" s="1107"/>
      <c r="F4" s="1105" t="s">
        <v>18</v>
      </c>
      <c r="G4" s="1105" t="s">
        <v>8</v>
      </c>
      <c r="H4" s="1105" t="s">
        <v>19</v>
      </c>
    </row>
    <row r="5" spans="1:10" s="61" customFormat="1" ht="15.75">
      <c r="A5" s="1105"/>
      <c r="B5" s="1111"/>
      <c r="C5" s="1105"/>
      <c r="D5" s="1108"/>
      <c r="E5" s="1109"/>
      <c r="F5" s="1105"/>
      <c r="G5" s="1105"/>
      <c r="H5" s="1105"/>
    </row>
    <row r="6" spans="1:10" s="62" customFormat="1" ht="15.75">
      <c r="A6" s="325">
        <v>1</v>
      </c>
      <c r="B6" s="325">
        <v>2</v>
      </c>
      <c r="C6" s="325">
        <v>3</v>
      </c>
      <c r="D6" s="1100">
        <v>4</v>
      </c>
      <c r="E6" s="1101"/>
      <c r="F6" s="326">
        <v>5</v>
      </c>
      <c r="G6" s="327">
        <v>6</v>
      </c>
      <c r="H6" s="325">
        <v>7</v>
      </c>
    </row>
    <row r="7" spans="1:10" s="62" customFormat="1" ht="15.75">
      <c r="A7" s="325"/>
      <c r="B7" s="325"/>
      <c r="C7" s="45" t="s">
        <v>357</v>
      </c>
      <c r="D7" s="326"/>
      <c r="E7" s="974"/>
      <c r="F7" s="326"/>
      <c r="G7" s="333"/>
      <c r="H7" s="638">
        <f>0.000001</f>
        <v>9.9999999999999995E-7</v>
      </c>
    </row>
    <row r="8" spans="1:10" s="85" customFormat="1" ht="63.75">
      <c r="A8" s="786">
        <f>IF(B8&lt;&gt;"",SUBTOTAL(103,$B8:B$8),"")</f>
        <v>1</v>
      </c>
      <c r="B8" s="81" t="s">
        <v>389</v>
      </c>
      <c r="C8" s="324" t="s">
        <v>387</v>
      </c>
      <c r="D8" s="93">
        <f>MAIN!I10</f>
        <v>0</v>
      </c>
      <c r="E8" s="336" t="s">
        <v>10</v>
      </c>
      <c r="F8" s="93">
        <f>MAIN!K10</f>
        <v>144.26</v>
      </c>
      <c r="G8" s="93" t="s">
        <v>23</v>
      </c>
      <c r="H8" s="338">
        <f>ROUND(D8*F8/1,0)</f>
        <v>0</v>
      </c>
    </row>
    <row r="9" spans="1:10" s="85" customFormat="1" ht="15" hidden="1">
      <c r="A9" s="786">
        <f>IF(B9&lt;&gt;"",SUBTOTAL(103,$B$8:B9),"")</f>
        <v>1</v>
      </c>
      <c r="B9" s="81" t="s">
        <v>1144</v>
      </c>
      <c r="C9" s="324" t="s">
        <v>1143</v>
      </c>
      <c r="D9" s="93">
        <f>'SUB-1'!I59</f>
        <v>0</v>
      </c>
      <c r="E9" s="336" t="s">
        <v>10</v>
      </c>
      <c r="F9" s="93">
        <f>'SUB-1'!K59</f>
        <v>150</v>
      </c>
      <c r="G9" s="93" t="s">
        <v>23</v>
      </c>
      <c r="H9" s="338">
        <f>ROUND(D9*F9/1,0)</f>
        <v>0</v>
      </c>
    </row>
    <row r="10" spans="1:10" s="85" customFormat="1">
      <c r="A10" s="81"/>
      <c r="B10" s="81"/>
      <c r="C10" s="334" t="s">
        <v>358</v>
      </c>
      <c r="D10" s="93"/>
      <c r="E10" s="336"/>
      <c r="F10" s="337"/>
      <c r="G10" s="337"/>
      <c r="H10" s="638">
        <f>0.000001</f>
        <v>9.9999999999999995E-7</v>
      </c>
    </row>
    <row r="11" spans="1:10" s="85" customFormat="1" ht="127.5">
      <c r="A11" s="786">
        <f>IF(B11&lt;&gt;"",SUBTOTAL(103,$B$8:B11),"")</f>
        <v>2</v>
      </c>
      <c r="B11" s="81" t="s">
        <v>913</v>
      </c>
      <c r="C11" s="324" t="s">
        <v>785</v>
      </c>
      <c r="D11" s="93">
        <f>MAIN!I17</f>
        <v>4032</v>
      </c>
      <c r="E11" s="336" t="s">
        <v>84</v>
      </c>
      <c r="F11" s="337">
        <f>MAIN!K17</f>
        <v>2.25</v>
      </c>
      <c r="G11" s="337" t="s">
        <v>86</v>
      </c>
      <c r="H11" s="338">
        <f>ROUND(D11*F11/1,0)</f>
        <v>9072</v>
      </c>
    </row>
    <row r="12" spans="1:10" s="85" customFormat="1" ht="102">
      <c r="A12" s="786">
        <f>IF(B12&lt;&gt;"",SUBTOTAL(103,$B$8:B12),"")</f>
        <v>3</v>
      </c>
      <c r="B12" s="81" t="s">
        <v>389</v>
      </c>
      <c r="C12" s="324" t="s">
        <v>587</v>
      </c>
      <c r="D12" s="93">
        <f>'SUB-1'!I19+'SUB-2'!I15+'SUB-3'!I12+'SUB-4'!I12+'sub-5'!I11</f>
        <v>78.239999999999995</v>
      </c>
      <c r="E12" s="336" t="s">
        <v>10</v>
      </c>
      <c r="F12" s="337">
        <f>'SUB-1'!K19</f>
        <v>126.69</v>
      </c>
      <c r="G12" s="337" t="s">
        <v>23</v>
      </c>
      <c r="H12" s="338">
        <f>ROUND(D12*F12/1,0)</f>
        <v>9912</v>
      </c>
    </row>
    <row r="13" spans="1:10" s="85" customFormat="1" ht="89.25">
      <c r="A13" s="786">
        <f>IF(B13&lt;&gt;"",SUBTOTAL(103,$B$8:B13),"")</f>
        <v>4</v>
      </c>
      <c r="B13" s="81" t="s">
        <v>439</v>
      </c>
      <c r="C13" s="324" t="s">
        <v>866</v>
      </c>
      <c r="D13" s="93">
        <f>'SUB-1'!I26+'SUB-2'!I27+'SUB-3'!I22+'SUB-4'!I22+'sub-5'!I18</f>
        <v>17.53</v>
      </c>
      <c r="E13" s="336" t="s">
        <v>10</v>
      </c>
      <c r="F13" s="337">
        <f>'SUB-1'!K26</f>
        <v>5600.99</v>
      </c>
      <c r="G13" s="337" t="s">
        <v>23</v>
      </c>
      <c r="H13" s="338">
        <f t="shared" ref="H13:H42" si="0">ROUND(D13*F13/1,0)</f>
        <v>98185</v>
      </c>
      <c r="I13" s="180"/>
      <c r="J13" s="180"/>
    </row>
    <row r="14" spans="1:10" s="85" customFormat="1" ht="63.75">
      <c r="A14" s="786">
        <f>IF(B14&lt;&gt;"",SUBTOTAL(103,$B$8:B14),"")</f>
        <v>5</v>
      </c>
      <c r="B14" s="81" t="s">
        <v>438</v>
      </c>
      <c r="C14" s="324" t="s">
        <v>435</v>
      </c>
      <c r="D14" s="93">
        <f>'SUB-1'!I37+'SUB-2'!I44+'SUB-3'!I32+'SUB-4'!I32</f>
        <v>41.489999999999995</v>
      </c>
      <c r="E14" s="336" t="s">
        <v>10</v>
      </c>
      <c r="F14" s="337">
        <f>'SUB-1'!K37</f>
        <v>5954.5599999999995</v>
      </c>
      <c r="G14" s="337" t="s">
        <v>23</v>
      </c>
      <c r="H14" s="338">
        <f t="shared" si="0"/>
        <v>247055</v>
      </c>
      <c r="I14" s="180"/>
      <c r="J14" s="180"/>
    </row>
    <row r="15" spans="1:10" s="85" customFormat="1" ht="89.25">
      <c r="A15" s="786">
        <f>IF(B15&lt;&gt;"",SUBTOTAL(103,$B$8:B15),"")</f>
        <v>6</v>
      </c>
      <c r="B15" s="81" t="s">
        <v>911</v>
      </c>
      <c r="C15" s="324" t="s">
        <v>912</v>
      </c>
      <c r="D15" s="93">
        <f>MAIN!I25</f>
        <v>3360</v>
      </c>
      <c r="E15" s="336" t="s">
        <v>10</v>
      </c>
      <c r="F15" s="337">
        <f>MAIN!K25</f>
        <v>236.56</v>
      </c>
      <c r="G15" s="337" t="s">
        <v>23</v>
      </c>
      <c r="H15" s="338">
        <f>ROUND(D15*F15/1,0)</f>
        <v>794842</v>
      </c>
    </row>
    <row r="16" spans="1:10" s="85" customFormat="1" ht="89.25">
      <c r="A16" s="786">
        <f>IF(B16&lt;&gt;"",SUBTOTAL(103,$B$8:B16),"")</f>
        <v>7</v>
      </c>
      <c r="B16" s="81" t="s">
        <v>1214</v>
      </c>
      <c r="C16" s="324" t="s">
        <v>1199</v>
      </c>
      <c r="D16" s="93">
        <f>MAIN!I29+'SUB-1'!I10</f>
        <v>0</v>
      </c>
      <c r="E16" s="336" t="s">
        <v>10</v>
      </c>
      <c r="F16" s="337">
        <f>MAIN!K29</f>
        <v>1526.0100000000002</v>
      </c>
      <c r="G16" s="337" t="s">
        <v>23</v>
      </c>
      <c r="H16" s="338">
        <f>ROUND(D16*F16/1,0)</f>
        <v>0</v>
      </c>
    </row>
    <row r="17" spans="1:10" s="85" customFormat="1" ht="63.75">
      <c r="A17" s="786">
        <f>IF(B17&lt;&gt;"",SUBTOTAL(103,$B$8:B17),"")</f>
        <v>8</v>
      </c>
      <c r="B17" s="81" t="s">
        <v>1215</v>
      </c>
      <c r="C17" s="324" t="s">
        <v>1207</v>
      </c>
      <c r="D17" s="93">
        <f>'SUB-1'!I14</f>
        <v>0</v>
      </c>
      <c r="E17" s="336" t="s">
        <v>10</v>
      </c>
      <c r="F17" s="337">
        <f>'SUB-1'!K14</f>
        <v>500.62</v>
      </c>
      <c r="G17" s="337" t="s">
        <v>23</v>
      </c>
      <c r="H17" s="338">
        <f>ROUND(D17*F17/1,0)</f>
        <v>0</v>
      </c>
    </row>
    <row r="18" spans="1:10" s="85" customFormat="1" ht="76.5" hidden="1">
      <c r="A18" s="786">
        <f>IF(B18&lt;&gt;"",SUBTOTAL(103,$B$8:B18),"")</f>
        <v>8</v>
      </c>
      <c r="B18" s="81" t="s">
        <v>622</v>
      </c>
      <c r="C18" s="324" t="s">
        <v>601</v>
      </c>
      <c r="D18" s="93"/>
      <c r="E18" s="336" t="s">
        <v>10</v>
      </c>
      <c r="F18" s="337"/>
      <c r="G18" s="337" t="s">
        <v>23</v>
      </c>
      <c r="H18" s="338">
        <f t="shared" ref="H18:H19" si="1">ROUND(D18*F18/1,0)</f>
        <v>0</v>
      </c>
      <c r="I18" s="180"/>
      <c r="J18" s="180"/>
    </row>
    <row r="19" spans="1:10" s="85" customFormat="1" ht="102" hidden="1">
      <c r="A19" s="786">
        <f>IF(B19&lt;&gt;"",SUBTOTAL(103,$B$8:B19),"")</f>
        <v>8</v>
      </c>
      <c r="B19" s="81" t="s">
        <v>906</v>
      </c>
      <c r="C19" s="324" t="s">
        <v>838</v>
      </c>
      <c r="D19" s="93">
        <f>'SUB-1'!I42+'SUB-2'!I48+'SUB-3'!I36+'SUB-4'!I36</f>
        <v>0</v>
      </c>
      <c r="E19" s="336" t="s">
        <v>10</v>
      </c>
      <c r="F19" s="337">
        <f>'SUB-1'!K42</f>
        <v>7542</v>
      </c>
      <c r="G19" s="337" t="s">
        <v>23</v>
      </c>
      <c r="H19" s="338">
        <f t="shared" si="1"/>
        <v>0</v>
      </c>
      <c r="I19" s="180"/>
      <c r="J19" s="180"/>
    </row>
    <row r="20" spans="1:10" s="85" customFormat="1" ht="76.5" hidden="1">
      <c r="A20" s="786">
        <f>IF(B20&lt;&gt;"",SUBTOTAL(103,$B$8:B20),"")</f>
        <v>8</v>
      </c>
      <c r="B20" s="81" t="s">
        <v>623</v>
      </c>
      <c r="C20" s="324" t="s">
        <v>620</v>
      </c>
      <c r="D20" s="93">
        <f>'SUB-1'!I46+'SUB-2'!I52+'SUB-3'!I40+'SUB-4'!I40</f>
        <v>0</v>
      </c>
      <c r="E20" s="336" t="s">
        <v>45</v>
      </c>
      <c r="F20" s="337">
        <f>'SUB-1'!K46</f>
        <v>86540.55</v>
      </c>
      <c r="G20" s="337" t="s">
        <v>507</v>
      </c>
      <c r="H20" s="338">
        <f t="shared" ref="H20:H21" si="2">ROUND(D20*F20/1,0)</f>
        <v>0</v>
      </c>
      <c r="I20" s="180"/>
      <c r="J20" s="180"/>
    </row>
    <row r="21" spans="1:10" s="85" customFormat="1" ht="76.5" hidden="1">
      <c r="A21" s="786">
        <f>IF(B21&lt;&gt;"",SUBTOTAL(103,$B$8:B21),"")</f>
        <v>8</v>
      </c>
      <c r="B21" s="81" t="s">
        <v>907</v>
      </c>
      <c r="C21" s="324" t="s">
        <v>908</v>
      </c>
      <c r="D21" s="93">
        <f>'sub-5'!I22</f>
        <v>0</v>
      </c>
      <c r="E21" s="336" t="s">
        <v>612</v>
      </c>
      <c r="F21" s="337">
        <f>'sub-5'!K22</f>
        <v>3804.82</v>
      </c>
      <c r="G21" s="337" t="s">
        <v>614</v>
      </c>
      <c r="H21" s="338">
        <f t="shared" si="2"/>
        <v>0</v>
      </c>
      <c r="I21" s="180"/>
      <c r="J21" s="180"/>
    </row>
    <row r="22" spans="1:10" s="85" customFormat="1" ht="76.5">
      <c r="A22" s="786">
        <f>IF(B22&lt;&gt;"",SUBTOTAL(103,$B$8:B22),"")</f>
        <v>9</v>
      </c>
      <c r="B22" s="81" t="s">
        <v>763</v>
      </c>
      <c r="C22" s="324" t="s">
        <v>757</v>
      </c>
      <c r="D22" s="93">
        <f>'SUB-1'!I30+'SUB-2'!I32+'SUB-3'!I26+'SUB-4'!I26</f>
        <v>22.5</v>
      </c>
      <c r="E22" s="336" t="s">
        <v>612</v>
      </c>
      <c r="F22" s="337">
        <f>'SUB-1'!K30</f>
        <v>9006.27</v>
      </c>
      <c r="G22" s="337" t="s">
        <v>614</v>
      </c>
      <c r="H22" s="338">
        <f t="shared" ref="H22" si="3">ROUND(D22*F22/1,0)</f>
        <v>202641</v>
      </c>
      <c r="I22" s="180"/>
      <c r="J22" s="180"/>
    </row>
    <row r="23" spans="1:10" s="85" customFormat="1" ht="127.5" hidden="1">
      <c r="A23" s="786">
        <f>IF(B23&lt;&gt;"",SUBTOTAL(103,$B$8:B23),"")</f>
        <v>9</v>
      </c>
      <c r="B23" s="81" t="s">
        <v>624</v>
      </c>
      <c r="C23" s="324" t="s">
        <v>621</v>
      </c>
      <c r="D23" s="93"/>
      <c r="E23" s="336" t="s">
        <v>10</v>
      </c>
      <c r="F23" s="337"/>
      <c r="G23" s="337" t="s">
        <v>23</v>
      </c>
      <c r="H23" s="338">
        <f t="shared" ref="H23" si="4">ROUND(D23*F23/1,0)</f>
        <v>0</v>
      </c>
      <c r="I23" s="180"/>
      <c r="J23" s="180"/>
    </row>
    <row r="24" spans="1:10" s="85" customFormat="1" ht="38.25" hidden="1">
      <c r="A24" s="786">
        <f>IF(B24&lt;&gt;"",SUBTOTAL(103,$B$8:B24),"")</f>
        <v>9</v>
      </c>
      <c r="B24" s="81" t="s">
        <v>625</v>
      </c>
      <c r="C24" s="324" t="s">
        <v>619</v>
      </c>
      <c r="D24" s="93"/>
      <c r="E24" s="336" t="s">
        <v>84</v>
      </c>
      <c r="F24" s="337"/>
      <c r="G24" s="337" t="s">
        <v>86</v>
      </c>
      <c r="H24" s="338">
        <f t="shared" ref="H24" si="5">ROUND(D24*F24/1,0)</f>
        <v>0</v>
      </c>
      <c r="I24" s="180"/>
      <c r="J24" s="180"/>
    </row>
    <row r="25" spans="1:10" s="85" customFormat="1" ht="89.25" hidden="1">
      <c r="A25" s="786">
        <f>IF(B25&lt;&gt;"",SUBTOTAL(103,$B$8:B25),"")</f>
        <v>9</v>
      </c>
      <c r="B25" s="81" t="s">
        <v>386</v>
      </c>
      <c r="C25" s="324" t="s">
        <v>412</v>
      </c>
      <c r="D25" s="93">
        <f>'SUB-1'!I50+'SUB-2'!I57+'SUB-3'!I45+'SUB-4'!I45</f>
        <v>40.700000000000003</v>
      </c>
      <c r="E25" s="336" t="s">
        <v>10</v>
      </c>
      <c r="F25" s="337">
        <f>'SUB-1'!K50</f>
        <v>279.77999999999997</v>
      </c>
      <c r="G25" s="337" t="s">
        <v>23</v>
      </c>
      <c r="H25" s="338">
        <f t="shared" si="0"/>
        <v>11387</v>
      </c>
      <c r="I25" s="180"/>
      <c r="J25" s="180"/>
    </row>
    <row r="26" spans="1:10" s="85" customFormat="1" ht="51">
      <c r="A26" s="786">
        <f>IF(B26&lt;&gt;"",SUBTOTAL(103,$B$8:B26),"")</f>
        <v>10</v>
      </c>
      <c r="B26" s="81" t="s">
        <v>347</v>
      </c>
      <c r="C26" s="324" t="s">
        <v>262</v>
      </c>
      <c r="D26" s="93">
        <f>MAIN!I33</f>
        <v>6720</v>
      </c>
      <c r="E26" s="336" t="s">
        <v>84</v>
      </c>
      <c r="F26" s="337">
        <f>MAIN!K33</f>
        <v>38.49</v>
      </c>
      <c r="G26" s="337" t="s">
        <v>86</v>
      </c>
      <c r="H26" s="338">
        <f>ROUND(D26*F26/1,0)</f>
        <v>258653</v>
      </c>
      <c r="I26" s="180">
        <f>I50</f>
        <v>0</v>
      </c>
      <c r="J26" s="180"/>
    </row>
    <row r="27" spans="1:10" s="85" customFormat="1" ht="89.25">
      <c r="A27" s="786">
        <f>IF(B27&lt;&gt;"",SUBTOTAL(103,$B$8:B27),"")</f>
        <v>11</v>
      </c>
      <c r="B27" s="81" t="s">
        <v>348</v>
      </c>
      <c r="C27" s="324" t="s">
        <v>111</v>
      </c>
      <c r="D27" s="93">
        <f>MAIN!I47</f>
        <v>672</v>
      </c>
      <c r="E27" s="336" t="str">
        <f>MAIN!J47</f>
        <v>Cum</v>
      </c>
      <c r="F27" s="337">
        <f>MAIN!K47</f>
        <v>2928.41</v>
      </c>
      <c r="G27" s="337" t="str">
        <f>MAIN!L47</f>
        <v>1Cum</v>
      </c>
      <c r="H27" s="338">
        <f t="shared" si="0"/>
        <v>1967892</v>
      </c>
    </row>
    <row r="28" spans="1:10" s="85" customFormat="1" ht="153">
      <c r="A28" s="786">
        <f>IF(B28&lt;&gt;"",SUBTOTAL(103,$B$8:B28),"")</f>
        <v>12</v>
      </c>
      <c r="B28" s="81" t="s">
        <v>764</v>
      </c>
      <c r="C28" s="324" t="s">
        <v>697</v>
      </c>
      <c r="D28" s="93">
        <f>MAIN!I51</f>
        <v>945</v>
      </c>
      <c r="E28" s="336" t="str">
        <f>MAIN!J51</f>
        <v>Cum</v>
      </c>
      <c r="F28" s="337">
        <f>MAIN!K51</f>
        <v>3982.34</v>
      </c>
      <c r="G28" s="337" t="str">
        <f>MAIN!L51</f>
        <v>1Cum</v>
      </c>
      <c r="H28" s="338">
        <f t="shared" ref="H28" si="6">ROUND(D28*F28/1,0)</f>
        <v>3763311</v>
      </c>
    </row>
    <row r="29" spans="1:10" s="85" customFormat="1" ht="89.25">
      <c r="A29" s="786">
        <f>IF(B29&lt;&gt;"",SUBTOTAL(103,$B$8:B29),"")</f>
        <v>13</v>
      </c>
      <c r="B29" s="81" t="s">
        <v>765</v>
      </c>
      <c r="C29" s="324" t="s">
        <v>703</v>
      </c>
      <c r="D29" s="93">
        <f>MAIN!I55</f>
        <v>6300</v>
      </c>
      <c r="E29" s="336" t="str">
        <f>MAIN!J55</f>
        <v>Sqm</v>
      </c>
      <c r="F29" s="93">
        <f>MAIN!K55</f>
        <v>42.54</v>
      </c>
      <c r="G29" s="93" t="str">
        <f>MAIN!L55</f>
        <v>1Sqm</v>
      </c>
      <c r="H29" s="338">
        <f t="shared" ref="H29" si="7">ROUND(D29*F29/1,0)</f>
        <v>268002</v>
      </c>
    </row>
    <row r="30" spans="1:10" s="85" customFormat="1" ht="76.5">
      <c r="A30" s="786">
        <f>IF(B30&lt;&gt;"",SUBTOTAL(103,$B$8:B30),"")</f>
        <v>14</v>
      </c>
      <c r="B30" s="81" t="s">
        <v>766</v>
      </c>
      <c r="C30" s="324" t="s">
        <v>711</v>
      </c>
      <c r="D30" s="93">
        <f>MAIN!I59</f>
        <v>6300</v>
      </c>
      <c r="E30" s="336" t="str">
        <f>MAIN!J59</f>
        <v>Sqm</v>
      </c>
      <c r="F30" s="93">
        <f>MAIN!K59</f>
        <v>16.239999999999998</v>
      </c>
      <c r="G30" s="93" t="str">
        <f>MAIN!L59</f>
        <v>1Sqm</v>
      </c>
      <c r="H30" s="338">
        <f t="shared" ref="H30:H31" si="8">ROUND(D30*F30/1,0)</f>
        <v>102312</v>
      </c>
    </row>
    <row r="31" spans="1:10" s="85" customFormat="1" ht="140.25">
      <c r="A31" s="786" t="str">
        <f>IF(B31&lt;&gt;"",SUBTOTAL(103,$B$8:B31),"")</f>
        <v/>
      </c>
      <c r="B31" s="81"/>
      <c r="C31" s="324" t="s">
        <v>1150</v>
      </c>
      <c r="D31" s="93">
        <f>MAIN!I69</f>
        <v>0</v>
      </c>
      <c r="E31" s="336" t="s">
        <v>10</v>
      </c>
      <c r="F31" s="93">
        <f>MAIN!K69</f>
        <v>10500.24</v>
      </c>
      <c r="G31" s="93" t="s">
        <v>23</v>
      </c>
      <c r="H31" s="338">
        <f t="shared" si="8"/>
        <v>0</v>
      </c>
    </row>
    <row r="32" spans="1:10" s="85" customFormat="1" ht="153">
      <c r="A32" s="786">
        <f>IF(B32&lt;&gt;"",SUBTOTAL(103,$B$8:B32),"")</f>
        <v>15</v>
      </c>
      <c r="B32" s="81" t="s">
        <v>766</v>
      </c>
      <c r="C32" s="324" t="s">
        <v>718</v>
      </c>
      <c r="D32" s="93">
        <f>MAIN!I73</f>
        <v>157.5</v>
      </c>
      <c r="E32" s="336" t="str">
        <f>MAIN!J73</f>
        <v>Cum</v>
      </c>
      <c r="F32" s="93">
        <f>MAIN!K73</f>
        <v>11856.57</v>
      </c>
      <c r="G32" s="93" t="str">
        <f>MAIN!L73</f>
        <v>1Cum</v>
      </c>
      <c r="H32" s="338">
        <f t="shared" ref="H32:H33" si="9">ROUND(D32*F32/1,0)</f>
        <v>1867410</v>
      </c>
    </row>
    <row r="33" spans="1:9" s="85" customFormat="1" ht="114.75">
      <c r="A33" s="786">
        <f>IF(B33&lt;&gt;"",SUBTOTAL(103,$B$8:B33),"")</f>
        <v>16</v>
      </c>
      <c r="B33" s="81" t="s">
        <v>767</v>
      </c>
      <c r="C33" s="324" t="s">
        <v>746</v>
      </c>
      <c r="D33" s="93">
        <f>MAIN!I77+MAIN!I43</f>
        <v>907.2</v>
      </c>
      <c r="E33" s="336" t="str">
        <f>MAIN!J77</f>
        <v>Cum</v>
      </c>
      <c r="F33" s="93">
        <f>MAIN!K77</f>
        <v>384.05</v>
      </c>
      <c r="G33" s="337" t="str">
        <f>MAIN!L77</f>
        <v>1Cum</v>
      </c>
      <c r="H33" s="338">
        <f t="shared" si="9"/>
        <v>348410</v>
      </c>
    </row>
    <row r="34" spans="1:9" ht="280.5">
      <c r="A34" s="786">
        <f>IF(B34&lt;&gt;"",SUBTOTAL(103,$B$8:B34),"")</f>
        <v>17</v>
      </c>
      <c r="B34" s="73" t="s">
        <v>349</v>
      </c>
      <c r="C34" s="323" t="s">
        <v>135</v>
      </c>
      <c r="D34" s="79">
        <f>'SUB-1'!I55+'SUB-2'!I61+'SUB-3'!I49+'SUB-4'!I49+MAIN!I81</f>
        <v>0</v>
      </c>
      <c r="E34" s="339" t="s">
        <v>10</v>
      </c>
      <c r="F34" s="340">
        <f>'SUB-1'!K55</f>
        <v>7873.37</v>
      </c>
      <c r="G34" s="340" t="s">
        <v>23</v>
      </c>
      <c r="H34" s="338">
        <f t="shared" si="0"/>
        <v>0</v>
      </c>
    </row>
    <row r="35" spans="1:9" s="85" customFormat="1" ht="38.25" hidden="1">
      <c r="A35" s="786">
        <f>IF(B35&lt;&gt;"",SUBTOTAL(103,$B$8:B35),"")</f>
        <v>17</v>
      </c>
      <c r="B35" s="81" t="s">
        <v>386</v>
      </c>
      <c r="C35" s="324" t="s">
        <v>339</v>
      </c>
      <c r="D35" s="93"/>
      <c r="E35" s="336" t="s">
        <v>10</v>
      </c>
      <c r="F35" s="337"/>
      <c r="G35" s="337" t="s">
        <v>23</v>
      </c>
      <c r="H35" s="338">
        <f t="shared" si="0"/>
        <v>0</v>
      </c>
    </row>
    <row r="36" spans="1:9" s="32" customFormat="1" ht="38.25">
      <c r="A36" s="786">
        <f>IF(B36&lt;&gt;"",SUBTOTAL(103,$B$8:B36),"")</f>
        <v>18</v>
      </c>
      <c r="B36" s="332" t="s">
        <v>350</v>
      </c>
      <c r="C36" s="328" t="s">
        <v>342</v>
      </c>
      <c r="D36" s="341">
        <v>1</v>
      </c>
      <c r="E36" s="342" t="s">
        <v>60</v>
      </c>
      <c r="F36" s="329">
        <f>Abstract!M19</f>
        <v>0</v>
      </c>
      <c r="G36" s="337" t="s">
        <v>23</v>
      </c>
      <c r="H36" s="338">
        <f t="shared" si="0"/>
        <v>0</v>
      </c>
    </row>
    <row r="37" spans="1:9" s="756" customFormat="1" ht="24">
      <c r="A37" s="786">
        <f>IF(B37&lt;&gt;"",SUBTOTAL(103,$B$8:B37),"")</f>
        <v>19</v>
      </c>
      <c r="B37" s="73" t="s">
        <v>1076</v>
      </c>
      <c r="C37" s="751" t="s">
        <v>1054</v>
      </c>
      <c r="D37" s="752">
        <f>'sub-6'!I11</f>
        <v>3</v>
      </c>
      <c r="E37" s="753" t="s">
        <v>60</v>
      </c>
      <c r="F37" s="754">
        <f>'sub-6'!K11</f>
        <v>3148.81</v>
      </c>
      <c r="G37" s="754" t="s">
        <v>60</v>
      </c>
      <c r="H37" s="755">
        <f t="shared" si="0"/>
        <v>9446</v>
      </c>
    </row>
    <row r="38" spans="1:9" s="756" customFormat="1" ht="24">
      <c r="A38" s="786">
        <f>IF(B38&lt;&gt;"",SUBTOTAL(103,$B$8:B38),"")</f>
        <v>20</v>
      </c>
      <c r="B38" s="73" t="s">
        <v>1077</v>
      </c>
      <c r="C38" s="751" t="s">
        <v>1056</v>
      </c>
      <c r="D38" s="752">
        <f>'sub-6'!I15</f>
        <v>7</v>
      </c>
      <c r="E38" s="753" t="s">
        <v>60</v>
      </c>
      <c r="F38" s="754">
        <f>'sub-6'!K15</f>
        <v>883.73</v>
      </c>
      <c r="G38" s="754" t="s">
        <v>60</v>
      </c>
      <c r="H38" s="755">
        <f t="shared" si="0"/>
        <v>6186</v>
      </c>
    </row>
    <row r="39" spans="1:9" s="756" customFormat="1" ht="132" hidden="1">
      <c r="A39" s="786">
        <f>IF(B39&lt;&gt;"",SUBTOTAL(103,$B$8:B39),"")</f>
        <v>20</v>
      </c>
      <c r="B39" s="73" t="s">
        <v>1078</v>
      </c>
      <c r="C39" s="751" t="s">
        <v>1079</v>
      </c>
      <c r="D39" s="752">
        <f>'sub-6'!I19</f>
        <v>0</v>
      </c>
      <c r="E39" s="753" t="s">
        <v>60</v>
      </c>
      <c r="F39" s="754">
        <f>'sub-6'!K19</f>
        <v>2623.8420000000001</v>
      </c>
      <c r="G39" s="754" t="s">
        <v>60</v>
      </c>
      <c r="H39" s="755">
        <f t="shared" si="0"/>
        <v>0</v>
      </c>
    </row>
    <row r="40" spans="1:9" s="756" customFormat="1" ht="132" hidden="1">
      <c r="A40" s="786">
        <f>IF(B40&lt;&gt;"",SUBTOTAL(103,$B$8:B40),"")</f>
        <v>20</v>
      </c>
      <c r="B40" s="73" t="s">
        <v>1080</v>
      </c>
      <c r="C40" s="751" t="s">
        <v>1081</v>
      </c>
      <c r="D40" s="752">
        <f>'sub-6'!I23</f>
        <v>0</v>
      </c>
      <c r="E40" s="753" t="s">
        <v>60</v>
      </c>
      <c r="F40" s="754">
        <f>'sub-6'!K23</f>
        <v>2222.59</v>
      </c>
      <c r="G40" s="754" t="s">
        <v>60</v>
      </c>
      <c r="H40" s="755">
        <f t="shared" si="0"/>
        <v>0</v>
      </c>
    </row>
    <row r="41" spans="1:9" s="756" customFormat="1" ht="132" hidden="1">
      <c r="A41" s="786">
        <f>IF(B41&lt;&gt;"",SUBTOTAL(103,$B$8:B41),"")</f>
        <v>20</v>
      </c>
      <c r="B41" s="73" t="s">
        <v>1082</v>
      </c>
      <c r="C41" s="751" t="s">
        <v>1083</v>
      </c>
      <c r="D41" s="752">
        <f>'sub-6'!I27</f>
        <v>0</v>
      </c>
      <c r="E41" s="753" t="s">
        <v>60</v>
      </c>
      <c r="F41" s="754">
        <f>'sub-6'!K27</f>
        <v>2222.6556666666665</v>
      </c>
      <c r="G41" s="754" t="s">
        <v>60</v>
      </c>
      <c r="H41" s="755">
        <f t="shared" si="0"/>
        <v>0</v>
      </c>
    </row>
    <row r="42" spans="1:9" s="756" customFormat="1" ht="120">
      <c r="A42" s="786">
        <f>IF(B42&lt;&gt;"",SUBTOTAL(103,$B$8:B42),"")</f>
        <v>21</v>
      </c>
      <c r="B42" s="73" t="s">
        <v>1084</v>
      </c>
      <c r="C42" s="751" t="s">
        <v>1085</v>
      </c>
      <c r="D42" s="752">
        <f>'sub-6'!I31</f>
        <v>336</v>
      </c>
      <c r="E42" s="753" t="s">
        <v>84</v>
      </c>
      <c r="F42" s="754">
        <f>'sub-6'!K31</f>
        <v>636.24</v>
      </c>
      <c r="G42" s="754" t="s">
        <v>86</v>
      </c>
      <c r="H42" s="755">
        <f t="shared" si="0"/>
        <v>213777</v>
      </c>
    </row>
    <row r="43" spans="1:9" s="32" customFormat="1" ht="15">
      <c r="A43" s="786">
        <f>IF(B43&lt;&gt;"",SUBTOTAL(103,$B$8:B43),"")</f>
        <v>22</v>
      </c>
      <c r="B43" s="73" t="s">
        <v>351</v>
      </c>
      <c r="C43" s="323" t="s">
        <v>385</v>
      </c>
      <c r="D43" s="79"/>
      <c r="E43" s="165"/>
      <c r="F43" s="77"/>
      <c r="G43" s="78"/>
      <c r="H43" s="96">
        <f>Abstract!M15</f>
        <v>960158</v>
      </c>
    </row>
    <row r="44" spans="1:9" ht="15">
      <c r="A44" s="786">
        <f>IF(B44&lt;&gt;"",SUBTOTAL(103,$B$8:B44),"")</f>
        <v>23</v>
      </c>
      <c r="B44" s="73" t="s">
        <v>352</v>
      </c>
      <c r="C44" s="323" t="s">
        <v>162</v>
      </c>
      <c r="D44" s="76"/>
      <c r="E44" s="80"/>
      <c r="F44" s="281"/>
      <c r="G44" s="74"/>
      <c r="H44" s="97">
        <f>Abstract!M17</f>
        <v>50892</v>
      </c>
    </row>
    <row r="45" spans="1:9" ht="15">
      <c r="A45" s="786">
        <f>IF(B45&lt;&gt;"",SUBTOTAL(103,$B$8:B45),"")</f>
        <v>24</v>
      </c>
      <c r="B45" s="73" t="s">
        <v>353</v>
      </c>
      <c r="C45" s="323" t="s">
        <v>354</v>
      </c>
      <c r="D45" s="76"/>
      <c r="E45" s="80"/>
      <c r="F45" s="281"/>
      <c r="G45" s="74"/>
      <c r="H45" s="97">
        <f>Abstract!M20</f>
        <v>0</v>
      </c>
    </row>
    <row r="46" spans="1:9" ht="15">
      <c r="A46" s="786">
        <f>IF(B46&lt;&gt;"",SUBTOTAL(103,$B$8:B46),"")</f>
        <v>25</v>
      </c>
      <c r="B46" s="73" t="s">
        <v>909</v>
      </c>
      <c r="C46" s="323" t="s">
        <v>910</v>
      </c>
      <c r="D46" s="76"/>
      <c r="E46" s="80"/>
      <c r="F46" s="281"/>
      <c r="G46" s="74"/>
      <c r="H46" s="97">
        <f>Abstract!M18</f>
        <v>2004957</v>
      </c>
    </row>
    <row r="47" spans="1:9" ht="15">
      <c r="A47" s="786">
        <f>IF(B47&lt;&gt;"",SUBTOTAL(103,$B$8:B47),"")</f>
        <v>26</v>
      </c>
      <c r="B47" s="73" t="s">
        <v>356</v>
      </c>
      <c r="C47" s="323" t="s">
        <v>355</v>
      </c>
      <c r="D47" s="76"/>
      <c r="E47" s="80"/>
      <c r="F47" s="75"/>
      <c r="G47" s="74"/>
      <c r="H47" s="97">
        <f>Abstract!M21</f>
        <v>805500</v>
      </c>
      <c r="I47" s="31"/>
    </row>
    <row r="48" spans="1:9">
      <c r="A48" s="73"/>
      <c r="B48" s="73"/>
      <c r="C48" s="42" t="s">
        <v>4</v>
      </c>
      <c r="D48" s="145"/>
      <c r="E48" s="161"/>
      <c r="F48" s="147"/>
      <c r="G48" s="46"/>
      <c r="H48" s="98">
        <f>SUM(H7:H47)+1</f>
        <v>14000001.000002</v>
      </c>
    </row>
    <row r="49" spans="1:8">
      <c r="A49" s="142"/>
      <c r="B49" s="142"/>
      <c r="C49" s="143"/>
      <c r="D49" s="148"/>
      <c r="E49" s="331"/>
      <c r="F49" s="149"/>
      <c r="G49" s="149"/>
      <c r="H49" s="148"/>
    </row>
    <row r="50" spans="1:8">
      <c r="A50" s="142"/>
      <c r="B50" s="142"/>
      <c r="C50" s="143"/>
      <c r="D50" s="148"/>
      <c r="E50" s="331"/>
      <c r="F50" s="149"/>
      <c r="G50" s="149"/>
      <c r="H50" s="148"/>
    </row>
    <row r="51" spans="1:8">
      <c r="A51" s="142"/>
      <c r="B51" s="142"/>
      <c r="C51" s="143"/>
      <c r="D51" s="148"/>
      <c r="E51" s="331"/>
      <c r="F51" s="149"/>
      <c r="G51" s="149"/>
      <c r="H51" s="148"/>
    </row>
    <row r="52" spans="1:8">
      <c r="A52" s="142"/>
      <c r="B52" s="142"/>
      <c r="C52" s="53" t="str">
        <f>'lead 2025-26'!G37</f>
        <v>Deputy Executive Engineer</v>
      </c>
      <c r="D52" s="148"/>
      <c r="E52" s="331"/>
      <c r="F52" s="149"/>
      <c r="G52" s="144" t="str">
        <f>'lead 2025-26'!J37</f>
        <v>Assistant   Engineer</v>
      </c>
      <c r="H52" s="148"/>
    </row>
    <row r="53" spans="1:8">
      <c r="A53" s="142"/>
      <c r="B53" s="142"/>
      <c r="C53" s="53" t="str">
        <f>'lead 2025-26'!G38</f>
        <v>PRI Sub Division: Kanigiri</v>
      </c>
      <c r="D53" s="148"/>
      <c r="E53" s="331"/>
      <c r="F53" s="149"/>
      <c r="G53" s="144" t="str">
        <f>'lead 2025-26'!J38</f>
        <v>Mandal Praja Parishad</v>
      </c>
      <c r="H53" s="148"/>
    </row>
    <row r="54" spans="1:8">
      <c r="A54" s="142"/>
      <c r="B54" s="142"/>
      <c r="C54" s="143"/>
      <c r="D54" s="148"/>
      <c r="E54" s="331"/>
      <c r="F54" s="149"/>
      <c r="G54" s="144" t="str">
        <f>'lead 2025-26'!J39</f>
        <v>Pamuru</v>
      </c>
      <c r="H54" s="148"/>
    </row>
  </sheetData>
  <autoFilter ref="A6:H48" xr:uid="{00000000-0009-0000-0000-000002000000}">
    <filterColumn colId="3" showButton="0"/>
    <filterColumn colId="7">
      <customFilters>
        <customFilter operator="notEqual" val=" "/>
      </customFilters>
    </filterColumn>
  </autoFilter>
  <mergeCells count="11">
    <mergeCell ref="D6:E6"/>
    <mergeCell ref="A1:H1"/>
    <mergeCell ref="F3:G3"/>
    <mergeCell ref="A4:A5"/>
    <mergeCell ref="C4:C5"/>
    <mergeCell ref="D4:E5"/>
    <mergeCell ref="F4:F5"/>
    <mergeCell ref="B4:B5"/>
    <mergeCell ref="A2:H2"/>
    <mergeCell ref="G4:G5"/>
    <mergeCell ref="H4:H5"/>
  </mergeCells>
  <printOptions horizontalCentered="1"/>
  <pageMargins left="0.23622047244094499" right="0.15748031496063" top="0.16" bottom="0.18" header="0.38" footer="0.16"/>
  <pageSetup paperSize="9" orientation="portrait" errors="blank"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7030A0"/>
  </sheetPr>
  <dimension ref="A1:I35"/>
  <sheetViews>
    <sheetView showZeros="0" view="pageBreakPreview" topLeftCell="A22" zoomScale="115" zoomScaleNormal="115" zoomScaleSheetLayoutView="115" workbookViewId="0">
      <selection activeCell="D7" sqref="D7"/>
    </sheetView>
  </sheetViews>
  <sheetFormatPr defaultRowHeight="12.75"/>
  <cols>
    <col min="1" max="1" width="4.140625" style="158" customWidth="1"/>
    <col min="2" max="2" width="40.7109375" style="158" customWidth="1"/>
    <col min="3" max="3" width="6" style="158" customWidth="1"/>
    <col min="4" max="4" width="11" style="159" customWidth="1"/>
    <col min="5" max="5" width="9.28515625" style="158" bestFit="1" customWidth="1"/>
    <col min="6" max="6" width="9.85546875" style="158" customWidth="1"/>
    <col min="7" max="7" width="13.85546875" style="769" customWidth="1"/>
    <col min="8" max="8" width="11.42578125" style="158" bestFit="1" customWidth="1"/>
    <col min="9" max="9" width="11.140625" style="158" bestFit="1" customWidth="1"/>
    <col min="10" max="256" width="9.140625" style="158"/>
    <col min="257" max="257" width="4.140625" style="158" customWidth="1"/>
    <col min="258" max="258" width="43.140625" style="158" customWidth="1"/>
    <col min="259" max="259" width="5.5703125" style="158" customWidth="1"/>
    <col min="260" max="260" width="8.5703125" style="158" customWidth="1"/>
    <col min="261" max="262" width="9.140625" style="158"/>
    <col min="263" max="263" width="10.7109375" style="158" customWidth="1"/>
    <col min="264" max="512" width="9.140625" style="158"/>
    <col min="513" max="513" width="4.140625" style="158" customWidth="1"/>
    <col min="514" max="514" width="43.140625" style="158" customWidth="1"/>
    <col min="515" max="515" width="5.5703125" style="158" customWidth="1"/>
    <col min="516" max="516" width="8.5703125" style="158" customWidth="1"/>
    <col min="517" max="518" width="9.140625" style="158"/>
    <col min="519" max="519" width="10.7109375" style="158" customWidth="1"/>
    <col min="520" max="768" width="9.140625" style="158"/>
    <col min="769" max="769" width="4.140625" style="158" customWidth="1"/>
    <col min="770" max="770" width="43.140625" style="158" customWidth="1"/>
    <col min="771" max="771" width="5.5703125" style="158" customWidth="1"/>
    <col min="772" max="772" width="8.5703125" style="158" customWidth="1"/>
    <col min="773" max="774" width="9.140625" style="158"/>
    <col min="775" max="775" width="10.7109375" style="158" customWidth="1"/>
    <col min="776" max="1024" width="9.140625" style="158"/>
    <col min="1025" max="1025" width="4.140625" style="158" customWidth="1"/>
    <col min="1026" max="1026" width="43.140625" style="158" customWidth="1"/>
    <col min="1027" max="1027" width="5.5703125" style="158" customWidth="1"/>
    <col min="1028" max="1028" width="8.5703125" style="158" customWidth="1"/>
    <col min="1029" max="1030" width="9.140625" style="158"/>
    <col min="1031" max="1031" width="10.7109375" style="158" customWidth="1"/>
    <col min="1032" max="1280" width="9.140625" style="158"/>
    <col min="1281" max="1281" width="4.140625" style="158" customWidth="1"/>
    <col min="1282" max="1282" width="43.140625" style="158" customWidth="1"/>
    <col min="1283" max="1283" width="5.5703125" style="158" customWidth="1"/>
    <col min="1284" max="1284" width="8.5703125" style="158" customWidth="1"/>
    <col min="1285" max="1286" width="9.140625" style="158"/>
    <col min="1287" max="1287" width="10.7109375" style="158" customWidth="1"/>
    <col min="1288" max="1536" width="9.140625" style="158"/>
    <col min="1537" max="1537" width="4.140625" style="158" customWidth="1"/>
    <col min="1538" max="1538" width="43.140625" style="158" customWidth="1"/>
    <col min="1539" max="1539" width="5.5703125" style="158" customWidth="1"/>
    <col min="1540" max="1540" width="8.5703125" style="158" customWidth="1"/>
    <col min="1541" max="1542" width="9.140625" style="158"/>
    <col min="1543" max="1543" width="10.7109375" style="158" customWidth="1"/>
    <col min="1544" max="1792" width="9.140625" style="158"/>
    <col min="1793" max="1793" width="4.140625" style="158" customWidth="1"/>
    <col min="1794" max="1794" width="43.140625" style="158" customWidth="1"/>
    <col min="1795" max="1795" width="5.5703125" style="158" customWidth="1"/>
    <col min="1796" max="1796" width="8.5703125" style="158" customWidth="1"/>
    <col min="1797" max="1798" width="9.140625" style="158"/>
    <col min="1799" max="1799" width="10.7109375" style="158" customWidth="1"/>
    <col min="1800" max="2048" width="9.140625" style="158"/>
    <col min="2049" max="2049" width="4.140625" style="158" customWidth="1"/>
    <col min="2050" max="2050" width="43.140625" style="158" customWidth="1"/>
    <col min="2051" max="2051" width="5.5703125" style="158" customWidth="1"/>
    <col min="2052" max="2052" width="8.5703125" style="158" customWidth="1"/>
    <col min="2053" max="2054" width="9.140625" style="158"/>
    <col min="2055" max="2055" width="10.7109375" style="158" customWidth="1"/>
    <col min="2056" max="2304" width="9.140625" style="158"/>
    <col min="2305" max="2305" width="4.140625" style="158" customWidth="1"/>
    <col min="2306" max="2306" width="43.140625" style="158" customWidth="1"/>
    <col min="2307" max="2307" width="5.5703125" style="158" customWidth="1"/>
    <col min="2308" max="2308" width="8.5703125" style="158" customWidth="1"/>
    <col min="2309" max="2310" width="9.140625" style="158"/>
    <col min="2311" max="2311" width="10.7109375" style="158" customWidth="1"/>
    <col min="2312" max="2560" width="9.140625" style="158"/>
    <col min="2561" max="2561" width="4.140625" style="158" customWidth="1"/>
    <col min="2562" max="2562" width="43.140625" style="158" customWidth="1"/>
    <col min="2563" max="2563" width="5.5703125" style="158" customWidth="1"/>
    <col min="2564" max="2564" width="8.5703125" style="158" customWidth="1"/>
    <col min="2565" max="2566" width="9.140625" style="158"/>
    <col min="2567" max="2567" width="10.7109375" style="158" customWidth="1"/>
    <col min="2568" max="2816" width="9.140625" style="158"/>
    <col min="2817" max="2817" width="4.140625" style="158" customWidth="1"/>
    <col min="2818" max="2818" width="43.140625" style="158" customWidth="1"/>
    <col min="2819" max="2819" width="5.5703125" style="158" customWidth="1"/>
    <col min="2820" max="2820" width="8.5703125" style="158" customWidth="1"/>
    <col min="2821" max="2822" width="9.140625" style="158"/>
    <col min="2823" max="2823" width="10.7109375" style="158" customWidth="1"/>
    <col min="2824" max="3072" width="9.140625" style="158"/>
    <col min="3073" max="3073" width="4.140625" style="158" customWidth="1"/>
    <col min="3074" max="3074" width="43.140625" style="158" customWidth="1"/>
    <col min="3075" max="3075" width="5.5703125" style="158" customWidth="1"/>
    <col min="3076" max="3076" width="8.5703125" style="158" customWidth="1"/>
    <col min="3077" max="3078" width="9.140625" style="158"/>
    <col min="3079" max="3079" width="10.7109375" style="158" customWidth="1"/>
    <col min="3080" max="3328" width="9.140625" style="158"/>
    <col min="3329" max="3329" width="4.140625" style="158" customWidth="1"/>
    <col min="3330" max="3330" width="43.140625" style="158" customWidth="1"/>
    <col min="3331" max="3331" width="5.5703125" style="158" customWidth="1"/>
    <col min="3332" max="3332" width="8.5703125" style="158" customWidth="1"/>
    <col min="3333" max="3334" width="9.140625" style="158"/>
    <col min="3335" max="3335" width="10.7109375" style="158" customWidth="1"/>
    <col min="3336" max="3584" width="9.140625" style="158"/>
    <col min="3585" max="3585" width="4.140625" style="158" customWidth="1"/>
    <col min="3586" max="3586" width="43.140625" style="158" customWidth="1"/>
    <col min="3587" max="3587" width="5.5703125" style="158" customWidth="1"/>
    <col min="3588" max="3588" width="8.5703125" style="158" customWidth="1"/>
    <col min="3589" max="3590" width="9.140625" style="158"/>
    <col min="3591" max="3591" width="10.7109375" style="158" customWidth="1"/>
    <col min="3592" max="3840" width="9.140625" style="158"/>
    <col min="3841" max="3841" width="4.140625" style="158" customWidth="1"/>
    <col min="3842" max="3842" width="43.140625" style="158" customWidth="1"/>
    <col min="3843" max="3843" width="5.5703125" style="158" customWidth="1"/>
    <col min="3844" max="3844" width="8.5703125" style="158" customWidth="1"/>
    <col min="3845" max="3846" width="9.140625" style="158"/>
    <col min="3847" max="3847" width="10.7109375" style="158" customWidth="1"/>
    <col min="3848" max="4096" width="9.140625" style="158"/>
    <col min="4097" max="4097" width="4.140625" style="158" customWidth="1"/>
    <col min="4098" max="4098" width="43.140625" style="158" customWidth="1"/>
    <col min="4099" max="4099" width="5.5703125" style="158" customWidth="1"/>
    <col min="4100" max="4100" width="8.5703125" style="158" customWidth="1"/>
    <col min="4101" max="4102" width="9.140625" style="158"/>
    <col min="4103" max="4103" width="10.7109375" style="158" customWidth="1"/>
    <col min="4104" max="4352" width="9.140625" style="158"/>
    <col min="4353" max="4353" width="4.140625" style="158" customWidth="1"/>
    <col min="4354" max="4354" width="43.140625" style="158" customWidth="1"/>
    <col min="4355" max="4355" width="5.5703125" style="158" customWidth="1"/>
    <col min="4356" max="4356" width="8.5703125" style="158" customWidth="1"/>
    <col min="4357" max="4358" width="9.140625" style="158"/>
    <col min="4359" max="4359" width="10.7109375" style="158" customWidth="1"/>
    <col min="4360" max="4608" width="9.140625" style="158"/>
    <col min="4609" max="4609" width="4.140625" style="158" customWidth="1"/>
    <col min="4610" max="4610" width="43.140625" style="158" customWidth="1"/>
    <col min="4611" max="4611" width="5.5703125" style="158" customWidth="1"/>
    <col min="4612" max="4612" width="8.5703125" style="158" customWidth="1"/>
    <col min="4613" max="4614" width="9.140625" style="158"/>
    <col min="4615" max="4615" width="10.7109375" style="158" customWidth="1"/>
    <col min="4616" max="4864" width="9.140625" style="158"/>
    <col min="4865" max="4865" width="4.140625" style="158" customWidth="1"/>
    <col min="4866" max="4866" width="43.140625" style="158" customWidth="1"/>
    <col min="4867" max="4867" width="5.5703125" style="158" customWidth="1"/>
    <col min="4868" max="4868" width="8.5703125" style="158" customWidth="1"/>
    <col min="4869" max="4870" width="9.140625" style="158"/>
    <col min="4871" max="4871" width="10.7109375" style="158" customWidth="1"/>
    <col min="4872" max="5120" width="9.140625" style="158"/>
    <col min="5121" max="5121" width="4.140625" style="158" customWidth="1"/>
    <col min="5122" max="5122" width="43.140625" style="158" customWidth="1"/>
    <col min="5123" max="5123" width="5.5703125" style="158" customWidth="1"/>
    <col min="5124" max="5124" width="8.5703125" style="158" customWidth="1"/>
    <col min="5125" max="5126" width="9.140625" style="158"/>
    <col min="5127" max="5127" width="10.7109375" style="158" customWidth="1"/>
    <col min="5128" max="5376" width="9.140625" style="158"/>
    <col min="5377" max="5377" width="4.140625" style="158" customWidth="1"/>
    <col min="5378" max="5378" width="43.140625" style="158" customWidth="1"/>
    <col min="5379" max="5379" width="5.5703125" style="158" customWidth="1"/>
    <col min="5380" max="5380" width="8.5703125" style="158" customWidth="1"/>
    <col min="5381" max="5382" width="9.140625" style="158"/>
    <col min="5383" max="5383" width="10.7109375" style="158" customWidth="1"/>
    <col min="5384" max="5632" width="9.140625" style="158"/>
    <col min="5633" max="5633" width="4.140625" style="158" customWidth="1"/>
    <col min="5634" max="5634" width="43.140625" style="158" customWidth="1"/>
    <col min="5635" max="5635" width="5.5703125" style="158" customWidth="1"/>
    <col min="5636" max="5636" width="8.5703125" style="158" customWidth="1"/>
    <col min="5637" max="5638" width="9.140625" style="158"/>
    <col min="5639" max="5639" width="10.7109375" style="158" customWidth="1"/>
    <col min="5640" max="5888" width="9.140625" style="158"/>
    <col min="5889" max="5889" width="4.140625" style="158" customWidth="1"/>
    <col min="5890" max="5890" width="43.140625" style="158" customWidth="1"/>
    <col min="5891" max="5891" width="5.5703125" style="158" customWidth="1"/>
    <col min="5892" max="5892" width="8.5703125" style="158" customWidth="1"/>
    <col min="5893" max="5894" width="9.140625" style="158"/>
    <col min="5895" max="5895" width="10.7109375" style="158" customWidth="1"/>
    <col min="5896" max="6144" width="9.140625" style="158"/>
    <col min="6145" max="6145" width="4.140625" style="158" customWidth="1"/>
    <col min="6146" max="6146" width="43.140625" style="158" customWidth="1"/>
    <col min="6147" max="6147" width="5.5703125" style="158" customWidth="1"/>
    <col min="6148" max="6148" width="8.5703125" style="158" customWidth="1"/>
    <col min="6149" max="6150" width="9.140625" style="158"/>
    <col min="6151" max="6151" width="10.7109375" style="158" customWidth="1"/>
    <col min="6152" max="6400" width="9.140625" style="158"/>
    <col min="6401" max="6401" width="4.140625" style="158" customWidth="1"/>
    <col min="6402" max="6402" width="43.140625" style="158" customWidth="1"/>
    <col min="6403" max="6403" width="5.5703125" style="158" customWidth="1"/>
    <col min="6404" max="6404" width="8.5703125" style="158" customWidth="1"/>
    <col min="6405" max="6406" width="9.140625" style="158"/>
    <col min="6407" max="6407" width="10.7109375" style="158" customWidth="1"/>
    <col min="6408" max="6656" width="9.140625" style="158"/>
    <col min="6657" max="6657" width="4.140625" style="158" customWidth="1"/>
    <col min="6658" max="6658" width="43.140625" style="158" customWidth="1"/>
    <col min="6659" max="6659" width="5.5703125" style="158" customWidth="1"/>
    <col min="6660" max="6660" width="8.5703125" style="158" customWidth="1"/>
    <col min="6661" max="6662" width="9.140625" style="158"/>
    <col min="6663" max="6663" width="10.7109375" style="158" customWidth="1"/>
    <col min="6664" max="6912" width="9.140625" style="158"/>
    <col min="6913" max="6913" width="4.140625" style="158" customWidth="1"/>
    <col min="6914" max="6914" width="43.140625" style="158" customWidth="1"/>
    <col min="6915" max="6915" width="5.5703125" style="158" customWidth="1"/>
    <col min="6916" max="6916" width="8.5703125" style="158" customWidth="1"/>
    <col min="6917" max="6918" width="9.140625" style="158"/>
    <col min="6919" max="6919" width="10.7109375" style="158" customWidth="1"/>
    <col min="6920" max="7168" width="9.140625" style="158"/>
    <col min="7169" max="7169" width="4.140625" style="158" customWidth="1"/>
    <col min="7170" max="7170" width="43.140625" style="158" customWidth="1"/>
    <col min="7171" max="7171" width="5.5703125" style="158" customWidth="1"/>
    <col min="7172" max="7172" width="8.5703125" style="158" customWidth="1"/>
    <col min="7173" max="7174" width="9.140625" style="158"/>
    <col min="7175" max="7175" width="10.7109375" style="158" customWidth="1"/>
    <col min="7176" max="7424" width="9.140625" style="158"/>
    <col min="7425" max="7425" width="4.140625" style="158" customWidth="1"/>
    <col min="7426" max="7426" width="43.140625" style="158" customWidth="1"/>
    <col min="7427" max="7427" width="5.5703125" style="158" customWidth="1"/>
    <col min="7428" max="7428" width="8.5703125" style="158" customWidth="1"/>
    <col min="7429" max="7430" width="9.140625" style="158"/>
    <col min="7431" max="7431" width="10.7109375" style="158" customWidth="1"/>
    <col min="7432" max="7680" width="9.140625" style="158"/>
    <col min="7681" max="7681" width="4.140625" style="158" customWidth="1"/>
    <col min="7682" max="7682" width="43.140625" style="158" customWidth="1"/>
    <col min="7683" max="7683" width="5.5703125" style="158" customWidth="1"/>
    <col min="7684" max="7684" width="8.5703125" style="158" customWidth="1"/>
    <col min="7685" max="7686" width="9.140625" style="158"/>
    <col min="7687" max="7687" width="10.7109375" style="158" customWidth="1"/>
    <col min="7688" max="7936" width="9.140625" style="158"/>
    <col min="7937" max="7937" width="4.140625" style="158" customWidth="1"/>
    <col min="7938" max="7938" width="43.140625" style="158" customWidth="1"/>
    <col min="7939" max="7939" width="5.5703125" style="158" customWidth="1"/>
    <col min="7940" max="7940" width="8.5703125" style="158" customWidth="1"/>
    <col min="7941" max="7942" width="9.140625" style="158"/>
    <col min="7943" max="7943" width="10.7109375" style="158" customWidth="1"/>
    <col min="7944" max="8192" width="9.140625" style="158"/>
    <col min="8193" max="8193" width="4.140625" style="158" customWidth="1"/>
    <col min="8194" max="8194" width="43.140625" style="158" customWidth="1"/>
    <col min="8195" max="8195" width="5.5703125" style="158" customWidth="1"/>
    <col min="8196" max="8196" width="8.5703125" style="158" customWidth="1"/>
    <col min="8197" max="8198" width="9.140625" style="158"/>
    <col min="8199" max="8199" width="10.7109375" style="158" customWidth="1"/>
    <col min="8200" max="8448" width="9.140625" style="158"/>
    <col min="8449" max="8449" width="4.140625" style="158" customWidth="1"/>
    <col min="8450" max="8450" width="43.140625" style="158" customWidth="1"/>
    <col min="8451" max="8451" width="5.5703125" style="158" customWidth="1"/>
    <col min="8452" max="8452" width="8.5703125" style="158" customWidth="1"/>
    <col min="8453" max="8454" width="9.140625" style="158"/>
    <col min="8455" max="8455" width="10.7109375" style="158" customWidth="1"/>
    <col min="8456" max="8704" width="9.140625" style="158"/>
    <col min="8705" max="8705" width="4.140625" style="158" customWidth="1"/>
    <col min="8706" max="8706" width="43.140625" style="158" customWidth="1"/>
    <col min="8707" max="8707" width="5.5703125" style="158" customWidth="1"/>
    <col min="8708" max="8708" width="8.5703125" style="158" customWidth="1"/>
    <col min="8709" max="8710" width="9.140625" style="158"/>
    <col min="8711" max="8711" width="10.7109375" style="158" customWidth="1"/>
    <col min="8712" max="8960" width="9.140625" style="158"/>
    <col min="8961" max="8961" width="4.140625" style="158" customWidth="1"/>
    <col min="8962" max="8962" width="43.140625" style="158" customWidth="1"/>
    <col min="8963" max="8963" width="5.5703125" style="158" customWidth="1"/>
    <col min="8964" max="8964" width="8.5703125" style="158" customWidth="1"/>
    <col min="8965" max="8966" width="9.140625" style="158"/>
    <col min="8967" max="8967" width="10.7109375" style="158" customWidth="1"/>
    <col min="8968" max="9216" width="9.140625" style="158"/>
    <col min="9217" max="9217" width="4.140625" style="158" customWidth="1"/>
    <col min="9218" max="9218" width="43.140625" style="158" customWidth="1"/>
    <col min="9219" max="9219" width="5.5703125" style="158" customWidth="1"/>
    <col min="9220" max="9220" width="8.5703125" style="158" customWidth="1"/>
    <col min="9221" max="9222" width="9.140625" style="158"/>
    <col min="9223" max="9223" width="10.7109375" style="158" customWidth="1"/>
    <col min="9224" max="9472" width="9.140625" style="158"/>
    <col min="9473" max="9473" width="4.140625" style="158" customWidth="1"/>
    <col min="9474" max="9474" width="43.140625" style="158" customWidth="1"/>
    <col min="9475" max="9475" width="5.5703125" style="158" customWidth="1"/>
    <col min="9476" max="9476" width="8.5703125" style="158" customWidth="1"/>
    <col min="9477" max="9478" width="9.140625" style="158"/>
    <col min="9479" max="9479" width="10.7109375" style="158" customWidth="1"/>
    <col min="9480" max="9728" width="9.140625" style="158"/>
    <col min="9729" max="9729" width="4.140625" style="158" customWidth="1"/>
    <col min="9730" max="9730" width="43.140625" style="158" customWidth="1"/>
    <col min="9731" max="9731" width="5.5703125" style="158" customWidth="1"/>
    <col min="9732" max="9732" width="8.5703125" style="158" customWidth="1"/>
    <col min="9733" max="9734" width="9.140625" style="158"/>
    <col min="9735" max="9735" width="10.7109375" style="158" customWidth="1"/>
    <col min="9736" max="9984" width="9.140625" style="158"/>
    <col min="9985" max="9985" width="4.140625" style="158" customWidth="1"/>
    <col min="9986" max="9986" width="43.140625" style="158" customWidth="1"/>
    <col min="9987" max="9987" width="5.5703125" style="158" customWidth="1"/>
    <col min="9988" max="9988" width="8.5703125" style="158" customWidth="1"/>
    <col min="9989" max="9990" width="9.140625" style="158"/>
    <col min="9991" max="9991" width="10.7109375" style="158" customWidth="1"/>
    <col min="9992" max="10240" width="9.140625" style="158"/>
    <col min="10241" max="10241" width="4.140625" style="158" customWidth="1"/>
    <col min="10242" max="10242" width="43.140625" style="158" customWidth="1"/>
    <col min="10243" max="10243" width="5.5703125" style="158" customWidth="1"/>
    <col min="10244" max="10244" width="8.5703125" style="158" customWidth="1"/>
    <col min="10245" max="10246" width="9.140625" style="158"/>
    <col min="10247" max="10247" width="10.7109375" style="158" customWidth="1"/>
    <col min="10248" max="10496" width="9.140625" style="158"/>
    <col min="10497" max="10497" width="4.140625" style="158" customWidth="1"/>
    <col min="10498" max="10498" width="43.140625" style="158" customWidth="1"/>
    <col min="10499" max="10499" width="5.5703125" style="158" customWidth="1"/>
    <col min="10500" max="10500" width="8.5703125" style="158" customWidth="1"/>
    <col min="10501" max="10502" width="9.140625" style="158"/>
    <col min="10503" max="10503" width="10.7109375" style="158" customWidth="1"/>
    <col min="10504" max="10752" width="9.140625" style="158"/>
    <col min="10753" max="10753" width="4.140625" style="158" customWidth="1"/>
    <col min="10754" max="10754" width="43.140625" style="158" customWidth="1"/>
    <col min="10755" max="10755" width="5.5703125" style="158" customWidth="1"/>
    <col min="10756" max="10756" width="8.5703125" style="158" customWidth="1"/>
    <col min="10757" max="10758" width="9.140625" style="158"/>
    <col min="10759" max="10759" width="10.7109375" style="158" customWidth="1"/>
    <col min="10760" max="11008" width="9.140625" style="158"/>
    <col min="11009" max="11009" width="4.140625" style="158" customWidth="1"/>
    <col min="11010" max="11010" width="43.140625" style="158" customWidth="1"/>
    <col min="11011" max="11011" width="5.5703125" style="158" customWidth="1"/>
    <col min="11012" max="11012" width="8.5703125" style="158" customWidth="1"/>
    <col min="11013" max="11014" width="9.140625" style="158"/>
    <col min="11015" max="11015" width="10.7109375" style="158" customWidth="1"/>
    <col min="11016" max="11264" width="9.140625" style="158"/>
    <col min="11265" max="11265" width="4.140625" style="158" customWidth="1"/>
    <col min="11266" max="11266" width="43.140625" style="158" customWidth="1"/>
    <col min="11267" max="11267" width="5.5703125" style="158" customWidth="1"/>
    <col min="11268" max="11268" width="8.5703125" style="158" customWidth="1"/>
    <col min="11269" max="11270" width="9.140625" style="158"/>
    <col min="11271" max="11271" width="10.7109375" style="158" customWidth="1"/>
    <col min="11272" max="11520" width="9.140625" style="158"/>
    <col min="11521" max="11521" width="4.140625" style="158" customWidth="1"/>
    <col min="11522" max="11522" width="43.140625" style="158" customWidth="1"/>
    <col min="11523" max="11523" width="5.5703125" style="158" customWidth="1"/>
    <col min="11524" max="11524" width="8.5703125" style="158" customWidth="1"/>
    <col min="11525" max="11526" width="9.140625" style="158"/>
    <col min="11527" max="11527" width="10.7109375" style="158" customWidth="1"/>
    <col min="11528" max="11776" width="9.140625" style="158"/>
    <col min="11777" max="11777" width="4.140625" style="158" customWidth="1"/>
    <col min="11778" max="11778" width="43.140625" style="158" customWidth="1"/>
    <col min="11779" max="11779" width="5.5703125" style="158" customWidth="1"/>
    <col min="11780" max="11780" width="8.5703125" style="158" customWidth="1"/>
    <col min="11781" max="11782" width="9.140625" style="158"/>
    <col min="11783" max="11783" width="10.7109375" style="158" customWidth="1"/>
    <col min="11784" max="12032" width="9.140625" style="158"/>
    <col min="12033" max="12033" width="4.140625" style="158" customWidth="1"/>
    <col min="12034" max="12034" width="43.140625" style="158" customWidth="1"/>
    <col min="12035" max="12035" width="5.5703125" style="158" customWidth="1"/>
    <col min="12036" max="12036" width="8.5703125" style="158" customWidth="1"/>
    <col min="12037" max="12038" width="9.140625" style="158"/>
    <col min="12039" max="12039" width="10.7109375" style="158" customWidth="1"/>
    <col min="12040" max="12288" width="9.140625" style="158"/>
    <col min="12289" max="12289" width="4.140625" style="158" customWidth="1"/>
    <col min="12290" max="12290" width="43.140625" style="158" customWidth="1"/>
    <col min="12291" max="12291" width="5.5703125" style="158" customWidth="1"/>
    <col min="12292" max="12292" width="8.5703125" style="158" customWidth="1"/>
    <col min="12293" max="12294" width="9.140625" style="158"/>
    <col min="12295" max="12295" width="10.7109375" style="158" customWidth="1"/>
    <col min="12296" max="12544" width="9.140625" style="158"/>
    <col min="12545" max="12545" width="4.140625" style="158" customWidth="1"/>
    <col min="12546" max="12546" width="43.140625" style="158" customWidth="1"/>
    <col min="12547" max="12547" width="5.5703125" style="158" customWidth="1"/>
    <col min="12548" max="12548" width="8.5703125" style="158" customWidth="1"/>
    <col min="12549" max="12550" width="9.140625" style="158"/>
    <col min="12551" max="12551" width="10.7109375" style="158" customWidth="1"/>
    <col min="12552" max="12800" width="9.140625" style="158"/>
    <col min="12801" max="12801" width="4.140625" style="158" customWidth="1"/>
    <col min="12802" max="12802" width="43.140625" style="158" customWidth="1"/>
    <col min="12803" max="12803" width="5.5703125" style="158" customWidth="1"/>
    <col min="12804" max="12804" width="8.5703125" style="158" customWidth="1"/>
    <col min="12805" max="12806" width="9.140625" style="158"/>
    <col min="12807" max="12807" width="10.7109375" style="158" customWidth="1"/>
    <col min="12808" max="13056" width="9.140625" style="158"/>
    <col min="13057" max="13057" width="4.140625" style="158" customWidth="1"/>
    <col min="13058" max="13058" width="43.140625" style="158" customWidth="1"/>
    <col min="13059" max="13059" width="5.5703125" style="158" customWidth="1"/>
    <col min="13060" max="13060" width="8.5703125" style="158" customWidth="1"/>
    <col min="13061" max="13062" width="9.140625" style="158"/>
    <col min="13063" max="13063" width="10.7109375" style="158" customWidth="1"/>
    <col min="13064" max="13312" width="9.140625" style="158"/>
    <col min="13313" max="13313" width="4.140625" style="158" customWidth="1"/>
    <col min="13314" max="13314" width="43.140625" style="158" customWidth="1"/>
    <col min="13315" max="13315" width="5.5703125" style="158" customWidth="1"/>
    <col min="13316" max="13316" width="8.5703125" style="158" customWidth="1"/>
    <col min="13317" max="13318" width="9.140625" style="158"/>
    <col min="13319" max="13319" width="10.7109375" style="158" customWidth="1"/>
    <col min="13320" max="13568" width="9.140625" style="158"/>
    <col min="13569" max="13569" width="4.140625" style="158" customWidth="1"/>
    <col min="13570" max="13570" width="43.140625" style="158" customWidth="1"/>
    <col min="13571" max="13571" width="5.5703125" style="158" customWidth="1"/>
    <col min="13572" max="13572" width="8.5703125" style="158" customWidth="1"/>
    <col min="13573" max="13574" width="9.140625" style="158"/>
    <col min="13575" max="13575" width="10.7109375" style="158" customWidth="1"/>
    <col min="13576" max="13824" width="9.140625" style="158"/>
    <col min="13825" max="13825" width="4.140625" style="158" customWidth="1"/>
    <col min="13826" max="13826" width="43.140625" style="158" customWidth="1"/>
    <col min="13827" max="13827" width="5.5703125" style="158" customWidth="1"/>
    <col min="13828" max="13828" width="8.5703125" style="158" customWidth="1"/>
    <col min="13829" max="13830" width="9.140625" style="158"/>
    <col min="13831" max="13831" width="10.7109375" style="158" customWidth="1"/>
    <col min="13832" max="14080" width="9.140625" style="158"/>
    <col min="14081" max="14081" width="4.140625" style="158" customWidth="1"/>
    <col min="14082" max="14082" width="43.140625" style="158" customWidth="1"/>
    <col min="14083" max="14083" width="5.5703125" style="158" customWidth="1"/>
    <col min="14084" max="14084" width="8.5703125" style="158" customWidth="1"/>
    <col min="14085" max="14086" width="9.140625" style="158"/>
    <col min="14087" max="14087" width="10.7109375" style="158" customWidth="1"/>
    <col min="14088" max="14336" width="9.140625" style="158"/>
    <col min="14337" max="14337" width="4.140625" style="158" customWidth="1"/>
    <col min="14338" max="14338" width="43.140625" style="158" customWidth="1"/>
    <col min="14339" max="14339" width="5.5703125" style="158" customWidth="1"/>
    <col min="14340" max="14340" width="8.5703125" style="158" customWidth="1"/>
    <col min="14341" max="14342" width="9.140625" style="158"/>
    <col min="14343" max="14343" width="10.7109375" style="158" customWidth="1"/>
    <col min="14344" max="14592" width="9.140625" style="158"/>
    <col min="14593" max="14593" width="4.140625" style="158" customWidth="1"/>
    <col min="14594" max="14594" width="43.140625" style="158" customWidth="1"/>
    <col min="14595" max="14595" width="5.5703125" style="158" customWidth="1"/>
    <col min="14596" max="14596" width="8.5703125" style="158" customWidth="1"/>
    <col min="14597" max="14598" width="9.140625" style="158"/>
    <col min="14599" max="14599" width="10.7109375" style="158" customWidth="1"/>
    <col min="14600" max="14848" width="9.140625" style="158"/>
    <col min="14849" max="14849" width="4.140625" style="158" customWidth="1"/>
    <col min="14850" max="14850" width="43.140625" style="158" customWidth="1"/>
    <col min="14851" max="14851" width="5.5703125" style="158" customWidth="1"/>
    <col min="14852" max="14852" width="8.5703125" style="158" customWidth="1"/>
    <col min="14853" max="14854" width="9.140625" style="158"/>
    <col min="14855" max="14855" width="10.7109375" style="158" customWidth="1"/>
    <col min="14856" max="15104" width="9.140625" style="158"/>
    <col min="15105" max="15105" width="4.140625" style="158" customWidth="1"/>
    <col min="15106" max="15106" width="43.140625" style="158" customWidth="1"/>
    <col min="15107" max="15107" width="5.5703125" style="158" customWidth="1"/>
    <col min="15108" max="15108" width="8.5703125" style="158" customWidth="1"/>
    <col min="15109" max="15110" width="9.140625" style="158"/>
    <col min="15111" max="15111" width="10.7109375" style="158" customWidth="1"/>
    <col min="15112" max="15360" width="9.140625" style="158"/>
    <col min="15361" max="15361" width="4.140625" style="158" customWidth="1"/>
    <col min="15362" max="15362" width="43.140625" style="158" customWidth="1"/>
    <col min="15363" max="15363" width="5.5703125" style="158" customWidth="1"/>
    <col min="15364" max="15364" width="8.5703125" style="158" customWidth="1"/>
    <col min="15365" max="15366" width="9.140625" style="158"/>
    <col min="15367" max="15367" width="10.7109375" style="158" customWidth="1"/>
    <col min="15368" max="15616" width="9.140625" style="158"/>
    <col min="15617" max="15617" width="4.140625" style="158" customWidth="1"/>
    <col min="15618" max="15618" width="43.140625" style="158" customWidth="1"/>
    <col min="15619" max="15619" width="5.5703125" style="158" customWidth="1"/>
    <col min="15620" max="15620" width="8.5703125" style="158" customWidth="1"/>
    <col min="15621" max="15622" width="9.140625" style="158"/>
    <col min="15623" max="15623" width="10.7109375" style="158" customWidth="1"/>
    <col min="15624" max="15872" width="9.140625" style="158"/>
    <col min="15873" max="15873" width="4.140625" style="158" customWidth="1"/>
    <col min="15874" max="15874" width="43.140625" style="158" customWidth="1"/>
    <col min="15875" max="15875" width="5.5703125" style="158" customWidth="1"/>
    <col min="15876" max="15876" width="8.5703125" style="158" customWidth="1"/>
    <col min="15877" max="15878" width="9.140625" style="158"/>
    <col min="15879" max="15879" width="10.7109375" style="158" customWidth="1"/>
    <col min="15880" max="16128" width="9.140625" style="158"/>
    <col min="16129" max="16129" width="4.140625" style="158" customWidth="1"/>
    <col min="16130" max="16130" width="43.140625" style="158" customWidth="1"/>
    <col min="16131" max="16131" width="5.5703125" style="158" customWidth="1"/>
    <col min="16132" max="16132" width="8.5703125" style="158" customWidth="1"/>
    <col min="16133" max="16134" width="9.140625" style="158"/>
    <col min="16135" max="16135" width="10.7109375" style="158" customWidth="1"/>
    <col min="16136" max="16384" width="9.140625" style="158"/>
  </cols>
  <sheetData>
    <row r="1" spans="1:9" ht="3" customHeight="1"/>
    <row r="2" spans="1:9" ht="18.75">
      <c r="A2" s="1114" t="s">
        <v>359</v>
      </c>
      <c r="B2" s="1114"/>
      <c r="C2" s="1114"/>
      <c r="D2" s="1114"/>
      <c r="E2" s="1114"/>
      <c r="F2" s="1114"/>
      <c r="G2" s="1114"/>
    </row>
    <row r="3" spans="1:9" ht="39" customHeight="1">
      <c r="A3" s="1115" t="str">
        <f>'lead 2025-26'!B3&amp;'lead 2025-26'!C3</f>
        <v>Name of the work : Providing BT Surface to the road from Inimerla SC colony to National Highway at Nuchupoda in Inimerla GP of Pamuru Mandal.</v>
      </c>
      <c r="B3" s="1115"/>
      <c r="C3" s="1115"/>
      <c r="D3" s="1115"/>
      <c r="E3" s="1115"/>
      <c r="F3" s="1115"/>
      <c r="G3" s="1115"/>
      <c r="I3" s="10">
        <v>18</v>
      </c>
    </row>
    <row r="4" spans="1:9" ht="18.75" customHeight="1">
      <c r="A4" s="297"/>
      <c r="B4" s="297" t="s">
        <v>270</v>
      </c>
      <c r="C4" s="297" t="s">
        <v>27</v>
      </c>
      <c r="D4" s="298" t="s">
        <v>271</v>
      </c>
      <c r="F4" s="299"/>
      <c r="G4" s="297"/>
      <c r="H4" s="297"/>
      <c r="I4" s="10">
        <v>229</v>
      </c>
    </row>
    <row r="5" spans="1:9" ht="18.75" customHeight="1">
      <c r="A5" s="297"/>
      <c r="B5" s="297" t="s">
        <v>272</v>
      </c>
      <c r="C5" s="297" t="s">
        <v>27</v>
      </c>
      <c r="D5" s="298" t="s">
        <v>166</v>
      </c>
      <c r="F5" s="297"/>
      <c r="G5" s="297"/>
      <c r="H5" s="297"/>
      <c r="I5" s="322" t="e">
        <f>MAIN!#REF!</f>
        <v>#REF!</v>
      </c>
    </row>
    <row r="6" spans="1:9" ht="18.75" customHeight="1">
      <c r="A6" s="297"/>
      <c r="B6" s="297" t="s">
        <v>273</v>
      </c>
      <c r="C6" s="297" t="s">
        <v>27</v>
      </c>
      <c r="D6" s="298" t="s">
        <v>1147</v>
      </c>
      <c r="F6" s="297"/>
      <c r="G6" s="297"/>
      <c r="H6" s="297"/>
      <c r="I6" s="297"/>
    </row>
    <row r="7" spans="1:9" ht="18.75" customHeight="1">
      <c r="A7" s="297"/>
      <c r="B7" s="297" t="s">
        <v>274</v>
      </c>
      <c r="C7" s="297" t="s">
        <v>27</v>
      </c>
      <c r="D7" s="298" t="s">
        <v>1198</v>
      </c>
      <c r="F7" s="297"/>
      <c r="G7" s="297"/>
      <c r="H7" s="297"/>
      <c r="I7" s="297"/>
    </row>
    <row r="8" spans="1:9" ht="22.5" customHeight="1">
      <c r="A8" s="770"/>
      <c r="B8" s="159"/>
      <c r="C8" s="159"/>
      <c r="E8" s="771" t="s">
        <v>128</v>
      </c>
      <c r="F8" s="772" t="str">
        <f>'lead 2025-26'!K4</f>
        <v>140.00 Lakhs</v>
      </c>
      <c r="G8" s="773"/>
    </row>
    <row r="9" spans="1:9" ht="35.25" customHeight="1">
      <c r="A9" s="774" t="s">
        <v>123</v>
      </c>
      <c r="B9" s="774" t="s">
        <v>124</v>
      </c>
      <c r="C9" s="774" t="s">
        <v>3</v>
      </c>
      <c r="D9" s="774" t="s">
        <v>125</v>
      </c>
      <c r="E9" s="774" t="s">
        <v>126</v>
      </c>
      <c r="F9" s="774" t="s">
        <v>127</v>
      </c>
      <c r="G9" s="775" t="s">
        <v>110</v>
      </c>
    </row>
    <row r="10" spans="1:9" s="335" customFormat="1" ht="27.75" customHeight="1">
      <c r="A10" s="174">
        <v>1</v>
      </c>
      <c r="B10" s="175" t="s">
        <v>362</v>
      </c>
      <c r="C10" s="175" t="s">
        <v>45</v>
      </c>
      <c r="D10" s="174" t="s">
        <v>363</v>
      </c>
      <c r="E10" s="176">
        <f>seigneorage!O77</f>
        <v>15.27</v>
      </c>
      <c r="F10" s="177">
        <f>'lead 2025-26'!K26</f>
        <v>4218.8</v>
      </c>
      <c r="G10" s="177">
        <f>ROUND(E10*F10,0)</f>
        <v>64421</v>
      </c>
      <c r="I10" s="158"/>
    </row>
    <row r="11" spans="1:9" s="335" customFormat="1" ht="27.75" hidden="1" customHeight="1">
      <c r="A11" s="174">
        <v>2</v>
      </c>
      <c r="B11" s="175" t="s">
        <v>368</v>
      </c>
      <c r="C11" s="175" t="s">
        <v>13</v>
      </c>
      <c r="D11" s="174" t="s">
        <v>369</v>
      </c>
      <c r="E11" s="176">
        <f>seigneorage!I77</f>
        <v>27.810000000000002</v>
      </c>
      <c r="F11" s="176">
        <f>'lead 2025-26'!H9</f>
        <v>0</v>
      </c>
      <c r="G11" s="177">
        <f>ROUND(E11*F11,0)</f>
        <v>0</v>
      </c>
    </row>
    <row r="12" spans="1:9" s="335" customFormat="1" ht="27.75" customHeight="1">
      <c r="A12" s="174">
        <v>2</v>
      </c>
      <c r="B12" s="175" t="s">
        <v>437</v>
      </c>
      <c r="C12" s="175" t="s">
        <v>13</v>
      </c>
      <c r="D12" s="174" t="s">
        <v>436</v>
      </c>
      <c r="E12" s="176">
        <f>seigneorage!K77</f>
        <v>35.700000000000003</v>
      </c>
      <c r="F12" s="176">
        <f>'lead 2025-26'!H16+'lead 2025-26'!I16+'lead 2025-26'!J16</f>
        <v>1032.5</v>
      </c>
      <c r="G12" s="177">
        <f>ROUND(E12*F12,0)</f>
        <v>36860</v>
      </c>
    </row>
    <row r="13" spans="1:9" s="335" customFormat="1" ht="27.75" customHeight="1">
      <c r="A13" s="174">
        <v>3</v>
      </c>
      <c r="B13" s="175" t="s">
        <v>364</v>
      </c>
      <c r="C13" s="175" t="s">
        <v>13</v>
      </c>
      <c r="D13" s="174" t="s">
        <v>365</v>
      </c>
      <c r="E13" s="176">
        <f>seigneorage!L77</f>
        <v>9.9600000000000009</v>
      </c>
      <c r="F13" s="176">
        <f>'lead 2025-26'!H12+'lead 2025-26'!I12+'lead 2025-26'!J12</f>
        <v>1676.25</v>
      </c>
      <c r="G13" s="177">
        <f>ROUND(E13*F13,0)</f>
        <v>16695</v>
      </c>
    </row>
    <row r="14" spans="1:9" s="335" customFormat="1" ht="27.75" customHeight="1">
      <c r="A14" s="174">
        <v>4</v>
      </c>
      <c r="B14" s="175" t="s">
        <v>366</v>
      </c>
      <c r="C14" s="175" t="s">
        <v>13</v>
      </c>
      <c r="D14" s="174" t="s">
        <v>367</v>
      </c>
      <c r="E14" s="176">
        <f>seigneorage!M77</f>
        <v>3.32</v>
      </c>
      <c r="F14" s="176">
        <f>'lead 2025-26'!H13+'lead 2025-26'!I13+'lead 2025-26'!J13</f>
        <v>1350</v>
      </c>
      <c r="G14" s="177">
        <f t="shared" ref="G14" si="0">ROUND(E14*F14,0)</f>
        <v>4482</v>
      </c>
    </row>
    <row r="15" spans="1:9" s="335" customFormat="1" ht="27.75" customHeight="1">
      <c r="A15" s="174">
        <v>5</v>
      </c>
      <c r="B15" s="175" t="s">
        <v>361</v>
      </c>
      <c r="C15" s="175" t="s">
        <v>13</v>
      </c>
      <c r="D15" s="174" t="s">
        <v>360</v>
      </c>
      <c r="E15" s="176">
        <f>A.M!D27</f>
        <v>672</v>
      </c>
      <c r="F15" s="176">
        <f>A.M!F27</f>
        <v>2928.41</v>
      </c>
      <c r="G15" s="177">
        <f t="shared" ref="G15" si="1">ROUND(E15*F15,0)</f>
        <v>1967892</v>
      </c>
      <c r="H15" s="776"/>
    </row>
    <row r="16" spans="1:9" s="335" customFormat="1" ht="27.75" customHeight="1">
      <c r="A16" s="174">
        <v>6</v>
      </c>
      <c r="B16" s="175" t="s">
        <v>382</v>
      </c>
      <c r="C16" s="175" t="s">
        <v>13</v>
      </c>
      <c r="D16" s="174" t="s">
        <v>1141</v>
      </c>
      <c r="E16" s="176">
        <f>MAIN!I77</f>
        <v>907.2</v>
      </c>
      <c r="F16" s="176">
        <f>MAIN!K77</f>
        <v>384.05</v>
      </c>
      <c r="G16" s="177">
        <f t="shared" ref="G16" si="2">ROUND(E16*F16,0)</f>
        <v>348410</v>
      </c>
    </row>
    <row r="17" spans="1:9" s="335" customFormat="1" ht="27.75" customHeight="1">
      <c r="A17" s="174">
        <v>7</v>
      </c>
      <c r="B17" s="175" t="s">
        <v>919</v>
      </c>
      <c r="C17" s="175" t="s">
        <v>13</v>
      </c>
      <c r="D17" s="174" t="s">
        <v>1140</v>
      </c>
      <c r="E17" s="176">
        <f>A.M!D22</f>
        <v>22.5</v>
      </c>
      <c r="F17" s="176">
        <f>A.M!F22</f>
        <v>9006.27</v>
      </c>
      <c r="G17" s="177">
        <f t="shared" ref="G17" si="3">ROUND(E17*F17,0)</f>
        <v>202641</v>
      </c>
    </row>
    <row r="18" spans="1:9" s="335" customFormat="1" ht="27.75" hidden="1" customHeight="1">
      <c r="A18" s="174">
        <v>8</v>
      </c>
      <c r="B18" s="175" t="s">
        <v>920</v>
      </c>
      <c r="C18" s="175" t="s">
        <v>13</v>
      </c>
      <c r="D18" s="761"/>
      <c r="E18" s="176">
        <f>A.M!D21</f>
        <v>0</v>
      </c>
      <c r="F18" s="176">
        <f>A.M!F21</f>
        <v>3804.82</v>
      </c>
      <c r="G18" s="177">
        <f t="shared" ref="G18" si="4">ROUND(E18*F18,0)</f>
        <v>0</v>
      </c>
    </row>
    <row r="19" spans="1:9" s="335" customFormat="1" ht="27.75" customHeight="1">
      <c r="A19" s="174">
        <v>8</v>
      </c>
      <c r="B19" s="175" t="s">
        <v>370</v>
      </c>
      <c r="C19" s="175" t="s">
        <v>13</v>
      </c>
      <c r="D19" s="174" t="s">
        <v>371</v>
      </c>
      <c r="E19" s="176">
        <f>E11</f>
        <v>27.810000000000002</v>
      </c>
      <c r="F19" s="176">
        <f>'lead 2025-26'!G9</f>
        <v>1287.1899999999978</v>
      </c>
      <c r="G19" s="177">
        <f t="shared" ref="G19" si="5">ROUND(E19*F19,0)</f>
        <v>35797</v>
      </c>
    </row>
    <row r="20" spans="1:9" s="335" customFormat="1" ht="27.75" customHeight="1">
      <c r="A20" s="174">
        <v>9</v>
      </c>
      <c r="B20" s="175" t="s">
        <v>372</v>
      </c>
      <c r="C20" s="175" t="s">
        <v>374</v>
      </c>
      <c r="D20" s="174" t="s">
        <v>373</v>
      </c>
      <c r="E20" s="176"/>
      <c r="F20" s="176"/>
      <c r="G20" s="177">
        <f>ROUND((E12*'lead 2025-26'!G16)+('input data'!E13*'lead 2025-26'!G12)+('input data'!E14*'lead 2025-26'!G13)+(seigneorage!N9*'lead 2025-26'!G17)+(seigneorage!N11*'lead 2025-26'!G17),0)</f>
        <v>1993028</v>
      </c>
      <c r="I20" s="776"/>
    </row>
    <row r="21" spans="1:9" s="335" customFormat="1" ht="27.75" customHeight="1">
      <c r="A21" s="174">
        <v>10</v>
      </c>
      <c r="B21" s="175" t="s">
        <v>375</v>
      </c>
      <c r="C21" s="175" t="s">
        <v>377</v>
      </c>
      <c r="D21" s="174" t="s">
        <v>376</v>
      </c>
      <c r="E21" s="176"/>
      <c r="F21" s="176"/>
      <c r="G21" s="177">
        <f>A.M!H36</f>
        <v>0</v>
      </c>
      <c r="I21" s="776"/>
    </row>
    <row r="22" spans="1:9" s="335" customFormat="1" ht="27.75" customHeight="1">
      <c r="A22" s="174">
        <v>11</v>
      </c>
      <c r="B22" s="175" t="s">
        <v>922</v>
      </c>
      <c r="C22" s="175" t="s">
        <v>377</v>
      </c>
      <c r="D22" s="174" t="s">
        <v>921</v>
      </c>
      <c r="E22" s="176"/>
      <c r="F22" s="176"/>
      <c r="G22" s="177">
        <f>A.M!H46</f>
        <v>2004957</v>
      </c>
      <c r="I22" s="776"/>
    </row>
    <row r="23" spans="1:9" s="335" customFormat="1" ht="27.75" customHeight="1">
      <c r="A23" s="174">
        <v>12</v>
      </c>
      <c r="B23" s="175" t="s">
        <v>354</v>
      </c>
      <c r="C23" s="175" t="s">
        <v>377</v>
      </c>
      <c r="D23" s="174" t="s">
        <v>381</v>
      </c>
      <c r="E23" s="176"/>
      <c r="F23" s="176"/>
      <c r="G23" s="177">
        <f>A.M!H45</f>
        <v>0</v>
      </c>
      <c r="I23" s="776"/>
    </row>
    <row r="24" spans="1:9" s="335" customFormat="1" ht="27.75" customHeight="1">
      <c r="A24" s="174">
        <v>13</v>
      </c>
      <c r="B24" s="175" t="s">
        <v>379</v>
      </c>
      <c r="C24" s="175"/>
      <c r="D24" s="174" t="s">
        <v>378</v>
      </c>
      <c r="E24" s="176"/>
      <c r="F24" s="176"/>
      <c r="G24" s="177">
        <f>A.M!H43</f>
        <v>960158</v>
      </c>
      <c r="I24" s="776"/>
    </row>
    <row r="25" spans="1:9" s="335" customFormat="1" ht="27.75" customHeight="1">
      <c r="A25" s="174">
        <v>14</v>
      </c>
      <c r="B25" s="175" t="s">
        <v>162</v>
      </c>
      <c r="C25" s="175"/>
      <c r="D25" s="174" t="s">
        <v>380</v>
      </c>
      <c r="E25" s="176"/>
      <c r="F25" s="176"/>
      <c r="G25" s="177">
        <f>A.M!H44</f>
        <v>50892</v>
      </c>
      <c r="H25" s="776">
        <f>SUM(G10:G25)</f>
        <v>7686233</v>
      </c>
      <c r="I25" s="776"/>
    </row>
    <row r="26" spans="1:9" s="335" customFormat="1" ht="27.75" customHeight="1">
      <c r="A26" s="174">
        <v>15</v>
      </c>
      <c r="B26" s="175" t="s">
        <v>383</v>
      </c>
      <c r="C26" s="175" t="s">
        <v>374</v>
      </c>
      <c r="D26" s="174" t="s">
        <v>384</v>
      </c>
      <c r="E26" s="176"/>
      <c r="F26" s="176"/>
      <c r="G26" s="177">
        <f>H26-H25</f>
        <v>6313767</v>
      </c>
      <c r="H26" s="776">
        <f>Abstract!M22-MAIN!M10-'SUB-1'!M59</f>
        <v>14000000</v>
      </c>
      <c r="I26" s="776"/>
    </row>
    <row r="27" spans="1:9" ht="15">
      <c r="A27" s="174"/>
      <c r="B27" s="777"/>
      <c r="C27" s="778"/>
      <c r="D27" s="174"/>
      <c r="E27" s="779"/>
      <c r="F27" s="779"/>
      <c r="G27" s="176"/>
    </row>
    <row r="28" spans="1:9" ht="20.100000000000001" customHeight="1">
      <c r="A28" s="780"/>
      <c r="B28" s="781"/>
      <c r="C28" s="781"/>
      <c r="D28" s="780"/>
      <c r="E28" s="782"/>
      <c r="F28" s="783"/>
      <c r="G28" s="784"/>
      <c r="H28" s="785"/>
      <c r="I28" s="542"/>
    </row>
    <row r="29" spans="1:9" ht="21.95" customHeight="1" thickBot="1">
      <c r="A29" s="1116" t="s">
        <v>388</v>
      </c>
      <c r="B29" s="1116"/>
      <c r="C29" s="1116"/>
      <c r="D29" s="786"/>
      <c r="E29" s="787"/>
      <c r="F29" s="787"/>
      <c r="G29" s="788">
        <f>SUM(G10:G28)</f>
        <v>14000000</v>
      </c>
      <c r="H29" s="785">
        <f>G29+A.M!H8+A.M!H9</f>
        <v>14000000</v>
      </c>
      <c r="I29" s="542"/>
    </row>
    <row r="30" spans="1:9" ht="13.5" thickTop="1">
      <c r="B30" s="789"/>
      <c r="C30" s="790"/>
      <c r="D30" s="791"/>
    </row>
    <row r="33" spans="3:6">
      <c r="C33" s="159" t="str">
        <f>'lead 2025-26'!G37</f>
        <v>Deputy Executive Engineer</v>
      </c>
      <c r="F33" s="159" t="str">
        <f>'lead 2025-26'!J37</f>
        <v>Assistant   Engineer</v>
      </c>
    </row>
    <row r="34" spans="3:6">
      <c r="C34" s="159" t="str">
        <f>'lead 2025-26'!G38</f>
        <v>PRI Sub Division: Kanigiri</v>
      </c>
      <c r="F34" s="159" t="str">
        <f>'lead 2025-26'!J38</f>
        <v>Mandal Praja Parishad</v>
      </c>
    </row>
    <row r="35" spans="3:6">
      <c r="F35" s="159" t="str">
        <f>'lead 2025-26'!J39</f>
        <v>Pamuru</v>
      </c>
    </row>
  </sheetData>
  <autoFilter ref="A9:G26" xr:uid="{00000000-0009-0000-0000-000003000000}">
    <filterColumn colId="6">
      <customFilters>
        <customFilter operator="notEqual" val=" "/>
      </customFilters>
    </filterColumn>
  </autoFilter>
  <mergeCells count="3">
    <mergeCell ref="A2:G2"/>
    <mergeCell ref="A3:G3"/>
    <mergeCell ref="A29:C29"/>
  </mergeCells>
  <pageMargins left="0.7" right="0.22" top="0.52" bottom="0.25" header="0.16" footer="0.16"/>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S29"/>
  <sheetViews>
    <sheetView showZeros="0" view="pageBreakPreview" zoomScale="115" zoomScaleNormal="115" zoomScaleSheetLayoutView="115" workbookViewId="0">
      <selection activeCell="P21" sqref="P21"/>
    </sheetView>
  </sheetViews>
  <sheetFormatPr defaultRowHeight="12.75"/>
  <cols>
    <col min="1" max="1" width="4.42578125" style="33" customWidth="1"/>
    <col min="2" max="2" width="23.42578125" style="22" customWidth="1"/>
    <col min="3" max="3" width="2.4257812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0.28515625" style="22" bestFit="1" customWidth="1"/>
    <col min="15" max="15" width="11.7109375" style="22" customWidth="1"/>
    <col min="16" max="16" width="9.140625" style="22"/>
    <col min="17" max="17" width="10.7109375" style="22" bestFit="1" customWidth="1"/>
    <col min="18" max="16384" width="9.140625" style="22"/>
  </cols>
  <sheetData>
    <row r="1" spans="1:19" ht="30" customHeight="1">
      <c r="A1" s="1102" t="s">
        <v>879</v>
      </c>
      <c r="B1" s="1102"/>
      <c r="C1" s="1102"/>
      <c r="D1" s="1102"/>
      <c r="E1" s="1102"/>
      <c r="F1" s="1102"/>
      <c r="G1" s="1102"/>
      <c r="H1" s="1102"/>
      <c r="I1" s="1102"/>
      <c r="J1" s="1102"/>
      <c r="K1" s="1102"/>
      <c r="L1" s="1102"/>
      <c r="M1" s="1102"/>
    </row>
    <row r="2" spans="1:19" s="56" customFormat="1" ht="45.75" customHeight="1">
      <c r="A2" s="1112" t="str">
        <f>'lead 2025-26'!B3</f>
        <v xml:space="preserve">Name of the work : </v>
      </c>
      <c r="B2" s="1112"/>
      <c r="C2" s="1113" t="str">
        <f>'lead 2025-26'!C3</f>
        <v>Providing BT Surface to the road from Inimerla SC colony to National Highway at Nuchupoda in Inimerla GP of Pamuru Mandal.</v>
      </c>
      <c r="D2" s="1113"/>
      <c r="E2" s="1113"/>
      <c r="F2" s="1113"/>
      <c r="G2" s="1113"/>
      <c r="H2" s="1113"/>
      <c r="I2" s="1113"/>
      <c r="J2" s="1113"/>
      <c r="K2" s="1113"/>
      <c r="L2" s="1113"/>
      <c r="M2" s="1113"/>
    </row>
    <row r="3" spans="1:19" s="56" customFormat="1" ht="16.5" customHeight="1">
      <c r="A3" s="58"/>
      <c r="B3" s="58"/>
      <c r="C3" s="59"/>
      <c r="D3" s="58"/>
      <c r="E3" s="60"/>
      <c r="F3" s="58"/>
      <c r="G3" s="58"/>
      <c r="H3" s="58"/>
      <c r="I3" s="59"/>
      <c r="J3" s="59"/>
      <c r="K3" s="1104" t="s">
        <v>160</v>
      </c>
      <c r="L3" s="1104"/>
      <c r="M3" s="57" t="str">
        <f>'lead 2025-26'!K4</f>
        <v>140.00 Lakhs</v>
      </c>
    </row>
    <row r="4" spans="1:19" s="61" customFormat="1" ht="18" customHeight="1">
      <c r="A4" s="1105" t="s">
        <v>36</v>
      </c>
      <c r="B4" s="1106" t="s">
        <v>15</v>
      </c>
      <c r="C4" s="1121"/>
      <c r="D4" s="1121"/>
      <c r="E4" s="1121"/>
      <c r="F4" s="1121"/>
      <c r="G4" s="1121"/>
      <c r="H4" s="1119"/>
      <c r="I4" s="1106" t="s">
        <v>14</v>
      </c>
      <c r="J4" s="1119"/>
      <c r="K4" s="1105" t="s">
        <v>18</v>
      </c>
      <c r="L4" s="1105" t="s">
        <v>8</v>
      </c>
      <c r="M4" s="1105" t="s">
        <v>19</v>
      </c>
    </row>
    <row r="5" spans="1:19" s="61" customFormat="1" ht="15.75">
      <c r="A5" s="1105"/>
      <c r="B5" s="1108"/>
      <c r="C5" s="1122"/>
      <c r="D5" s="1122"/>
      <c r="E5" s="1122"/>
      <c r="F5" s="1122"/>
      <c r="G5" s="1122"/>
      <c r="H5" s="1120"/>
      <c r="I5" s="1108"/>
      <c r="J5" s="1120"/>
      <c r="K5" s="1105"/>
      <c r="L5" s="1105"/>
      <c r="M5" s="1105"/>
    </row>
    <row r="6" spans="1:19" s="62" customFormat="1" ht="15.75">
      <c r="A6" s="325">
        <v>1</v>
      </c>
      <c r="B6" s="1100">
        <v>2</v>
      </c>
      <c r="C6" s="1123"/>
      <c r="D6" s="1123"/>
      <c r="E6" s="1123"/>
      <c r="F6" s="1123"/>
      <c r="G6" s="1123"/>
      <c r="H6" s="1117"/>
      <c r="I6" s="1100">
        <v>3</v>
      </c>
      <c r="J6" s="1117"/>
      <c r="K6" s="326">
        <v>4</v>
      </c>
      <c r="L6" s="327">
        <v>5</v>
      </c>
      <c r="M6" s="325">
        <v>6</v>
      </c>
    </row>
    <row r="7" spans="1:19" s="85" customFormat="1" ht="25.5" customHeight="1">
      <c r="A7" s="81">
        <v>1</v>
      </c>
      <c r="B7" s="1118" t="s">
        <v>880</v>
      </c>
      <c r="C7" s="1118"/>
      <c r="D7" s="1118"/>
      <c r="E7" s="1118"/>
      <c r="F7" s="1118"/>
      <c r="G7" s="1118"/>
      <c r="H7" s="1118"/>
      <c r="I7" s="82"/>
      <c r="J7" s="83"/>
      <c r="K7" s="81"/>
      <c r="L7" s="81"/>
      <c r="M7" s="750">
        <f>MAIN!M83</f>
        <v>9379904</v>
      </c>
      <c r="N7" s="180"/>
      <c r="O7" s="180"/>
    </row>
    <row r="8" spans="1:19" s="85" customFormat="1" ht="25.5" hidden="1" customHeight="1">
      <c r="A8" s="81">
        <v>2</v>
      </c>
      <c r="B8" s="1118" t="s">
        <v>1278</v>
      </c>
      <c r="C8" s="1118"/>
      <c r="D8" s="1118"/>
      <c r="E8" s="1118"/>
      <c r="F8" s="1118"/>
      <c r="G8" s="1118"/>
      <c r="H8" s="1118"/>
      <c r="I8" s="82"/>
      <c r="J8" s="83"/>
      <c r="K8" s="81"/>
      <c r="L8" s="81"/>
      <c r="M8" s="750">
        <f>'SUB-1'!M61</f>
        <v>0</v>
      </c>
      <c r="N8" s="180"/>
      <c r="O8" s="180"/>
    </row>
    <row r="9" spans="1:19" s="85" customFormat="1" ht="25.5" hidden="1" customHeight="1">
      <c r="A9" s="81">
        <v>3</v>
      </c>
      <c r="B9" s="1118" t="s">
        <v>1218</v>
      </c>
      <c r="C9" s="1118"/>
      <c r="D9" s="1118"/>
      <c r="E9" s="1118"/>
      <c r="F9" s="1118"/>
      <c r="G9" s="1118"/>
      <c r="H9" s="1118"/>
      <c r="I9" s="82"/>
      <c r="J9" s="83"/>
      <c r="K9" s="81"/>
      <c r="L9" s="81"/>
      <c r="M9" s="750">
        <f>'SUB-2'!M63</f>
        <v>0</v>
      </c>
      <c r="N9" s="180"/>
      <c r="O9" s="180"/>
    </row>
    <row r="10" spans="1:19" s="85" customFormat="1" ht="25.5" customHeight="1">
      <c r="A10" s="81">
        <v>2</v>
      </c>
      <c r="B10" s="1118" t="s">
        <v>1277</v>
      </c>
      <c r="C10" s="1118"/>
      <c r="D10" s="1118"/>
      <c r="E10" s="1118"/>
      <c r="F10" s="1118"/>
      <c r="G10" s="1118"/>
      <c r="H10" s="1118"/>
      <c r="I10" s="82"/>
      <c r="J10" s="83"/>
      <c r="K10" s="81"/>
      <c r="L10" s="81"/>
      <c r="M10" s="750">
        <f>'SUB-3'!M51</f>
        <v>569180</v>
      </c>
      <c r="N10" s="180"/>
      <c r="O10" s="180"/>
    </row>
    <row r="11" spans="1:19" s="85" customFormat="1" ht="25.5" hidden="1" customHeight="1">
      <c r="A11" s="81">
        <v>5</v>
      </c>
      <c r="B11" s="1118" t="s">
        <v>872</v>
      </c>
      <c r="C11" s="1118"/>
      <c r="D11" s="1118"/>
      <c r="E11" s="1118"/>
      <c r="F11" s="1118"/>
      <c r="G11" s="1118"/>
      <c r="H11" s="1118"/>
      <c r="I11" s="82"/>
      <c r="J11" s="83"/>
      <c r="K11" s="81"/>
      <c r="L11" s="81"/>
      <c r="M11" s="750">
        <f>'SUB-4'!M51</f>
        <v>0</v>
      </c>
      <c r="N11" s="180"/>
      <c r="O11" s="180"/>
    </row>
    <row r="12" spans="1:19" s="85" customFormat="1" ht="25.5" hidden="1" customHeight="1">
      <c r="A12" s="81">
        <v>6</v>
      </c>
      <c r="B12" s="1118" t="s">
        <v>873</v>
      </c>
      <c r="C12" s="1118"/>
      <c r="D12" s="1118"/>
      <c r="E12" s="1118"/>
      <c r="F12" s="1118"/>
      <c r="G12" s="1118"/>
      <c r="H12" s="1118"/>
      <c r="I12" s="82"/>
      <c r="J12" s="83"/>
      <c r="K12" s="81"/>
      <c r="L12" s="81"/>
      <c r="M12" s="750">
        <f>'sub-5'!M24</f>
        <v>0</v>
      </c>
      <c r="N12" s="180"/>
      <c r="O12" s="180"/>
    </row>
    <row r="13" spans="1:19" s="85" customFormat="1" ht="25.5" customHeight="1">
      <c r="A13" s="81">
        <v>3</v>
      </c>
      <c r="B13" s="1118" t="s">
        <v>1053</v>
      </c>
      <c r="C13" s="1118"/>
      <c r="D13" s="1118"/>
      <c r="E13" s="1118"/>
      <c r="F13" s="1118"/>
      <c r="G13" s="1118"/>
      <c r="H13" s="1118"/>
      <c r="I13" s="82"/>
      <c r="J13" s="83"/>
      <c r="K13" s="81"/>
      <c r="L13" s="81"/>
      <c r="M13" s="750">
        <f>'sub-6'!M33</f>
        <v>229409</v>
      </c>
      <c r="N13" s="180"/>
      <c r="O13" s="180"/>
    </row>
    <row r="14" spans="1:19" ht="16.5" customHeight="1">
      <c r="A14" s="73"/>
      <c r="B14" s="1128" t="s">
        <v>4</v>
      </c>
      <c r="C14" s="1129"/>
      <c r="D14" s="1129"/>
      <c r="E14" s="1129"/>
      <c r="F14" s="1129"/>
      <c r="G14" s="1129"/>
      <c r="H14" s="1130"/>
      <c r="I14" s="145"/>
      <c r="J14" s="146"/>
      <c r="K14" s="147"/>
      <c r="L14" s="46"/>
      <c r="M14" s="98">
        <f>SUM(M7:M13)</f>
        <v>10178493</v>
      </c>
    </row>
    <row r="15" spans="1:19" s="110" customFormat="1" ht="29.25" customHeight="1">
      <c r="A15" s="748">
        <v>4</v>
      </c>
      <c r="B15" s="1124" t="s">
        <v>379</v>
      </c>
      <c r="C15" s="1125"/>
      <c r="D15" s="1125"/>
      <c r="E15" s="1125"/>
      <c r="F15" s="1125"/>
      <c r="G15" s="1125"/>
      <c r="H15" s="1125"/>
      <c r="I15" s="697"/>
      <c r="J15" s="698"/>
      <c r="K15" s="699"/>
      <c r="L15" s="700"/>
      <c r="M15" s="701">
        <f>seigneorage!J84</f>
        <v>960158</v>
      </c>
      <c r="N15" s="704"/>
      <c r="O15" s="702"/>
      <c r="P15" s="703"/>
      <c r="Q15" s="703"/>
      <c r="R15" s="703"/>
      <c r="S15" s="703"/>
    </row>
    <row r="16" spans="1:19" s="110" customFormat="1" ht="21" customHeight="1">
      <c r="A16" s="748"/>
      <c r="B16" s="746"/>
      <c r="C16" s="747"/>
      <c r="D16" s="747"/>
      <c r="E16" s="747"/>
      <c r="F16" s="747"/>
      <c r="G16" s="747"/>
      <c r="H16" s="747"/>
      <c r="I16" s="697"/>
      <c r="J16" s="698"/>
      <c r="K16" s="699"/>
      <c r="L16" s="700"/>
      <c r="M16" s="705">
        <f>SUM(M14:M15)</f>
        <v>11138651</v>
      </c>
      <c r="N16" s="704"/>
      <c r="O16" s="702"/>
      <c r="P16" s="703"/>
      <c r="Q16" s="703"/>
      <c r="R16" s="703"/>
      <c r="S16" s="703"/>
    </row>
    <row r="17" spans="1:19" s="110" customFormat="1" ht="29.25" customHeight="1">
      <c r="A17" s="748">
        <v>5</v>
      </c>
      <c r="B17" s="1124" t="s">
        <v>645</v>
      </c>
      <c r="C17" s="1125"/>
      <c r="D17" s="1125"/>
      <c r="E17" s="1125"/>
      <c r="F17" s="1125"/>
      <c r="G17" s="1125"/>
      <c r="H17" s="1125"/>
      <c r="I17" s="697"/>
      <c r="J17" s="698"/>
      <c r="K17" s="699">
        <f>M14</f>
        <v>10178493</v>
      </c>
      <c r="L17" s="700" t="s">
        <v>881</v>
      </c>
      <c r="M17" s="701">
        <f>ROUND(K17*0.5%,0)</f>
        <v>50892</v>
      </c>
      <c r="N17" s="701"/>
      <c r="O17" s="702"/>
      <c r="P17" s="703"/>
      <c r="Q17" s="703"/>
      <c r="R17" s="703"/>
      <c r="S17" s="703"/>
    </row>
    <row r="18" spans="1:19" s="110" customFormat="1" ht="29.25" customHeight="1">
      <c r="A18" s="748">
        <v>6</v>
      </c>
      <c r="B18" s="1124" t="s">
        <v>884</v>
      </c>
      <c r="C18" s="1125"/>
      <c r="D18" s="1125"/>
      <c r="E18" s="1125"/>
      <c r="F18" s="1125"/>
      <c r="G18" s="1125"/>
      <c r="H18" s="1125"/>
      <c r="I18" s="697"/>
      <c r="J18" s="698"/>
      <c r="K18" s="699">
        <f>M16</f>
        <v>11138651</v>
      </c>
      <c r="L18" s="700" t="s">
        <v>896</v>
      </c>
      <c r="M18" s="701">
        <f>ROUND(K18*18%,0)</f>
        <v>2004957</v>
      </c>
      <c r="N18" s="701"/>
      <c r="O18" s="702"/>
      <c r="P18" s="703"/>
      <c r="Q18" s="703"/>
      <c r="R18" s="703"/>
      <c r="S18" s="703"/>
    </row>
    <row r="19" spans="1:19" s="110" customFormat="1" ht="29.25" hidden="1" customHeight="1">
      <c r="A19" s="748">
        <v>6</v>
      </c>
      <c r="B19" s="1124" t="s">
        <v>894</v>
      </c>
      <c r="C19" s="1125"/>
      <c r="D19" s="1125"/>
      <c r="E19" s="1125"/>
      <c r="F19" s="1125"/>
      <c r="G19" s="1125"/>
      <c r="H19" s="1125"/>
      <c r="I19" s="697"/>
      <c r="J19" s="698"/>
      <c r="K19" s="699"/>
      <c r="L19" s="700"/>
      <c r="M19" s="701">
        <v>0</v>
      </c>
      <c r="N19" s="701"/>
      <c r="O19" s="702"/>
      <c r="P19" s="703"/>
      <c r="Q19" s="703"/>
      <c r="R19" s="703"/>
      <c r="S19" s="703"/>
    </row>
    <row r="20" spans="1:19" s="110" customFormat="1" ht="29.25" hidden="1" customHeight="1">
      <c r="A20" s="748">
        <v>6</v>
      </c>
      <c r="B20" s="1124" t="s">
        <v>895</v>
      </c>
      <c r="C20" s="1125"/>
      <c r="D20" s="1125"/>
      <c r="E20" s="1125"/>
      <c r="F20" s="1125"/>
      <c r="G20" s="1125"/>
      <c r="H20" s="1125"/>
      <c r="I20" s="697"/>
      <c r="J20" s="698"/>
      <c r="K20" s="699"/>
      <c r="L20" s="700"/>
      <c r="M20" s="701"/>
      <c r="N20" s="701"/>
      <c r="O20" s="702"/>
      <c r="P20" s="703"/>
      <c r="Q20" s="703"/>
      <c r="R20" s="703"/>
      <c r="S20" s="703"/>
    </row>
    <row r="21" spans="1:19" s="110" customFormat="1" ht="29.25" customHeight="1">
      <c r="A21" s="748">
        <v>7</v>
      </c>
      <c r="B21" s="1124" t="s">
        <v>882</v>
      </c>
      <c r="C21" s="1125"/>
      <c r="D21" s="1125"/>
      <c r="E21" s="1125"/>
      <c r="F21" s="1125"/>
      <c r="G21" s="1125"/>
      <c r="H21" s="1125"/>
      <c r="I21" s="697"/>
      <c r="J21" s="698"/>
      <c r="K21" s="699"/>
      <c r="L21" s="700"/>
      <c r="M21" s="701">
        <f>O21</f>
        <v>805500</v>
      </c>
      <c r="O21" s="706">
        <f>O22-M16-M17-M18-M19-M20</f>
        <v>805500</v>
      </c>
      <c r="P21" s="703"/>
      <c r="Q21" s="703"/>
      <c r="R21" s="703"/>
      <c r="S21" s="703"/>
    </row>
    <row r="22" spans="1:19" s="110" customFormat="1">
      <c r="A22" s="700"/>
      <c r="B22" s="1126"/>
      <c r="C22" s="1126"/>
      <c r="D22" s="1126"/>
      <c r="E22" s="1126"/>
      <c r="F22" s="1126"/>
      <c r="G22" s="1126"/>
      <c r="H22" s="1126"/>
      <c r="I22" s="1127" t="s">
        <v>883</v>
      </c>
      <c r="J22" s="1127"/>
      <c r="K22" s="1127"/>
      <c r="L22" s="749"/>
      <c r="M22" s="705">
        <f>SUM(M16:M21)</f>
        <v>14000000</v>
      </c>
      <c r="N22" s="706"/>
      <c r="O22" s="110">
        <v>14000000</v>
      </c>
    </row>
    <row r="23" spans="1:19">
      <c r="A23" s="142"/>
      <c r="B23" s="143"/>
      <c r="C23" s="164"/>
      <c r="D23" s="143"/>
      <c r="E23" s="163"/>
      <c r="F23" s="143"/>
      <c r="G23" s="143"/>
      <c r="H23" s="143"/>
      <c r="I23" s="148"/>
      <c r="J23" s="148"/>
      <c r="K23" s="149"/>
      <c r="L23" s="149"/>
      <c r="M23" s="148"/>
    </row>
    <row r="24" spans="1:19">
      <c r="A24" s="142"/>
      <c r="B24" s="143"/>
      <c r="C24" s="164"/>
      <c r="D24" s="143"/>
      <c r="E24" s="163"/>
      <c r="F24" s="143"/>
      <c r="G24" s="143"/>
      <c r="H24" s="143"/>
      <c r="I24" s="148"/>
      <c r="J24" s="148"/>
      <c r="K24" s="149"/>
      <c r="L24" s="149"/>
      <c r="M24" s="148"/>
    </row>
    <row r="25" spans="1:19">
      <c r="A25" s="142"/>
      <c r="B25" s="143"/>
      <c r="C25" s="164"/>
      <c r="D25" s="143"/>
      <c r="E25" s="163"/>
      <c r="F25" s="143"/>
      <c r="G25" s="143"/>
      <c r="H25" s="143"/>
      <c r="I25" s="148"/>
      <c r="J25" s="148"/>
      <c r="K25" s="149"/>
      <c r="L25" s="149"/>
      <c r="M25" s="148"/>
    </row>
    <row r="26" spans="1:19">
      <c r="A26" s="142"/>
      <c r="B26" s="143"/>
      <c r="C26" s="164"/>
      <c r="D26" s="143"/>
      <c r="E26" s="163"/>
      <c r="F26" s="143"/>
      <c r="G26" s="143"/>
      <c r="H26" s="143"/>
      <c r="I26" s="148"/>
      <c r="J26" s="148"/>
      <c r="K26" s="149"/>
      <c r="L26" s="149"/>
      <c r="M26" s="148"/>
    </row>
    <row r="27" spans="1:19">
      <c r="A27" s="142"/>
      <c r="B27" s="143"/>
      <c r="C27" s="164"/>
      <c r="D27" s="143"/>
      <c r="E27" s="163"/>
      <c r="F27" s="143"/>
      <c r="G27" s="33" t="str">
        <f>'lead 2025-26'!$G$37</f>
        <v>Deputy Executive Engineer</v>
      </c>
      <c r="H27" s="143"/>
      <c r="I27" s="148"/>
      <c r="J27" s="148"/>
      <c r="K27" s="149"/>
      <c r="L27" s="144" t="str">
        <f>'lead 2025-26'!J37</f>
        <v>Assistant   Engineer</v>
      </c>
      <c r="M27" s="148"/>
    </row>
    <row r="28" spans="1:19">
      <c r="A28" s="142"/>
      <c r="B28" s="143"/>
      <c r="C28" s="164"/>
      <c r="D28" s="143"/>
      <c r="E28" s="163"/>
      <c r="F28" s="143"/>
      <c r="G28" s="33" t="str">
        <f>'lead 2025-26'!$G$38</f>
        <v>PRI Sub Division: Kanigiri</v>
      </c>
      <c r="H28" s="143"/>
      <c r="I28" s="148"/>
      <c r="J28" s="148"/>
      <c r="K28" s="149"/>
      <c r="L28" s="144" t="str">
        <f>'lead 2025-26'!J38</f>
        <v>Mandal Praja Parishad</v>
      </c>
      <c r="M28" s="148"/>
    </row>
    <row r="29" spans="1:19">
      <c r="A29" s="142"/>
      <c r="B29" s="143"/>
      <c r="C29" s="164"/>
      <c r="D29" s="143"/>
      <c r="E29" s="163"/>
      <c r="F29" s="143"/>
      <c r="G29" s="143"/>
      <c r="H29" s="143"/>
      <c r="I29" s="148"/>
      <c r="J29" s="148"/>
      <c r="K29" s="149"/>
      <c r="L29" s="144" t="str">
        <f>'lead 2025-26'!J39</f>
        <v>Pamuru</v>
      </c>
      <c r="M29" s="148"/>
    </row>
  </sheetData>
  <mergeCells count="28">
    <mergeCell ref="B21:H21"/>
    <mergeCell ref="B22:H22"/>
    <mergeCell ref="I22:K22"/>
    <mergeCell ref="B14:H14"/>
    <mergeCell ref="B8:H8"/>
    <mergeCell ref="B9:H9"/>
    <mergeCell ref="B10:H10"/>
    <mergeCell ref="B12:H12"/>
    <mergeCell ref="B18:H18"/>
    <mergeCell ref="B17:H17"/>
    <mergeCell ref="B11:H11"/>
    <mergeCell ref="B19:H19"/>
    <mergeCell ref="B20:H20"/>
    <mergeCell ref="B15:H15"/>
    <mergeCell ref="B13:H13"/>
    <mergeCell ref="L4:L5"/>
    <mergeCell ref="M4:M5"/>
    <mergeCell ref="I6:J6"/>
    <mergeCell ref="B7:H7"/>
    <mergeCell ref="A1:M1"/>
    <mergeCell ref="A2:B2"/>
    <mergeCell ref="C2:M2"/>
    <mergeCell ref="K3:L3"/>
    <mergeCell ref="A4:A5"/>
    <mergeCell ref="I4:J5"/>
    <mergeCell ref="K4:K5"/>
    <mergeCell ref="B4:H5"/>
    <mergeCell ref="B6:H6"/>
  </mergeCells>
  <printOptions horizontalCentered="1"/>
  <pageMargins left="0.23622047244094499" right="0.15748031496063" top="0.16" bottom="0.18" header="0.38" footer="0.16"/>
  <pageSetup paperSize="9" orientation="portrait" errors="blank"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Q90"/>
  <sheetViews>
    <sheetView showZeros="0" view="pageBreakPreview" topLeftCell="A59" zoomScale="115" zoomScaleNormal="115" zoomScaleSheetLayoutView="115" workbookViewId="0">
      <selection activeCell="J70" sqref="J70"/>
    </sheetView>
  </sheetViews>
  <sheetFormatPr defaultRowHeight="12.75"/>
  <cols>
    <col min="1" max="1" width="4.42578125" style="33" customWidth="1"/>
    <col min="2" max="2" width="23.42578125" style="22" customWidth="1"/>
    <col min="3" max="3" width="2.4257812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8.140625" style="34" customWidth="1"/>
    <col min="10" max="10" width="5.140625" style="34" customWidth="1"/>
    <col min="11" max="11" width="8.28515625" style="33" customWidth="1"/>
    <col min="12" max="12" width="6.28515625" style="33" customWidth="1"/>
    <col min="13" max="13" width="12.140625" style="22" customWidth="1"/>
    <col min="14" max="14" width="11" style="22" bestFit="1" customWidth="1"/>
    <col min="15" max="15" width="11.7109375" style="22" customWidth="1"/>
    <col min="16" max="16" width="9.140625" style="22"/>
    <col min="17" max="17" width="10.7109375" style="22" bestFit="1" customWidth="1"/>
    <col min="18" max="16384" width="9.140625" style="22"/>
  </cols>
  <sheetData>
    <row r="1" spans="1:17" ht="30" customHeight="1">
      <c r="A1" s="1102" t="s">
        <v>762</v>
      </c>
      <c r="B1" s="1102"/>
      <c r="C1" s="1102"/>
      <c r="D1" s="1102"/>
      <c r="E1" s="1102"/>
      <c r="F1" s="1102"/>
      <c r="G1" s="1102"/>
      <c r="H1" s="1102"/>
      <c r="I1" s="1102"/>
      <c r="J1" s="1102"/>
      <c r="K1" s="1102"/>
      <c r="L1" s="1102"/>
      <c r="M1" s="1102"/>
    </row>
    <row r="2" spans="1:17" s="56" customFormat="1" ht="45.75" customHeight="1">
      <c r="A2" s="1112" t="str">
        <f>'lead 2025-26'!B3</f>
        <v xml:space="preserve">Name of the work : </v>
      </c>
      <c r="B2" s="1112"/>
      <c r="C2" s="1113" t="str">
        <f>'lead 2025-26'!C3</f>
        <v>Providing BT Surface to the road from Inimerla SC colony to National Highway at Nuchupoda in Inimerla GP of Pamuru Mandal.</v>
      </c>
      <c r="D2" s="1113"/>
      <c r="E2" s="1113"/>
      <c r="F2" s="1113"/>
      <c r="G2" s="1113"/>
      <c r="H2" s="1113"/>
      <c r="I2" s="1113"/>
      <c r="J2" s="1113"/>
      <c r="K2" s="1113"/>
      <c r="L2" s="1113"/>
      <c r="M2" s="1113"/>
    </row>
    <row r="3" spans="1:17" s="56" customFormat="1" ht="16.5" customHeight="1">
      <c r="A3" s="58"/>
      <c r="B3" s="58"/>
      <c r="C3" s="59"/>
      <c r="D3" s="58"/>
      <c r="E3" s="60"/>
      <c r="F3" s="58"/>
      <c r="G3" s="58"/>
      <c r="H3" s="58"/>
      <c r="I3" s="59"/>
      <c r="J3" s="59"/>
      <c r="K3" s="1104" t="s">
        <v>160</v>
      </c>
      <c r="L3" s="1104"/>
      <c r="M3" s="57" t="str">
        <f>'lead 2025-26'!K4</f>
        <v>140.00 Lakhs</v>
      </c>
    </row>
    <row r="4" spans="1:17" s="61" customFormat="1" ht="15.75" customHeight="1">
      <c r="A4" s="1105" t="s">
        <v>36</v>
      </c>
      <c r="B4" s="1105" t="s">
        <v>15</v>
      </c>
      <c r="C4" s="1105" t="s">
        <v>16</v>
      </c>
      <c r="D4" s="1105"/>
      <c r="E4" s="1105"/>
      <c r="F4" s="1105" t="s">
        <v>17</v>
      </c>
      <c r="G4" s="1105"/>
      <c r="H4" s="1105"/>
      <c r="I4" s="1106" t="s">
        <v>14</v>
      </c>
      <c r="J4" s="1119"/>
      <c r="K4" s="1105" t="s">
        <v>18</v>
      </c>
      <c r="L4" s="1105" t="s">
        <v>8</v>
      </c>
      <c r="M4" s="1105" t="s">
        <v>19</v>
      </c>
    </row>
    <row r="5" spans="1:17" s="61" customFormat="1" ht="15.75">
      <c r="A5" s="1105"/>
      <c r="B5" s="1105"/>
      <c r="C5" s="1105"/>
      <c r="D5" s="1105"/>
      <c r="E5" s="1105"/>
      <c r="F5" s="651" t="s">
        <v>20</v>
      </c>
      <c r="G5" s="651" t="s">
        <v>21</v>
      </c>
      <c r="H5" s="651" t="s">
        <v>22</v>
      </c>
      <c r="I5" s="1108"/>
      <c r="J5" s="1120"/>
      <c r="K5" s="1105"/>
      <c r="L5" s="1105"/>
      <c r="M5" s="1105"/>
    </row>
    <row r="6" spans="1:17" s="62" customFormat="1" ht="15.75">
      <c r="A6" s="325">
        <v>1</v>
      </c>
      <c r="B6" s="325">
        <v>2</v>
      </c>
      <c r="C6" s="1131">
        <v>3</v>
      </c>
      <c r="D6" s="1131"/>
      <c r="E6" s="1131"/>
      <c r="F6" s="325">
        <v>4</v>
      </c>
      <c r="G6" s="325">
        <v>5</v>
      </c>
      <c r="H6" s="325">
        <v>6</v>
      </c>
      <c r="I6" s="1100">
        <v>7</v>
      </c>
      <c r="J6" s="1117"/>
      <c r="K6" s="326">
        <v>8</v>
      </c>
      <c r="L6" s="327">
        <v>9</v>
      </c>
      <c r="M6" s="325">
        <v>10</v>
      </c>
    </row>
    <row r="7" spans="1:17" s="85" customFormat="1" ht="56.25" hidden="1" customHeight="1">
      <c r="A7" s="81">
        <v>1</v>
      </c>
      <c r="B7" s="1118" t="s">
        <v>387</v>
      </c>
      <c r="C7" s="1118"/>
      <c r="D7" s="1118"/>
      <c r="E7" s="1118"/>
      <c r="F7" s="1118"/>
      <c r="G7" s="1118"/>
      <c r="H7" s="1118"/>
      <c r="I7" s="82"/>
      <c r="J7" s="83"/>
      <c r="K7" s="81"/>
      <c r="L7" s="81"/>
      <c r="M7" s="84"/>
      <c r="N7" s="180"/>
      <c r="O7" s="180"/>
    </row>
    <row r="8" spans="1:17" s="156" customFormat="1" hidden="1">
      <c r="A8" s="151"/>
      <c r="B8" s="166" t="s">
        <v>861</v>
      </c>
      <c r="C8" s="152">
        <v>1</v>
      </c>
      <c r="D8" s="153" t="s">
        <v>46</v>
      </c>
      <c r="E8" s="154">
        <v>1</v>
      </c>
      <c r="F8" s="94">
        <v>20</v>
      </c>
      <c r="G8" s="94">
        <v>0.3</v>
      </c>
      <c r="H8" s="160">
        <v>0.3</v>
      </c>
      <c r="I8" s="90">
        <f>ROUND(IF(AND(F8:H8),C8*E8*F8*G8*H8,IF(AND(F8,G8),C8*E8*F8*G8,IF(AND(F8,H8),C8*E8*F8*H8,IF(AND(G8,H8),C8*E8*G8*H8,IF(F8,C8*E8*F8,IF(G8,C8*E8*G8,IF(H8,C8*E8*H8,C8*E8))))))),2)</f>
        <v>1.8</v>
      </c>
      <c r="J8" s="91" t="s">
        <v>10</v>
      </c>
      <c r="K8" s="107"/>
      <c r="L8" s="151"/>
      <c r="M8" s="157"/>
      <c r="N8" s="155"/>
      <c r="Q8" s="155"/>
    </row>
    <row r="9" spans="1:17" s="156" customFormat="1" hidden="1">
      <c r="A9" s="151"/>
      <c r="B9" s="166"/>
      <c r="C9" s="152"/>
      <c r="D9" s="153"/>
      <c r="E9" s="154"/>
      <c r="F9" s="94"/>
      <c r="G9" s="94"/>
      <c r="H9" s="160"/>
      <c r="I9" s="90"/>
      <c r="J9" s="91"/>
      <c r="K9" s="107"/>
      <c r="L9" s="151"/>
      <c r="M9" s="157"/>
      <c r="N9" s="155"/>
      <c r="Q9" s="155"/>
    </row>
    <row r="10" spans="1:17" s="92" customFormat="1" hidden="1">
      <c r="A10" s="86"/>
      <c r="B10" s="86"/>
      <c r="C10" s="87"/>
      <c r="D10" s="88"/>
      <c r="E10" s="89"/>
      <c r="F10" s="86"/>
      <c r="G10" s="86"/>
      <c r="H10" s="86"/>
      <c r="I10" s="181"/>
      <c r="J10" s="182" t="s">
        <v>10</v>
      </c>
      <c r="K10" s="183">
        <f>'data 2025-26'!H8</f>
        <v>144.26</v>
      </c>
      <c r="L10" s="78" t="s">
        <v>23</v>
      </c>
      <c r="M10" s="185">
        <f>ROUND(I10*K10/1,0)</f>
        <v>0</v>
      </c>
    </row>
    <row r="11" spans="1:17" s="85" customFormat="1" ht="93.75" customHeight="1">
      <c r="A11" s="81">
        <v>1</v>
      </c>
      <c r="B11" s="1118" t="s">
        <v>785</v>
      </c>
      <c r="C11" s="1118"/>
      <c r="D11" s="1118"/>
      <c r="E11" s="1118"/>
      <c r="F11" s="1118"/>
      <c r="G11" s="1118"/>
      <c r="H11" s="1118"/>
      <c r="I11" s="82"/>
      <c r="J11" s="83"/>
      <c r="K11" s="81"/>
      <c r="L11" s="81"/>
      <c r="M11" s="84"/>
      <c r="N11" s="180">
        <f>N88</f>
        <v>0</v>
      </c>
      <c r="O11" s="180">
        <f>N83</f>
        <v>0</v>
      </c>
    </row>
    <row r="12" spans="1:17" s="156" customFormat="1">
      <c r="A12" s="151"/>
      <c r="B12" s="166" t="s">
        <v>1279</v>
      </c>
      <c r="C12" s="152">
        <v>1</v>
      </c>
      <c r="D12" s="153" t="s">
        <v>46</v>
      </c>
      <c r="E12" s="154">
        <v>2</v>
      </c>
      <c r="F12" s="94">
        <v>1680</v>
      </c>
      <c r="G12" s="94">
        <v>2</v>
      </c>
      <c r="H12" s="160">
        <v>0</v>
      </c>
      <c r="I12" s="90">
        <f>ROUND(IF(AND(F12:H12),C12*E12*F12*G12*H12,IF(AND(F12,G12),C12*E12*F12*G12,IF(AND(F12,H12),C12*E12*F12*H12,IF(AND(G12,H12),C12*E12*G12*H12,IF(F12,C12*E12*F12,IF(G12,C12*E12*G12,IF(H12,C12*E12*H12,C12*E12))))))),2)</f>
        <v>6720</v>
      </c>
      <c r="J12" s="91" t="s">
        <v>84</v>
      </c>
      <c r="K12" s="107"/>
      <c r="L12" s="151"/>
      <c r="M12" s="157"/>
      <c r="N12" s="155">
        <f>Abstract!M21</f>
        <v>805500</v>
      </c>
      <c r="Q12" s="155"/>
    </row>
    <row r="13" spans="1:17" s="156" customFormat="1">
      <c r="A13" s="151"/>
      <c r="B13" s="166"/>
      <c r="C13" s="152"/>
      <c r="D13" s="153"/>
      <c r="E13" s="154"/>
      <c r="F13" s="94"/>
      <c r="G13" s="94"/>
      <c r="H13" s="160"/>
      <c r="I13" s="90"/>
      <c r="J13" s="91"/>
      <c r="K13" s="107"/>
      <c r="L13" s="151"/>
      <c r="M13" s="157"/>
      <c r="N13" s="155"/>
      <c r="Q13" s="155"/>
    </row>
    <row r="14" spans="1:17" s="156" customFormat="1">
      <c r="A14" s="151"/>
      <c r="B14" s="166"/>
      <c r="C14" s="152"/>
      <c r="D14" s="153"/>
      <c r="E14" s="154"/>
      <c r="F14" s="94"/>
      <c r="G14" s="94"/>
      <c r="H14" s="160"/>
      <c r="I14" s="90">
        <f>SUM(I12:I13)</f>
        <v>6720</v>
      </c>
      <c r="J14" s="91" t="s">
        <v>84</v>
      </c>
      <c r="K14" s="107"/>
      <c r="L14" s="151"/>
      <c r="M14" s="157"/>
      <c r="N14" s="155"/>
      <c r="Q14" s="155"/>
    </row>
    <row r="15" spans="1:17" s="156" customFormat="1">
      <c r="A15" s="151"/>
      <c r="B15" s="166" t="s">
        <v>862</v>
      </c>
      <c r="C15" s="152"/>
      <c r="D15" s="153"/>
      <c r="E15" s="154"/>
      <c r="F15" s="94"/>
      <c r="G15" s="94"/>
      <c r="H15" s="160"/>
      <c r="I15" s="90">
        <f>-ROUND(I14*40%,2)</f>
        <v>-2688</v>
      </c>
      <c r="J15" s="91" t="s">
        <v>84</v>
      </c>
      <c r="K15" s="107"/>
      <c r="L15" s="151"/>
      <c r="M15" s="157"/>
      <c r="N15" s="155"/>
      <c r="Q15" s="155"/>
    </row>
    <row r="16" spans="1:17" s="156" customFormat="1">
      <c r="A16" s="151"/>
      <c r="B16" s="166"/>
      <c r="C16" s="152"/>
      <c r="D16" s="153"/>
      <c r="E16" s="154"/>
      <c r="F16" s="94"/>
      <c r="G16" s="94"/>
      <c r="H16" s="160"/>
      <c r="I16" s="90"/>
      <c r="J16" s="91"/>
      <c r="K16" s="107"/>
      <c r="L16" s="151"/>
      <c r="M16" s="157"/>
      <c r="N16" s="155"/>
      <c r="Q16" s="155"/>
    </row>
    <row r="17" spans="1:17" s="92" customFormat="1">
      <c r="A17" s="86"/>
      <c r="B17" s="86"/>
      <c r="C17" s="87"/>
      <c r="D17" s="88"/>
      <c r="E17" s="89"/>
      <c r="F17" s="86"/>
      <c r="G17" s="86"/>
      <c r="H17" s="86"/>
      <c r="I17" s="181">
        <f>SUM(I14:I16)</f>
        <v>4032</v>
      </c>
      <c r="J17" s="91" t="s">
        <v>84</v>
      </c>
      <c r="K17" s="183">
        <f>'data 2025-26'!H21</f>
        <v>2.25</v>
      </c>
      <c r="L17" s="78" t="s">
        <v>86</v>
      </c>
      <c r="M17" s="185">
        <f>ROUND(I17*K17/1,0)</f>
        <v>9072</v>
      </c>
    </row>
    <row r="18" spans="1:17" s="85" customFormat="1" ht="72" hidden="1" customHeight="1">
      <c r="A18" s="81">
        <v>3</v>
      </c>
      <c r="B18" s="1118" t="s">
        <v>777</v>
      </c>
      <c r="C18" s="1118"/>
      <c r="D18" s="1118"/>
      <c r="E18" s="1118"/>
      <c r="F18" s="1118"/>
      <c r="G18" s="1118"/>
      <c r="H18" s="1118"/>
      <c r="I18" s="82"/>
      <c r="J18" s="83"/>
      <c r="K18" s="81"/>
      <c r="L18" s="81"/>
      <c r="M18" s="84"/>
      <c r="N18" s="180">
        <f>N92</f>
        <v>0</v>
      </c>
      <c r="O18" s="180">
        <f>N89</f>
        <v>0</v>
      </c>
    </row>
    <row r="19" spans="1:17" s="156" customFormat="1" hidden="1">
      <c r="A19" s="151"/>
      <c r="B19" s="166"/>
      <c r="C19" s="152">
        <v>1</v>
      </c>
      <c r="D19" s="153" t="s">
        <v>46</v>
      </c>
      <c r="E19" s="154">
        <v>2</v>
      </c>
      <c r="F19" s="94">
        <v>2100</v>
      </c>
      <c r="G19" s="94">
        <v>1.7</v>
      </c>
      <c r="H19" s="160">
        <v>0.6</v>
      </c>
      <c r="I19" s="90">
        <f>ROUND(IF(AND(F19:H19),C19*E19*F19*G19*H19,IF(AND(F19,G19),C19*E19*F19*G19,IF(AND(F19,H19),C19*E19*F19*H19,IF(AND(G19,H19),C19*E19*G19*H19,IF(F19,C19*E19*F19,IF(G19,C19*E19*G19,IF(H19,C19*E19*H19,C19*E19))))))),2)</f>
        <v>4284</v>
      </c>
      <c r="J19" s="91" t="s">
        <v>10</v>
      </c>
      <c r="K19" s="107"/>
      <c r="L19" s="151"/>
      <c r="M19" s="157"/>
      <c r="N19" s="155"/>
      <c r="Q19" s="155"/>
    </row>
    <row r="20" spans="1:17" s="156" customFormat="1" hidden="1">
      <c r="A20" s="151"/>
      <c r="B20" s="166"/>
      <c r="C20" s="152"/>
      <c r="D20" s="153"/>
      <c r="E20" s="154"/>
      <c r="F20" s="94"/>
      <c r="G20" s="94"/>
      <c r="H20" s="160"/>
      <c r="I20" s="90"/>
      <c r="J20" s="91"/>
      <c r="K20" s="107"/>
      <c r="L20" s="151"/>
      <c r="M20" s="157"/>
      <c r="N20" s="155"/>
      <c r="Q20" s="155"/>
    </row>
    <row r="21" spans="1:17" s="92" customFormat="1" hidden="1">
      <c r="A21" s="86"/>
      <c r="B21" s="86"/>
      <c r="C21" s="87"/>
      <c r="D21" s="88"/>
      <c r="E21" s="89"/>
      <c r="F21" s="86"/>
      <c r="G21" s="86"/>
      <c r="H21" s="86"/>
      <c r="I21" s="181"/>
      <c r="J21" s="182" t="s">
        <v>10</v>
      </c>
      <c r="K21" s="183">
        <f>'data 2025-26'!H53</f>
        <v>98.65</v>
      </c>
      <c r="L21" s="78" t="s">
        <v>23</v>
      </c>
      <c r="M21" s="185">
        <f>ROUND(I21*K21/1,0)</f>
        <v>0</v>
      </c>
    </row>
    <row r="22" spans="1:17" s="85" customFormat="1" ht="72" customHeight="1">
      <c r="A22" s="81">
        <v>2</v>
      </c>
      <c r="B22" s="1118" t="s">
        <v>797</v>
      </c>
      <c r="C22" s="1118"/>
      <c r="D22" s="1118"/>
      <c r="E22" s="1118"/>
      <c r="F22" s="1118"/>
      <c r="G22" s="1118"/>
      <c r="H22" s="1118"/>
      <c r="I22" s="82"/>
      <c r="J22" s="83"/>
      <c r="K22" s="81"/>
      <c r="L22" s="81"/>
      <c r="M22" s="84"/>
      <c r="N22" s="180">
        <f>N96</f>
        <v>0</v>
      </c>
      <c r="O22" s="180">
        <f>N93</f>
        <v>0</v>
      </c>
    </row>
    <row r="23" spans="1:17" s="156" customFormat="1">
      <c r="A23" s="151"/>
      <c r="B23" s="166" t="str">
        <f>B12</f>
        <v>Km 0/0 to 1/6 + 80</v>
      </c>
      <c r="C23" s="152"/>
      <c r="D23" s="153"/>
      <c r="E23" s="154"/>
      <c r="F23" s="94"/>
      <c r="G23" s="94"/>
      <c r="H23" s="160"/>
      <c r="I23" s="90">
        <f>F12*2</f>
        <v>3360</v>
      </c>
      <c r="J23" s="91" t="s">
        <v>10</v>
      </c>
      <c r="K23" s="107"/>
      <c r="L23" s="151"/>
      <c r="M23" s="157"/>
      <c r="N23" s="155"/>
      <c r="O23" s="155">
        <f>N12</f>
        <v>805500</v>
      </c>
      <c r="Q23" s="155"/>
    </row>
    <row r="24" spans="1:17" s="156" customFormat="1">
      <c r="A24" s="151"/>
      <c r="B24" s="166"/>
      <c r="C24" s="152"/>
      <c r="D24" s="153"/>
      <c r="E24" s="154"/>
      <c r="F24" s="94"/>
      <c r="G24" s="94"/>
      <c r="H24" s="160"/>
      <c r="I24" s="90"/>
      <c r="J24" s="91"/>
      <c r="K24" s="107"/>
      <c r="L24" s="151"/>
      <c r="M24" s="157"/>
      <c r="N24" s="155"/>
      <c r="Q24" s="155"/>
    </row>
    <row r="25" spans="1:17" s="92" customFormat="1">
      <c r="A25" s="86"/>
      <c r="B25" s="86"/>
      <c r="C25" s="87"/>
      <c r="D25" s="88"/>
      <c r="E25" s="89"/>
      <c r="F25" s="86"/>
      <c r="G25" s="86"/>
      <c r="H25" s="86"/>
      <c r="I25" s="181">
        <f>SUM(I23:I24)</f>
        <v>3360</v>
      </c>
      <c r="J25" s="182" t="s">
        <v>10</v>
      </c>
      <c r="K25" s="183">
        <f>'data 2025-26'!H70</f>
        <v>236.56</v>
      </c>
      <c r="L25" s="78" t="s">
        <v>23</v>
      </c>
      <c r="M25" s="185">
        <f>ROUND(I25*K25/1,0)</f>
        <v>794842</v>
      </c>
    </row>
    <row r="26" spans="1:17" s="85" customFormat="1" ht="68.25" hidden="1" customHeight="1">
      <c r="A26" s="81">
        <v>4</v>
      </c>
      <c r="B26" s="1118" t="s">
        <v>1199</v>
      </c>
      <c r="C26" s="1118"/>
      <c r="D26" s="1118"/>
      <c r="E26" s="1118"/>
      <c r="F26" s="1118"/>
      <c r="G26" s="1118"/>
      <c r="H26" s="1118"/>
      <c r="I26" s="82"/>
      <c r="J26" s="83"/>
      <c r="K26" s="81"/>
      <c r="L26" s="81"/>
      <c r="M26" s="84"/>
      <c r="N26" s="180" t="e">
        <f>#REF!</f>
        <v>#REF!</v>
      </c>
      <c r="O26" s="180" t="e">
        <f>#REF!</f>
        <v>#REF!</v>
      </c>
    </row>
    <row r="27" spans="1:17" s="156" customFormat="1" hidden="1">
      <c r="A27" s="151"/>
      <c r="B27" s="166" t="s">
        <v>1216</v>
      </c>
      <c r="C27" s="152">
        <v>1</v>
      </c>
      <c r="D27" s="153" t="s">
        <v>46</v>
      </c>
      <c r="E27" s="154">
        <v>1</v>
      </c>
      <c r="F27" s="94">
        <v>103</v>
      </c>
      <c r="G27" s="94">
        <v>2.5</v>
      </c>
      <c r="H27" s="160">
        <v>0.17</v>
      </c>
      <c r="I27" s="90">
        <f t="shared" ref="I27" si="0">ROUND(IF(AND(F27:H27),C27*E27*F27*G27*H27,IF(AND(F27,G27),C27*E27*F27*G27,IF(AND(F27,H27),C27*E27*F27*H27,IF(AND(G27,H27),C27*E27*G27*H27,IF(F27,C27*E27*F27,IF(G27,C27*E27*G27,IF(H27,C27*E27*H27,C27*E27))))))),2)</f>
        <v>43.78</v>
      </c>
      <c r="J27" s="91" t="s">
        <v>10</v>
      </c>
      <c r="K27" s="107"/>
      <c r="L27" s="151"/>
      <c r="M27" s="157"/>
      <c r="N27" s="155"/>
      <c r="Q27" s="155"/>
    </row>
    <row r="28" spans="1:17" s="156" customFormat="1" hidden="1">
      <c r="A28" s="151"/>
      <c r="B28" s="166"/>
      <c r="C28" s="152"/>
      <c r="D28" s="153"/>
      <c r="E28" s="154"/>
      <c r="F28" s="94"/>
      <c r="G28" s="94"/>
      <c r="H28" s="160"/>
      <c r="I28" s="90"/>
      <c r="J28" s="91"/>
      <c r="K28" s="107"/>
      <c r="L28" s="151"/>
      <c r="M28" s="157"/>
      <c r="N28" s="155"/>
      <c r="Q28" s="155"/>
    </row>
    <row r="29" spans="1:17" s="92" customFormat="1" hidden="1">
      <c r="A29" s="86"/>
      <c r="B29" s="86"/>
      <c r="C29" s="87"/>
      <c r="D29" s="88"/>
      <c r="E29" s="89"/>
      <c r="F29" s="86"/>
      <c r="G29" s="86"/>
      <c r="H29" s="86"/>
      <c r="I29" s="181"/>
      <c r="J29" s="182" t="s">
        <v>10</v>
      </c>
      <c r="K29" s="183">
        <f>'CD WORK DATA'!H15</f>
        <v>1526.0100000000002</v>
      </c>
      <c r="L29" s="78" t="s">
        <v>23</v>
      </c>
      <c r="M29" s="185">
        <f>ROUND(I29*K29/1,0)</f>
        <v>0</v>
      </c>
    </row>
    <row r="30" spans="1:17" s="85" customFormat="1" ht="41.25" customHeight="1">
      <c r="A30" s="81">
        <v>3</v>
      </c>
      <c r="B30" s="1118" t="s">
        <v>262</v>
      </c>
      <c r="C30" s="1118"/>
      <c r="D30" s="1118"/>
      <c r="E30" s="1118"/>
      <c r="F30" s="1118"/>
      <c r="G30" s="1118"/>
      <c r="H30" s="1118"/>
      <c r="I30" s="82"/>
      <c r="J30" s="83"/>
      <c r="K30" s="81"/>
      <c r="L30" s="81"/>
      <c r="M30" s="84"/>
      <c r="N30" s="180">
        <f>N104</f>
        <v>0</v>
      </c>
      <c r="O30" s="180">
        <f>N101</f>
        <v>0</v>
      </c>
    </row>
    <row r="31" spans="1:17" s="156" customFormat="1">
      <c r="A31" s="151"/>
      <c r="B31" s="166" t="str">
        <f>B12</f>
        <v>Km 0/0 to 1/6 + 80</v>
      </c>
      <c r="C31" s="152">
        <v>1</v>
      </c>
      <c r="D31" s="153" t="s">
        <v>46</v>
      </c>
      <c r="E31" s="154">
        <v>1</v>
      </c>
      <c r="F31" s="94">
        <f>F12</f>
        <v>1680</v>
      </c>
      <c r="G31" s="94">
        <v>4</v>
      </c>
      <c r="H31" s="160">
        <v>0</v>
      </c>
      <c r="I31" s="90">
        <f>ROUND(IF(AND(F31:H31),C31*E31*F31*G31*H31,IF(AND(F31,G31),C31*E31*F31*G31,IF(AND(F31,H31),C31*E31*F31*H31,IF(AND(G31,H31),C31*E31*G31*H31,IF(F31,C31*E31*F31,IF(G31,C31*E31*G31,IF(H31,C31*E31*H31,C31*E31))))))),2)</f>
        <v>6720</v>
      </c>
      <c r="J31" s="91" t="s">
        <v>84</v>
      </c>
      <c r="K31" s="107"/>
      <c r="L31" s="151"/>
      <c r="M31" s="157"/>
      <c r="N31" s="155"/>
      <c r="Q31" s="155"/>
    </row>
    <row r="32" spans="1:17" s="156" customFormat="1">
      <c r="A32" s="151"/>
      <c r="B32" s="166"/>
      <c r="C32" s="152"/>
      <c r="D32" s="153"/>
      <c r="E32" s="154"/>
      <c r="F32" s="94"/>
      <c r="G32" s="94"/>
      <c r="H32" s="160"/>
      <c r="I32" s="90"/>
      <c r="J32" s="91"/>
      <c r="K32" s="107"/>
      <c r="L32" s="151"/>
      <c r="M32" s="157"/>
      <c r="N32" s="155"/>
      <c r="Q32" s="155"/>
    </row>
    <row r="33" spans="1:17" s="92" customFormat="1">
      <c r="A33" s="86"/>
      <c r="B33" s="86"/>
      <c r="C33" s="87"/>
      <c r="D33" s="88"/>
      <c r="E33" s="89"/>
      <c r="F33" s="86"/>
      <c r="G33" s="86"/>
      <c r="H33" s="86"/>
      <c r="I33" s="181">
        <f>SUM(I31:I32)</f>
        <v>6720</v>
      </c>
      <c r="J33" s="91" t="s">
        <v>84</v>
      </c>
      <c r="K33" s="183">
        <f>'data 2025-26'!H38</f>
        <v>38.49</v>
      </c>
      <c r="L33" s="78" t="s">
        <v>86</v>
      </c>
      <c r="M33" s="185">
        <f>ROUND(I33*K33/1,0)</f>
        <v>258653</v>
      </c>
    </row>
    <row r="34" spans="1:17" s="85" customFormat="1" ht="68.25" hidden="1" customHeight="1">
      <c r="A34" s="81">
        <v>6</v>
      </c>
      <c r="B34" s="1118" t="s">
        <v>1192</v>
      </c>
      <c r="C34" s="1118"/>
      <c r="D34" s="1118"/>
      <c r="E34" s="1118"/>
      <c r="F34" s="1118"/>
      <c r="G34" s="1118"/>
      <c r="H34" s="1118"/>
      <c r="I34" s="82"/>
      <c r="J34" s="83"/>
      <c r="K34" s="81"/>
      <c r="L34" s="81"/>
      <c r="M34" s="84"/>
    </row>
    <row r="35" spans="1:17" s="156" customFormat="1" hidden="1">
      <c r="A35" s="151"/>
      <c r="B35" s="166" t="str">
        <f>B31</f>
        <v>Km 0/0 to 1/6 + 80</v>
      </c>
      <c r="C35" s="152">
        <v>1</v>
      </c>
      <c r="D35" s="153" t="s">
        <v>46</v>
      </c>
      <c r="E35" s="154">
        <v>1</v>
      </c>
      <c r="F35" s="94">
        <v>145</v>
      </c>
      <c r="G35" s="94">
        <v>7.5</v>
      </c>
      <c r="H35" s="160">
        <v>0.22500000000000001</v>
      </c>
      <c r="I35" s="90">
        <f>ROUND(IF(AND(F35:H35),C35*E35*F35*G35*H35,IF(AND(F35,G35),C35*E35*F35*G35,IF(AND(F35,H35),C35*E35*F35*H35,IF(AND(G35,H35),C35*E35*G35*H35,IF(F35,C35*E35*F35,IF(G35,C35*E35*G35,IF(H35,C35*E35*H35,C35*E35))))))),2)</f>
        <v>244.69</v>
      </c>
      <c r="J35" s="91" t="s">
        <v>10</v>
      </c>
      <c r="K35" s="107"/>
      <c r="L35" s="151"/>
      <c r="M35" s="157"/>
      <c r="N35" s="155"/>
      <c r="Q35" s="155"/>
    </row>
    <row r="36" spans="1:17" s="156" customFormat="1" hidden="1">
      <c r="A36" s="151"/>
      <c r="B36" s="166" t="s">
        <v>1179</v>
      </c>
      <c r="C36" s="152">
        <v>1</v>
      </c>
      <c r="D36" s="153" t="s">
        <v>46</v>
      </c>
      <c r="E36" s="154">
        <v>1</v>
      </c>
      <c r="F36" s="94">
        <v>5.6</v>
      </c>
      <c r="G36" s="94">
        <v>7.5</v>
      </c>
      <c r="H36" s="160">
        <v>0.22500000000000001</v>
      </c>
      <c r="I36" s="90">
        <f>-ROUND(IF(AND(F36:H36),C36*E36*F36*G36*H36,IF(AND(F36,G36),C36*E36*F36*G36,IF(AND(F36,H36),C36*E36*F36*H36,IF(AND(G36,H36),C36*E36*G36*H36,IF(F36,C36*E36*F36,IF(G36,C36*E36*G36,IF(H36,C36*E36*H36,C36*E36))))))),2)</f>
        <v>-9.4499999999999993</v>
      </c>
      <c r="J36" s="91" t="s">
        <v>10</v>
      </c>
      <c r="K36" s="107"/>
      <c r="L36" s="151"/>
      <c r="M36" s="157"/>
      <c r="N36" s="155"/>
      <c r="Q36" s="155"/>
    </row>
    <row r="37" spans="1:17" s="156" customFormat="1" hidden="1">
      <c r="A37" s="151"/>
      <c r="B37" s="166" t="s">
        <v>1181</v>
      </c>
      <c r="C37" s="152">
        <v>1</v>
      </c>
      <c r="D37" s="153" t="s">
        <v>46</v>
      </c>
      <c r="E37" s="154">
        <v>1</v>
      </c>
      <c r="F37" s="94">
        <v>200</v>
      </c>
      <c r="G37" s="94">
        <v>7.5</v>
      </c>
      <c r="H37" s="160">
        <v>0.22500000000000001</v>
      </c>
      <c r="I37" s="90">
        <f t="shared" ref="I37:I41" si="1">ROUND(IF(AND(F37:H37),C37*E37*F37*G37*H37,IF(AND(F37,G37),C37*E37*F37*G37,IF(AND(F37,H37),C37*E37*F37*H37,IF(AND(G37,H37),C37*E37*G37*H37,IF(F37,C37*E37*F37,IF(G37,C37*E37*G37,IF(H37,C37*E37*H37,C37*E37))))))),2)</f>
        <v>337.5</v>
      </c>
      <c r="J37" s="91" t="s">
        <v>10</v>
      </c>
      <c r="K37" s="107"/>
      <c r="L37" s="151"/>
      <c r="M37" s="157"/>
      <c r="N37" s="155"/>
      <c r="Q37" s="155"/>
    </row>
    <row r="38" spans="1:17" s="156" customFormat="1" hidden="1">
      <c r="A38" s="151"/>
      <c r="B38" s="166" t="s">
        <v>1182</v>
      </c>
      <c r="C38" s="152">
        <v>1</v>
      </c>
      <c r="D38" s="153" t="s">
        <v>46</v>
      </c>
      <c r="E38" s="154">
        <v>1</v>
      </c>
      <c r="F38" s="94">
        <v>200</v>
      </c>
      <c r="G38" s="94">
        <v>7.5</v>
      </c>
      <c r="H38" s="160">
        <v>0.22500000000000001</v>
      </c>
      <c r="I38" s="90">
        <f t="shared" si="1"/>
        <v>337.5</v>
      </c>
      <c r="J38" s="91" t="s">
        <v>10</v>
      </c>
      <c r="K38" s="107"/>
      <c r="L38" s="151"/>
      <c r="M38" s="157"/>
      <c r="N38" s="155"/>
      <c r="Q38" s="155"/>
    </row>
    <row r="39" spans="1:17" s="156" customFormat="1" hidden="1">
      <c r="A39" s="151"/>
      <c r="B39" s="166" t="s">
        <v>1183</v>
      </c>
      <c r="C39" s="152">
        <v>1</v>
      </c>
      <c r="D39" s="153" t="s">
        <v>46</v>
      </c>
      <c r="E39" s="154">
        <v>1</v>
      </c>
      <c r="F39" s="94">
        <v>200</v>
      </c>
      <c r="G39" s="94">
        <v>7.5</v>
      </c>
      <c r="H39" s="160">
        <v>0.22500000000000001</v>
      </c>
      <c r="I39" s="90">
        <f t="shared" si="1"/>
        <v>337.5</v>
      </c>
      <c r="J39" s="91" t="s">
        <v>10</v>
      </c>
      <c r="K39" s="107"/>
      <c r="L39" s="151"/>
      <c r="M39" s="157"/>
      <c r="N39" s="155"/>
      <c r="Q39" s="155"/>
    </row>
    <row r="40" spans="1:17" s="156" customFormat="1" hidden="1">
      <c r="A40" s="151"/>
      <c r="B40" s="166" t="s">
        <v>1184</v>
      </c>
      <c r="C40" s="152">
        <v>1</v>
      </c>
      <c r="D40" s="153" t="s">
        <v>46</v>
      </c>
      <c r="E40" s="154">
        <v>1</v>
      </c>
      <c r="F40" s="94">
        <v>200</v>
      </c>
      <c r="G40" s="94">
        <v>7.5</v>
      </c>
      <c r="H40" s="160">
        <v>0.22500000000000001</v>
      </c>
      <c r="I40" s="90">
        <f t="shared" si="1"/>
        <v>337.5</v>
      </c>
      <c r="J40" s="91" t="s">
        <v>10</v>
      </c>
      <c r="K40" s="107"/>
      <c r="L40" s="151"/>
      <c r="M40" s="157"/>
      <c r="N40" s="155"/>
      <c r="Q40" s="155"/>
    </row>
    <row r="41" spans="1:17" s="156" customFormat="1" hidden="1">
      <c r="A41" s="151"/>
      <c r="B41" s="166" t="s">
        <v>1221</v>
      </c>
      <c r="C41" s="152">
        <v>1</v>
      </c>
      <c r="D41" s="153" t="s">
        <v>46</v>
      </c>
      <c r="E41" s="154">
        <v>1</v>
      </c>
      <c r="F41" s="94" t="e">
        <f>#REF!</f>
        <v>#REF!</v>
      </c>
      <c r="G41" s="94">
        <v>7.5</v>
      </c>
      <c r="H41" s="160">
        <v>0.22500000000000001</v>
      </c>
      <c r="I41" s="90" t="e">
        <f t="shared" si="1"/>
        <v>#REF!</v>
      </c>
      <c r="J41" s="91" t="s">
        <v>10</v>
      </c>
      <c r="K41" s="107"/>
      <c r="L41" s="151"/>
      <c r="M41" s="157"/>
      <c r="N41" s="155"/>
      <c r="Q41" s="155"/>
    </row>
    <row r="42" spans="1:17" s="156" customFormat="1" hidden="1">
      <c r="A42" s="151"/>
      <c r="B42" s="166"/>
      <c r="C42" s="152"/>
      <c r="D42" s="153"/>
      <c r="E42" s="154"/>
      <c r="F42" s="94"/>
      <c r="G42" s="94"/>
      <c r="H42" s="160"/>
      <c r="I42" s="90"/>
      <c r="J42" s="91"/>
      <c r="K42" s="107"/>
      <c r="L42" s="151"/>
      <c r="M42" s="157"/>
      <c r="N42" s="155"/>
      <c r="Q42" s="155"/>
    </row>
    <row r="43" spans="1:17" s="92" customFormat="1" hidden="1">
      <c r="A43" s="86"/>
      <c r="B43" s="86"/>
      <c r="C43" s="87"/>
      <c r="D43" s="88"/>
      <c r="E43" s="89"/>
      <c r="F43" s="86"/>
      <c r="G43" s="86"/>
      <c r="H43" s="86"/>
      <c r="I43" s="181"/>
      <c r="J43" s="91" t="s">
        <v>10</v>
      </c>
      <c r="K43" s="183">
        <f>'data 2025-26'!H228</f>
        <v>384.05</v>
      </c>
      <c r="L43" s="184" t="s">
        <v>23</v>
      </c>
      <c r="M43" s="185">
        <f>ROUND(I43*K43/1,0)</f>
        <v>0</v>
      </c>
    </row>
    <row r="44" spans="1:17" s="85" customFormat="1" ht="72" customHeight="1">
      <c r="A44" s="81">
        <v>4</v>
      </c>
      <c r="B44" s="1118" t="s">
        <v>111</v>
      </c>
      <c r="C44" s="1118"/>
      <c r="D44" s="1118"/>
      <c r="E44" s="1118"/>
      <c r="F44" s="1118"/>
      <c r="G44" s="1118"/>
      <c r="H44" s="1118"/>
      <c r="I44" s="82"/>
      <c r="J44" s="83"/>
      <c r="K44" s="81"/>
      <c r="L44" s="81"/>
      <c r="M44" s="84"/>
    </row>
    <row r="45" spans="1:17" s="156" customFormat="1">
      <c r="A45" s="151"/>
      <c r="B45" s="166" t="str">
        <f>B31</f>
        <v>Km 0/0 to 1/6 + 80</v>
      </c>
      <c r="C45" s="152">
        <v>1</v>
      </c>
      <c r="D45" s="153" t="s">
        <v>46</v>
      </c>
      <c r="E45" s="154">
        <v>1</v>
      </c>
      <c r="F45" s="94">
        <f>F31</f>
        <v>1680</v>
      </c>
      <c r="G45" s="94">
        <v>4</v>
      </c>
      <c r="H45" s="160">
        <v>0.1</v>
      </c>
      <c r="I45" s="90">
        <f>ROUND(IF(AND(F45:H45),C45*E45*F45*G45*H45,IF(AND(F45,G45),C45*E45*F45*G45,IF(AND(F45,H45),C45*E45*F45*H45,IF(AND(G45,H45),C45*E45*G45*H45,IF(F45,C45*E45*F45,IF(G45,C45*E45*G45,IF(H45,C45*E45*H45,C45*E45))))))),2)</f>
        <v>672</v>
      </c>
      <c r="J45" s="91" t="s">
        <v>10</v>
      </c>
      <c r="K45" s="107"/>
      <c r="L45" s="151"/>
      <c r="M45" s="157"/>
      <c r="N45" s="155"/>
      <c r="Q45" s="155"/>
    </row>
    <row r="46" spans="1:17" s="156" customFormat="1">
      <c r="A46" s="151"/>
      <c r="B46" s="166"/>
      <c r="C46" s="152"/>
      <c r="D46" s="153"/>
      <c r="E46" s="154"/>
      <c r="F46" s="94"/>
      <c r="G46" s="94"/>
      <c r="H46" s="160"/>
      <c r="I46" s="90"/>
      <c r="J46" s="91"/>
      <c r="K46" s="107"/>
      <c r="L46" s="151"/>
      <c r="M46" s="157"/>
      <c r="N46" s="155"/>
      <c r="Q46" s="155"/>
    </row>
    <row r="47" spans="1:17" s="92" customFormat="1">
      <c r="A47" s="86"/>
      <c r="B47" s="86"/>
      <c r="C47" s="87"/>
      <c r="D47" s="88"/>
      <c r="E47" s="89"/>
      <c r="F47" s="86"/>
      <c r="G47" s="86"/>
      <c r="H47" s="86"/>
      <c r="I47" s="181">
        <f>SUM(I45:I46)</f>
        <v>672</v>
      </c>
      <c r="J47" s="182" t="s">
        <v>10</v>
      </c>
      <c r="K47" s="183">
        <f>'data 2025-26'!H88</f>
        <v>2928.41</v>
      </c>
      <c r="L47" s="184" t="s">
        <v>23</v>
      </c>
      <c r="M47" s="185">
        <f>ROUND(I47*K47/1,0)</f>
        <v>1967892</v>
      </c>
    </row>
    <row r="48" spans="1:17" s="85" customFormat="1" ht="126.75" customHeight="1">
      <c r="A48" s="81">
        <v>5</v>
      </c>
      <c r="B48" s="1118" t="s">
        <v>697</v>
      </c>
      <c r="C48" s="1118"/>
      <c r="D48" s="1118"/>
      <c r="E48" s="1118"/>
      <c r="F48" s="1118"/>
      <c r="G48" s="1118"/>
      <c r="H48" s="1118"/>
      <c r="I48" s="82"/>
      <c r="J48" s="83"/>
      <c r="K48" s="81"/>
      <c r="L48" s="81"/>
      <c r="M48" s="84"/>
    </row>
    <row r="49" spans="1:17" s="156" customFormat="1">
      <c r="A49" s="151"/>
      <c r="B49" s="166" t="str">
        <f>B45</f>
        <v>Km 0/0 to 1/6 + 80</v>
      </c>
      <c r="C49" s="152">
        <v>1</v>
      </c>
      <c r="D49" s="153" t="s">
        <v>46</v>
      </c>
      <c r="E49" s="154">
        <v>1</v>
      </c>
      <c r="F49" s="94">
        <f>F45</f>
        <v>1680</v>
      </c>
      <c r="G49" s="94">
        <v>3.75</v>
      </c>
      <c r="H49" s="160">
        <v>0.15</v>
      </c>
      <c r="I49" s="90">
        <f>ROUND(IF(AND(F49:H49),C49*E49*F49*G49*H49,IF(AND(F49,G49),C49*E49*F49*G49,IF(AND(F49,H49),C49*E49*F49*H49,IF(AND(G49,H49),C49*E49*G49*H49,IF(F49,C49*E49*F49,IF(G49,C49*E49*G49,IF(H49,C49*E49*H49,C49*E49))))))),2)</f>
        <v>945</v>
      </c>
      <c r="J49" s="91" t="s">
        <v>10</v>
      </c>
      <c r="K49" s="107"/>
      <c r="L49" s="151"/>
      <c r="M49" s="157"/>
      <c r="N49" s="155"/>
      <c r="Q49" s="155"/>
    </row>
    <row r="50" spans="1:17" s="156" customFormat="1">
      <c r="A50" s="151"/>
      <c r="B50" s="166"/>
      <c r="C50" s="152"/>
      <c r="D50" s="153"/>
      <c r="E50" s="154"/>
      <c r="F50" s="94"/>
      <c r="G50" s="94"/>
      <c r="H50" s="160"/>
      <c r="I50" s="90"/>
      <c r="J50" s="91"/>
      <c r="K50" s="107"/>
      <c r="L50" s="151"/>
      <c r="M50" s="157"/>
      <c r="N50" s="155"/>
      <c r="Q50" s="155"/>
    </row>
    <row r="51" spans="1:17" s="92" customFormat="1">
      <c r="A51" s="86"/>
      <c r="B51" s="86"/>
      <c r="C51" s="87"/>
      <c r="D51" s="88"/>
      <c r="E51" s="89"/>
      <c r="F51" s="86"/>
      <c r="G51" s="86"/>
      <c r="H51" s="86"/>
      <c r="I51" s="181">
        <f>SUM(I49:I50)</f>
        <v>945</v>
      </c>
      <c r="J51" s="182" t="s">
        <v>10</v>
      </c>
      <c r="K51" s="183">
        <f>'data 2025-26'!H113</f>
        <v>3982.34</v>
      </c>
      <c r="L51" s="184" t="s">
        <v>23</v>
      </c>
      <c r="M51" s="185">
        <f>ROUND(I51*K51/1,0)</f>
        <v>3763311</v>
      </c>
    </row>
    <row r="52" spans="1:17" s="85" customFormat="1" ht="69.75" customHeight="1">
      <c r="A52" s="81">
        <v>6</v>
      </c>
      <c r="B52" s="1118" t="s">
        <v>703</v>
      </c>
      <c r="C52" s="1118"/>
      <c r="D52" s="1118"/>
      <c r="E52" s="1118"/>
      <c r="F52" s="1118"/>
      <c r="G52" s="1118"/>
      <c r="H52" s="1118"/>
      <c r="I52" s="82"/>
      <c r="J52" s="83"/>
      <c r="K52" s="81"/>
      <c r="L52" s="81"/>
      <c r="M52" s="84"/>
    </row>
    <row r="53" spans="1:17" s="156" customFormat="1">
      <c r="A53" s="151"/>
      <c r="B53" s="166" t="str">
        <f>B49</f>
        <v>Km 0/0 to 1/6 + 80</v>
      </c>
      <c r="C53" s="152">
        <v>1</v>
      </c>
      <c r="D53" s="153" t="s">
        <v>46</v>
      </c>
      <c r="E53" s="154">
        <v>1</v>
      </c>
      <c r="F53" s="94">
        <f>F49</f>
        <v>1680</v>
      </c>
      <c r="G53" s="94">
        <v>3.75</v>
      </c>
      <c r="H53" s="160">
        <v>0</v>
      </c>
      <c r="I53" s="90">
        <f>ROUND(IF(AND(F53:H53),C53*E53*F53*G53*H53,IF(AND(F53,G53),C53*E53*F53*G53,IF(AND(F53,H53),C53*E53*F53*H53,IF(AND(G53,H53),C53*E53*G53*H53,IF(F53,C53*E53*F53,IF(G53,C53*E53*G53,IF(H53,C53*E53*H53,C53*E53))))))),2)</f>
        <v>6300</v>
      </c>
      <c r="J53" s="91" t="s">
        <v>84</v>
      </c>
      <c r="K53" s="107"/>
      <c r="L53" s="151"/>
      <c r="M53" s="157"/>
      <c r="N53" s="155"/>
      <c r="Q53" s="155"/>
    </row>
    <row r="54" spans="1:17" s="156" customFormat="1">
      <c r="A54" s="151"/>
      <c r="B54" s="166"/>
      <c r="C54" s="152"/>
      <c r="D54" s="153"/>
      <c r="E54" s="154"/>
      <c r="F54" s="94"/>
      <c r="G54" s="94"/>
      <c r="H54" s="160"/>
      <c r="I54" s="90"/>
      <c r="J54" s="91"/>
      <c r="K54" s="107"/>
      <c r="L54" s="151"/>
      <c r="M54" s="157"/>
      <c r="N54" s="155"/>
      <c r="Q54" s="155"/>
    </row>
    <row r="55" spans="1:17" s="92" customFormat="1">
      <c r="A55" s="86"/>
      <c r="B55" s="86"/>
      <c r="C55" s="87"/>
      <c r="D55" s="88"/>
      <c r="E55" s="89"/>
      <c r="F55" s="86"/>
      <c r="G55" s="86"/>
      <c r="H55" s="86"/>
      <c r="I55" s="181">
        <f>SUM(I53:I54)</f>
        <v>6300</v>
      </c>
      <c r="J55" s="182" t="s">
        <v>84</v>
      </c>
      <c r="K55" s="183">
        <f>'data 2025-26'!H131</f>
        <v>42.54</v>
      </c>
      <c r="L55" s="184" t="s">
        <v>86</v>
      </c>
      <c r="M55" s="185">
        <f>ROUND(I55*K55/1,0)</f>
        <v>268002</v>
      </c>
    </row>
    <row r="56" spans="1:17" s="85" customFormat="1" ht="69.75" customHeight="1">
      <c r="A56" s="81">
        <v>7</v>
      </c>
      <c r="B56" s="1118" t="s">
        <v>711</v>
      </c>
      <c r="C56" s="1118"/>
      <c r="D56" s="1118"/>
      <c r="E56" s="1118"/>
      <c r="F56" s="1118"/>
      <c r="G56" s="1118"/>
      <c r="H56" s="1118"/>
      <c r="I56" s="82"/>
      <c r="J56" s="83"/>
      <c r="K56" s="81"/>
      <c r="L56" s="81"/>
      <c r="M56" s="84"/>
    </row>
    <row r="57" spans="1:17" s="156" customFormat="1">
      <c r="A57" s="151"/>
      <c r="B57" s="166" t="str">
        <f>B53</f>
        <v>Km 0/0 to 1/6 + 80</v>
      </c>
      <c r="C57" s="152">
        <v>1</v>
      </c>
      <c r="D57" s="153" t="s">
        <v>46</v>
      </c>
      <c r="E57" s="154">
        <v>1</v>
      </c>
      <c r="F57" s="94">
        <f>F53</f>
        <v>1680</v>
      </c>
      <c r="G57" s="94">
        <v>3.75</v>
      </c>
      <c r="H57" s="160">
        <v>0</v>
      </c>
      <c r="I57" s="90">
        <f>ROUND(IF(AND(F57:H57),C57*E57*F57*G57*H57,IF(AND(F57,G57),C57*E57*F57*G57,IF(AND(F57,H57),C57*E57*F57*H57,IF(AND(G57,H57),C57*E57*G57*H57,IF(F57,C57*E57*F57,IF(G57,C57*E57*G57,IF(H57,C57*E57*H57,C57*E57))))))),2)</f>
        <v>6300</v>
      </c>
      <c r="J57" s="91" t="s">
        <v>84</v>
      </c>
      <c r="K57" s="107"/>
      <c r="L57" s="151"/>
      <c r="M57" s="157"/>
      <c r="N57" s="155"/>
      <c r="Q57" s="155"/>
    </row>
    <row r="58" spans="1:17" s="156" customFormat="1">
      <c r="A58" s="151"/>
      <c r="B58" s="166"/>
      <c r="C58" s="152"/>
      <c r="D58" s="153"/>
      <c r="E58" s="154"/>
      <c r="F58" s="94"/>
      <c r="G58" s="94"/>
      <c r="H58" s="160"/>
      <c r="I58" s="90"/>
      <c r="J58" s="91"/>
      <c r="K58" s="107"/>
      <c r="L58" s="151"/>
      <c r="M58" s="157"/>
      <c r="N58" s="155"/>
      <c r="Q58" s="155"/>
    </row>
    <row r="59" spans="1:17" s="92" customFormat="1">
      <c r="A59" s="86"/>
      <c r="B59" s="86"/>
      <c r="C59" s="87"/>
      <c r="D59" s="88"/>
      <c r="E59" s="89"/>
      <c r="F59" s="86"/>
      <c r="G59" s="86"/>
      <c r="H59" s="86"/>
      <c r="I59" s="181">
        <f>SUM(I57:I58)</f>
        <v>6300</v>
      </c>
      <c r="J59" s="182" t="s">
        <v>84</v>
      </c>
      <c r="K59" s="183">
        <f>'data 2025-26'!H146</f>
        <v>16.239999999999998</v>
      </c>
      <c r="L59" s="184" t="s">
        <v>86</v>
      </c>
      <c r="M59" s="185">
        <f>ROUND(I59*K59/1,0)</f>
        <v>102312</v>
      </c>
    </row>
    <row r="60" spans="1:17" s="85" customFormat="1" ht="108.75" hidden="1" customHeight="1">
      <c r="A60" s="81">
        <v>11</v>
      </c>
      <c r="B60" s="1118" t="s">
        <v>1150</v>
      </c>
      <c r="C60" s="1118"/>
      <c r="D60" s="1118"/>
      <c r="E60" s="1118"/>
      <c r="F60" s="1118"/>
      <c r="G60" s="1118"/>
      <c r="H60" s="1118"/>
      <c r="I60" s="82"/>
      <c r="J60" s="83"/>
      <c r="K60" s="81"/>
      <c r="L60" s="81"/>
      <c r="M60" s="84"/>
    </row>
    <row r="61" spans="1:17" s="156" customFormat="1" hidden="1">
      <c r="A61" s="151"/>
      <c r="B61" s="166" t="s">
        <v>1180</v>
      </c>
      <c r="C61" s="152">
        <v>1</v>
      </c>
      <c r="D61" s="153" t="s">
        <v>46</v>
      </c>
      <c r="E61" s="154">
        <v>1</v>
      </c>
      <c r="F61" s="94">
        <v>145</v>
      </c>
      <c r="G61" s="94">
        <v>3.75</v>
      </c>
      <c r="H61" s="160">
        <v>0.05</v>
      </c>
      <c r="I61" s="90">
        <f>ROUND(IF(AND(F61:H61),C61*E61*F61*G61*H61,IF(AND(F61,G61),C61*E61*F61*G61,IF(AND(F61,H61),C61*E61*F61*H61,IF(AND(G61,H61),C61*E61*G61*H61,IF(F61,C61*E61*F61,IF(G61,C61*E61*G61,IF(H61,C61*E61*H61,C61*E61))))))),2)</f>
        <v>27.19</v>
      </c>
      <c r="J61" s="91" t="s">
        <v>10</v>
      </c>
      <c r="K61" s="107"/>
      <c r="L61" s="151"/>
      <c r="M61" s="157"/>
      <c r="N61" s="155"/>
      <c r="Q61" s="155"/>
    </row>
    <row r="62" spans="1:17" s="156" customFormat="1" hidden="1">
      <c r="A62" s="151"/>
      <c r="B62" s="166" t="s">
        <v>1179</v>
      </c>
      <c r="C62" s="152">
        <v>1</v>
      </c>
      <c r="D62" s="153" t="s">
        <v>46</v>
      </c>
      <c r="E62" s="154">
        <v>1</v>
      </c>
      <c r="F62" s="94">
        <v>5.6</v>
      </c>
      <c r="G62" s="94">
        <v>3.75</v>
      </c>
      <c r="H62" s="160">
        <v>0.05</v>
      </c>
      <c r="I62" s="90">
        <f>-ROUND(IF(AND(F62:H62),C62*E62*F62*G62*H62,IF(AND(F62,G62),C62*E62*F62*G62,IF(AND(F62,H62),C62*E62*F62*H62,IF(AND(G62,H62),C62*E62*G62*H62,IF(F62,C62*E62*F62,IF(G62,C62*E62*G62,IF(H62,C62*E62*H62,C62*E62))))))),2)</f>
        <v>-1.05</v>
      </c>
      <c r="J62" s="91" t="s">
        <v>10</v>
      </c>
      <c r="K62" s="107"/>
      <c r="L62" s="151"/>
      <c r="M62" s="157"/>
      <c r="N62" s="155"/>
      <c r="Q62" s="155"/>
    </row>
    <row r="63" spans="1:17" s="156" customFormat="1" hidden="1">
      <c r="A63" s="151"/>
      <c r="B63" s="166" t="s">
        <v>1181</v>
      </c>
      <c r="C63" s="152">
        <v>1</v>
      </c>
      <c r="D63" s="153" t="s">
        <v>46</v>
      </c>
      <c r="E63" s="154">
        <v>1</v>
      </c>
      <c r="F63" s="94">
        <v>200</v>
      </c>
      <c r="G63" s="94">
        <v>3.75</v>
      </c>
      <c r="H63" s="160">
        <v>0.05</v>
      </c>
      <c r="I63" s="90">
        <f t="shared" ref="I63:I67" si="2">ROUND(IF(AND(F63:H63),C63*E63*F63*G63*H63,IF(AND(F63,G63),C63*E63*F63*G63,IF(AND(F63,H63),C63*E63*F63*H63,IF(AND(G63,H63),C63*E63*G63*H63,IF(F63,C63*E63*F63,IF(G63,C63*E63*G63,IF(H63,C63*E63*H63,C63*E63))))))),2)</f>
        <v>37.5</v>
      </c>
      <c r="J63" s="91" t="s">
        <v>10</v>
      </c>
      <c r="K63" s="107"/>
      <c r="L63" s="151"/>
      <c r="M63" s="157"/>
      <c r="N63" s="155"/>
      <c r="Q63" s="155"/>
    </row>
    <row r="64" spans="1:17" s="156" customFormat="1" hidden="1">
      <c r="A64" s="151"/>
      <c r="B64" s="166" t="s">
        <v>1182</v>
      </c>
      <c r="C64" s="152">
        <v>1</v>
      </c>
      <c r="D64" s="153" t="s">
        <v>46</v>
      </c>
      <c r="E64" s="154">
        <v>1</v>
      </c>
      <c r="F64" s="94">
        <v>200</v>
      </c>
      <c r="G64" s="94">
        <v>3.75</v>
      </c>
      <c r="H64" s="160">
        <v>0.05</v>
      </c>
      <c r="I64" s="90">
        <f t="shared" si="2"/>
        <v>37.5</v>
      </c>
      <c r="J64" s="91" t="s">
        <v>10</v>
      </c>
      <c r="K64" s="107"/>
      <c r="L64" s="151"/>
      <c r="M64" s="157"/>
      <c r="N64" s="155"/>
      <c r="Q64" s="155"/>
    </row>
    <row r="65" spans="1:17" s="156" customFormat="1" hidden="1">
      <c r="A65" s="151"/>
      <c r="B65" s="166" t="s">
        <v>1183</v>
      </c>
      <c r="C65" s="152">
        <v>1</v>
      </c>
      <c r="D65" s="153" t="s">
        <v>46</v>
      </c>
      <c r="E65" s="154">
        <v>1</v>
      </c>
      <c r="F65" s="94">
        <v>200</v>
      </c>
      <c r="G65" s="94">
        <v>3.75</v>
      </c>
      <c r="H65" s="160">
        <v>0.05</v>
      </c>
      <c r="I65" s="90">
        <f t="shared" si="2"/>
        <v>37.5</v>
      </c>
      <c r="J65" s="91" t="s">
        <v>10</v>
      </c>
      <c r="K65" s="107"/>
      <c r="L65" s="151"/>
      <c r="M65" s="157"/>
      <c r="N65" s="155"/>
      <c r="Q65" s="155"/>
    </row>
    <row r="66" spans="1:17" s="156" customFormat="1" hidden="1">
      <c r="A66" s="151"/>
      <c r="B66" s="166" t="s">
        <v>1184</v>
      </c>
      <c r="C66" s="152">
        <v>1</v>
      </c>
      <c r="D66" s="153" t="s">
        <v>46</v>
      </c>
      <c r="E66" s="154">
        <v>1</v>
      </c>
      <c r="F66" s="94">
        <v>200</v>
      </c>
      <c r="G66" s="94">
        <v>3.75</v>
      </c>
      <c r="H66" s="160">
        <v>0.05</v>
      </c>
      <c r="I66" s="90">
        <f t="shared" si="2"/>
        <v>37.5</v>
      </c>
      <c r="J66" s="91" t="s">
        <v>10</v>
      </c>
      <c r="K66" s="107"/>
      <c r="L66" s="151"/>
      <c r="M66" s="157"/>
      <c r="N66" s="155"/>
      <c r="Q66" s="155"/>
    </row>
    <row r="67" spans="1:17" s="156" customFormat="1" hidden="1">
      <c r="A67" s="151"/>
      <c r="B67" s="166" t="s">
        <v>1220</v>
      </c>
      <c r="C67" s="152">
        <v>1</v>
      </c>
      <c r="D67" s="153" t="s">
        <v>46</v>
      </c>
      <c r="E67" s="154">
        <v>1</v>
      </c>
      <c r="F67" s="94" t="e">
        <f>#REF!</f>
        <v>#REF!</v>
      </c>
      <c r="G67" s="94">
        <v>3.75</v>
      </c>
      <c r="H67" s="160">
        <v>0.05</v>
      </c>
      <c r="I67" s="90" t="e">
        <f t="shared" si="2"/>
        <v>#REF!</v>
      </c>
      <c r="J67" s="91" t="s">
        <v>10</v>
      </c>
      <c r="K67" s="107"/>
      <c r="L67" s="151"/>
      <c r="M67" s="157"/>
      <c r="N67" s="155"/>
      <c r="Q67" s="155"/>
    </row>
    <row r="68" spans="1:17" s="156" customFormat="1" hidden="1">
      <c r="A68" s="151"/>
      <c r="B68" s="166"/>
      <c r="C68" s="152"/>
      <c r="D68" s="153"/>
      <c r="E68" s="154"/>
      <c r="F68" s="94"/>
      <c r="G68" s="94"/>
      <c r="H68" s="160"/>
      <c r="I68" s="90"/>
      <c r="J68" s="91"/>
      <c r="K68" s="107"/>
      <c r="L68" s="151"/>
      <c r="M68" s="157"/>
      <c r="N68" s="155"/>
      <c r="Q68" s="155"/>
    </row>
    <row r="69" spans="1:17" s="92" customFormat="1" hidden="1">
      <c r="A69" s="86"/>
      <c r="B69" s="86"/>
      <c r="C69" s="87"/>
      <c r="D69" s="88"/>
      <c r="E69" s="89"/>
      <c r="F69" s="86"/>
      <c r="G69" s="86"/>
      <c r="H69" s="86"/>
      <c r="I69" s="181"/>
      <c r="J69" s="91" t="s">
        <v>10</v>
      </c>
      <c r="K69" s="183">
        <f>'data 2025-26'!H179</f>
        <v>10500.24</v>
      </c>
      <c r="L69" s="184" t="s">
        <v>23</v>
      </c>
      <c r="M69" s="185">
        <f>ROUND(I69*K69/1,0)</f>
        <v>0</v>
      </c>
    </row>
    <row r="70" spans="1:17" s="85" customFormat="1" ht="123" customHeight="1">
      <c r="A70" s="81">
        <v>8</v>
      </c>
      <c r="B70" s="1118" t="s">
        <v>718</v>
      </c>
      <c r="C70" s="1118"/>
      <c r="D70" s="1118"/>
      <c r="E70" s="1118"/>
      <c r="F70" s="1118"/>
      <c r="G70" s="1118"/>
      <c r="H70" s="1118"/>
      <c r="I70" s="82"/>
      <c r="J70" s="83"/>
      <c r="K70" s="81"/>
      <c r="L70" s="81"/>
      <c r="M70" s="84"/>
    </row>
    <row r="71" spans="1:17" s="156" customFormat="1">
      <c r="A71" s="151"/>
      <c r="B71" s="166" t="str">
        <f>B57</f>
        <v>Km 0/0 to 1/6 + 80</v>
      </c>
      <c r="C71" s="152">
        <v>1</v>
      </c>
      <c r="D71" s="153" t="s">
        <v>46</v>
      </c>
      <c r="E71" s="154">
        <v>1</v>
      </c>
      <c r="F71" s="94">
        <f>F57</f>
        <v>1680</v>
      </c>
      <c r="G71" s="94">
        <v>3.75</v>
      </c>
      <c r="H71" s="160">
        <v>2.5000000000000001E-2</v>
      </c>
      <c r="I71" s="90">
        <f>ROUND(IF(AND(F71:H71),C71*E71*F71*G71*H71,IF(AND(F71,G71),C71*E71*F71*G71,IF(AND(F71,H71),C71*E71*F71*H71,IF(AND(G71,H71),C71*E71*G71*H71,IF(F71,C71*E71*F71,IF(G71,C71*E71*G71,IF(H71,C71*E71*H71,C71*E71))))))),2)</f>
        <v>157.5</v>
      </c>
      <c r="J71" s="91" t="s">
        <v>10</v>
      </c>
      <c r="K71" s="107"/>
      <c r="L71" s="151"/>
      <c r="M71" s="157"/>
      <c r="N71" s="155"/>
      <c r="Q71" s="155"/>
    </row>
    <row r="72" spans="1:17" s="156" customFormat="1">
      <c r="A72" s="151"/>
      <c r="B72" s="166"/>
      <c r="C72" s="152"/>
      <c r="D72" s="153"/>
      <c r="E72" s="154"/>
      <c r="F72" s="94"/>
      <c r="G72" s="94"/>
      <c r="H72" s="160"/>
      <c r="I72" s="90"/>
      <c r="J72" s="91"/>
      <c r="K72" s="107"/>
      <c r="L72" s="151"/>
      <c r="M72" s="157"/>
      <c r="N72" s="155"/>
      <c r="Q72" s="155"/>
    </row>
    <row r="73" spans="1:17" s="92" customFormat="1">
      <c r="A73" s="86"/>
      <c r="B73" s="86"/>
      <c r="C73" s="87"/>
      <c r="D73" s="88"/>
      <c r="E73" s="89"/>
      <c r="F73" s="86"/>
      <c r="G73" s="86"/>
      <c r="H73" s="86"/>
      <c r="I73" s="181">
        <f>SUM(I71:I72)</f>
        <v>157.5</v>
      </c>
      <c r="J73" s="91" t="s">
        <v>10</v>
      </c>
      <c r="K73" s="183">
        <f>'data 2025-26'!H212</f>
        <v>11856.57</v>
      </c>
      <c r="L73" s="184" t="s">
        <v>23</v>
      </c>
      <c r="M73" s="185">
        <f>ROUND(I73*K73/1,0)</f>
        <v>1867410</v>
      </c>
    </row>
    <row r="74" spans="1:17" s="85" customFormat="1" ht="95.25" customHeight="1">
      <c r="A74" s="81">
        <v>9</v>
      </c>
      <c r="B74" s="1118" t="s">
        <v>746</v>
      </c>
      <c r="C74" s="1118"/>
      <c r="D74" s="1118"/>
      <c r="E74" s="1118"/>
      <c r="F74" s="1118"/>
      <c r="G74" s="1118"/>
      <c r="H74" s="1118"/>
      <c r="I74" s="82"/>
      <c r="J74" s="83"/>
      <c r="K74" s="81"/>
      <c r="L74" s="81"/>
      <c r="M74" s="84"/>
    </row>
    <row r="75" spans="1:17" s="156" customFormat="1">
      <c r="A75" s="151"/>
      <c r="B75" s="166" t="str">
        <f>B71</f>
        <v>Km 0/0 to 1/6 + 80</v>
      </c>
      <c r="C75" s="152">
        <v>1</v>
      </c>
      <c r="D75" s="153" t="s">
        <v>46</v>
      </c>
      <c r="E75" s="154">
        <v>2</v>
      </c>
      <c r="F75" s="94">
        <f>F71</f>
        <v>1680</v>
      </c>
      <c r="G75" s="94">
        <v>1</v>
      </c>
      <c r="H75" s="160">
        <v>0.27</v>
      </c>
      <c r="I75" s="90">
        <f>ROUND(IF(AND(F75:H75),C75*E75*F75*G75*H75,IF(AND(F75,G75),C75*E75*F75*G75,IF(AND(F75,H75),C75*E75*F75*H75,IF(AND(G75,H75),C75*E75*G75*H75,IF(F75,C75*E75*F75,IF(G75,C75*E75*G75,IF(H75,C75*E75*H75,C75*E75))))))),2)</f>
        <v>907.2</v>
      </c>
      <c r="J75" s="91" t="s">
        <v>10</v>
      </c>
      <c r="K75" s="107"/>
      <c r="L75" s="151"/>
      <c r="M75" s="157"/>
      <c r="N75" s="155"/>
      <c r="Q75" s="155"/>
    </row>
    <row r="76" spans="1:17" s="156" customFormat="1">
      <c r="A76" s="151"/>
      <c r="B76" s="166"/>
      <c r="C76" s="152"/>
      <c r="D76" s="153"/>
      <c r="E76" s="154"/>
      <c r="F76" s="94"/>
      <c r="G76" s="94"/>
      <c r="H76" s="160"/>
      <c r="I76" s="90"/>
      <c r="J76" s="91"/>
      <c r="K76" s="107"/>
      <c r="L76" s="151"/>
      <c r="M76" s="157"/>
      <c r="N76" s="155"/>
      <c r="Q76" s="155"/>
    </row>
    <row r="77" spans="1:17" s="92" customFormat="1">
      <c r="A77" s="86"/>
      <c r="B77" s="86"/>
      <c r="C77" s="87"/>
      <c r="D77" s="88"/>
      <c r="E77" s="89"/>
      <c r="F77" s="86"/>
      <c r="G77" s="86"/>
      <c r="H77" s="86"/>
      <c r="I77" s="181">
        <f>SUM(I75:I76)</f>
        <v>907.2</v>
      </c>
      <c r="J77" s="91" t="s">
        <v>10</v>
      </c>
      <c r="K77" s="183">
        <f>'data 2025-26'!H228</f>
        <v>384.05</v>
      </c>
      <c r="L77" s="184" t="s">
        <v>23</v>
      </c>
      <c r="M77" s="185">
        <f>ROUND(I77*K77/1,0)</f>
        <v>348410</v>
      </c>
    </row>
    <row r="78" spans="1:17" ht="141.75" hidden="1" customHeight="1">
      <c r="A78" s="73">
        <v>14</v>
      </c>
      <c r="B78" s="1132" t="s">
        <v>891</v>
      </c>
      <c r="C78" s="1132"/>
      <c r="D78" s="1132"/>
      <c r="E78" s="1132"/>
      <c r="F78" s="1132"/>
      <c r="G78" s="1132"/>
      <c r="H78" s="1132"/>
      <c r="I78" s="821"/>
      <c r="J78" s="822"/>
      <c r="K78" s="823"/>
      <c r="L78" s="74"/>
      <c r="M78" s="620"/>
    </row>
    <row r="79" spans="1:17" s="156" customFormat="1" ht="38.25" hidden="1">
      <c r="A79" s="151"/>
      <c r="B79" s="166" t="s">
        <v>1175</v>
      </c>
      <c r="C79" s="152">
        <v>1</v>
      </c>
      <c r="D79" s="153" t="s">
        <v>46</v>
      </c>
      <c r="E79" s="154">
        <v>1</v>
      </c>
      <c r="F79" s="94">
        <v>103</v>
      </c>
      <c r="G79" s="94">
        <v>4</v>
      </c>
      <c r="H79" s="160">
        <v>0.17</v>
      </c>
      <c r="I79" s="90">
        <f>ROUND(IF(AND(F79:H79),C79*E79*F79*G79*H79,IF(AND(F79,G79),C79*E79*F79*G79,IF(AND(F79,H79),C79*E79*F79*H79,IF(AND(G79,H79),C79*E79*G79*H79,IF(F79,C79*E79*F79,IF(G79,C79*E79*G79,IF(H79,C79*E79*H79,C79*E79))))))),2)</f>
        <v>70.040000000000006</v>
      </c>
      <c r="J79" s="91" t="s">
        <v>10</v>
      </c>
      <c r="K79" s="107"/>
      <c r="L79" s="151"/>
      <c r="M79" s="157"/>
      <c r="N79" s="155"/>
      <c r="Q79" s="155"/>
    </row>
    <row r="80" spans="1:17" s="156" customFormat="1" hidden="1">
      <c r="A80" s="151"/>
      <c r="B80" s="166"/>
      <c r="C80" s="152"/>
      <c r="D80" s="153"/>
      <c r="E80" s="154"/>
      <c r="F80" s="94"/>
      <c r="G80" s="94"/>
      <c r="H80" s="160"/>
      <c r="I80" s="90"/>
      <c r="J80" s="91"/>
      <c r="K80" s="824"/>
      <c r="L80" s="151"/>
      <c r="M80" s="157"/>
      <c r="N80" s="155"/>
      <c r="Q80" s="155"/>
    </row>
    <row r="81" spans="1:13" hidden="1">
      <c r="A81" s="73"/>
      <c r="B81" s="825"/>
      <c r="C81" s="821"/>
      <c r="D81" s="826"/>
      <c r="E81" s="827"/>
      <c r="F81" s="828"/>
      <c r="G81" s="828"/>
      <c r="H81" s="828"/>
      <c r="I81" s="145"/>
      <c r="J81" s="161" t="s">
        <v>10</v>
      </c>
      <c r="K81" s="147">
        <f>'CD WORK DATA'!H223</f>
        <v>7873.37</v>
      </c>
      <c r="L81" s="184" t="s">
        <v>23</v>
      </c>
      <c r="M81" s="185">
        <f>ROUND(I81*K81/1,0)</f>
        <v>0</v>
      </c>
    </row>
    <row r="82" spans="1:13" s="92" customFormat="1">
      <c r="A82" s="86"/>
      <c r="B82" s="1067"/>
      <c r="C82" s="1068"/>
      <c r="D82" s="88"/>
      <c r="E82" s="1069"/>
      <c r="F82" s="88"/>
      <c r="G82" s="88"/>
      <c r="H82" s="1070"/>
      <c r="I82" s="181"/>
      <c r="J82" s="91"/>
      <c r="K82" s="1071"/>
      <c r="L82" s="184"/>
      <c r="M82" s="185"/>
    </row>
    <row r="83" spans="1:13">
      <c r="A83" s="73"/>
      <c r="B83" s="1128" t="s">
        <v>4</v>
      </c>
      <c r="C83" s="1129"/>
      <c r="D83" s="1129"/>
      <c r="E83" s="1129"/>
      <c r="F83" s="1129"/>
      <c r="G83" s="1129"/>
      <c r="H83" s="1130"/>
      <c r="I83" s="145"/>
      <c r="J83" s="146"/>
      <c r="K83" s="147"/>
      <c r="L83" s="46"/>
      <c r="M83" s="98">
        <f>SUM(M7:M82)</f>
        <v>9379904</v>
      </c>
    </row>
    <row r="84" spans="1:13">
      <c r="A84" s="142"/>
      <c r="B84" s="143"/>
      <c r="C84" s="164"/>
      <c r="D84" s="143"/>
      <c r="E84" s="163"/>
      <c r="F84" s="143"/>
      <c r="G84" s="143"/>
      <c r="H84" s="143"/>
      <c r="I84" s="148"/>
      <c r="J84" s="148"/>
      <c r="K84" s="149"/>
      <c r="L84" s="149"/>
      <c r="M84" s="148"/>
    </row>
    <row r="85" spans="1:13">
      <c r="A85" s="142"/>
      <c r="B85" s="143"/>
      <c r="C85" s="164"/>
      <c r="D85" s="143"/>
      <c r="E85" s="163"/>
      <c r="F85" s="143"/>
      <c r="G85" s="143"/>
      <c r="H85" s="143"/>
      <c r="I85" s="148"/>
      <c r="J85" s="148"/>
      <c r="K85" s="149"/>
      <c r="L85" s="149"/>
      <c r="M85" s="148"/>
    </row>
    <row r="86" spans="1:13">
      <c r="A86" s="142"/>
      <c r="B86" s="143"/>
      <c r="C86" s="164"/>
      <c r="D86" s="143"/>
      <c r="E86" s="163"/>
      <c r="F86" s="143"/>
      <c r="G86" s="143"/>
      <c r="H86" s="143"/>
      <c r="I86" s="148"/>
      <c r="J86" s="148"/>
      <c r="K86" s="149"/>
      <c r="L86" s="149"/>
      <c r="M86" s="148"/>
    </row>
    <row r="87" spans="1:13">
      <c r="A87" s="142"/>
      <c r="B87" s="143"/>
      <c r="C87" s="164"/>
      <c r="D87" s="143"/>
      <c r="E87" s="163"/>
      <c r="F87" s="143"/>
      <c r="G87" s="143"/>
      <c r="H87" s="143"/>
      <c r="I87" s="148"/>
      <c r="J87" s="148"/>
      <c r="K87" s="149"/>
      <c r="L87" s="149"/>
      <c r="M87" s="148"/>
    </row>
    <row r="88" spans="1:13">
      <c r="A88" s="142"/>
      <c r="B88" s="143"/>
      <c r="C88" s="164"/>
      <c r="D88" s="143"/>
      <c r="E88" s="163"/>
      <c r="F88" s="143"/>
      <c r="G88" s="33" t="str">
        <f>'lead 2025-26'!$G$37</f>
        <v>Deputy Executive Engineer</v>
      </c>
      <c r="H88" s="143"/>
      <c r="I88" s="148"/>
      <c r="J88" s="148"/>
      <c r="K88" s="149"/>
      <c r="L88" s="144" t="str">
        <f>'lead 2025-26'!J37</f>
        <v>Assistant   Engineer</v>
      </c>
      <c r="M88" s="148"/>
    </row>
    <row r="89" spans="1:13">
      <c r="A89" s="142"/>
      <c r="B89" s="143"/>
      <c r="C89" s="164"/>
      <c r="D89" s="143"/>
      <c r="E89" s="163"/>
      <c r="F89" s="143"/>
      <c r="G89" s="33" t="str">
        <f>'lead 2025-26'!$G$38</f>
        <v>PRI Sub Division: Kanigiri</v>
      </c>
      <c r="H89" s="143"/>
      <c r="I89" s="148"/>
      <c r="J89" s="148"/>
      <c r="K89" s="149"/>
      <c r="L89" s="144" t="str">
        <f>'lead 2025-26'!J38</f>
        <v>Mandal Praja Parishad</v>
      </c>
      <c r="M89" s="148"/>
    </row>
    <row r="90" spans="1:13">
      <c r="A90" s="142"/>
      <c r="B90" s="143"/>
      <c r="C90" s="164"/>
      <c r="D90" s="143"/>
      <c r="E90" s="163"/>
      <c r="F90" s="143"/>
      <c r="G90" s="143"/>
      <c r="H90" s="143"/>
      <c r="I90" s="148"/>
      <c r="J90" s="148"/>
      <c r="K90" s="149"/>
      <c r="L90" s="144" t="str">
        <f>'lead 2025-26'!J39</f>
        <v>Pamuru</v>
      </c>
      <c r="M90" s="148"/>
    </row>
  </sheetData>
  <mergeCells count="30">
    <mergeCell ref="B56:H56"/>
    <mergeCell ref="B70:H70"/>
    <mergeCell ref="B74:H74"/>
    <mergeCell ref="B83:H83"/>
    <mergeCell ref="C6:E6"/>
    <mergeCell ref="B18:H18"/>
    <mergeCell ref="B44:H44"/>
    <mergeCell ref="B11:H11"/>
    <mergeCell ref="B22:H22"/>
    <mergeCell ref="B30:H30"/>
    <mergeCell ref="B48:H48"/>
    <mergeCell ref="B52:H52"/>
    <mergeCell ref="B78:H78"/>
    <mergeCell ref="B60:H60"/>
    <mergeCell ref="B34:H34"/>
    <mergeCell ref="B26:H26"/>
    <mergeCell ref="I4:J5"/>
    <mergeCell ref="I6:J6"/>
    <mergeCell ref="B7:H7"/>
    <mergeCell ref="A1:M1"/>
    <mergeCell ref="C2:M2"/>
    <mergeCell ref="C4:E5"/>
    <mergeCell ref="A2:B2"/>
    <mergeCell ref="K3:L3"/>
    <mergeCell ref="A4:A5"/>
    <mergeCell ref="M4:M5"/>
    <mergeCell ref="L4:L5"/>
    <mergeCell ref="B4:B5"/>
    <mergeCell ref="K4:K5"/>
    <mergeCell ref="F4:H4"/>
  </mergeCells>
  <phoneticPr fontId="0" type="noConversion"/>
  <printOptions horizontalCentered="1"/>
  <pageMargins left="0.23622047244094499" right="0.15748031496063" top="0.16" bottom="0.18" header="0.38" footer="0.16"/>
  <pageSetup paperSize="9" orientation="portrait" errors="blank"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S68"/>
  <sheetViews>
    <sheetView showZeros="0" view="pageBreakPreview" topLeftCell="A31" zoomScale="115" zoomScaleNormal="115" zoomScaleSheetLayoutView="115" workbookViewId="0">
      <selection activeCell="I37" sqref="I37"/>
    </sheetView>
  </sheetViews>
  <sheetFormatPr defaultRowHeight="12.75"/>
  <cols>
    <col min="1" max="1" width="4.42578125" style="33" customWidth="1"/>
    <col min="2" max="2" width="23.42578125" style="22" customWidth="1"/>
    <col min="3" max="3" width="2.710937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0.28515625" style="22" bestFit="1" customWidth="1"/>
    <col min="15" max="15" width="11.7109375" style="22" customWidth="1"/>
    <col min="16" max="16" width="9.140625" style="22"/>
    <col min="17" max="17" width="10.7109375" style="22" bestFit="1" customWidth="1"/>
    <col min="18" max="16384" width="9.140625" style="22"/>
  </cols>
  <sheetData>
    <row r="1" spans="1:17" ht="30" customHeight="1">
      <c r="A1" s="1102" t="s">
        <v>863</v>
      </c>
      <c r="B1" s="1102"/>
      <c r="C1" s="1102"/>
      <c r="D1" s="1102"/>
      <c r="E1" s="1102"/>
      <c r="F1" s="1102"/>
      <c r="G1" s="1102"/>
      <c r="H1" s="1102"/>
      <c r="I1" s="1102"/>
      <c r="J1" s="1102"/>
      <c r="K1" s="1102"/>
      <c r="L1" s="1102"/>
      <c r="M1" s="1102"/>
    </row>
    <row r="2" spans="1:17" s="56" customFormat="1" ht="39" customHeight="1">
      <c r="A2" s="1112" t="str">
        <f>'lead 2025-26'!B3</f>
        <v xml:space="preserve">Name of the work : </v>
      </c>
      <c r="B2" s="1112"/>
      <c r="C2" s="1113" t="str">
        <f>'lead 2025-26'!C3</f>
        <v>Providing BT Surface to the road from Inimerla SC colony to National Highway at Nuchupoda in Inimerla GP of Pamuru Mandal.</v>
      </c>
      <c r="D2" s="1113"/>
      <c r="E2" s="1113"/>
      <c r="F2" s="1113"/>
      <c r="G2" s="1113"/>
      <c r="H2" s="1113"/>
      <c r="I2" s="1113"/>
      <c r="J2" s="1113"/>
      <c r="K2" s="1113"/>
      <c r="L2" s="1113"/>
      <c r="M2" s="1113"/>
    </row>
    <row r="3" spans="1:17" s="56" customFormat="1" ht="35.25" customHeight="1">
      <c r="A3" s="1112" t="s">
        <v>864</v>
      </c>
      <c r="B3" s="1112"/>
      <c r="C3" s="1113" t="s">
        <v>1217</v>
      </c>
      <c r="D3" s="1113"/>
      <c r="E3" s="1113"/>
      <c r="F3" s="1113"/>
      <c r="G3" s="1113"/>
      <c r="H3" s="1113"/>
      <c r="I3" s="1113"/>
      <c r="J3" s="1113"/>
      <c r="K3" s="1113"/>
      <c r="L3" s="1113"/>
      <c r="M3" s="1113"/>
    </row>
    <row r="4" spans="1:17" s="61" customFormat="1" ht="15.75" customHeight="1">
      <c r="A4" s="1105" t="s">
        <v>36</v>
      </c>
      <c r="B4" s="1105" t="s">
        <v>15</v>
      </c>
      <c r="C4" s="1105" t="s">
        <v>16</v>
      </c>
      <c r="D4" s="1105"/>
      <c r="E4" s="1105"/>
      <c r="F4" s="1105" t="s">
        <v>17</v>
      </c>
      <c r="G4" s="1105"/>
      <c r="H4" s="1105"/>
      <c r="I4" s="1106" t="s">
        <v>14</v>
      </c>
      <c r="J4" s="1119"/>
      <c r="K4" s="1105" t="s">
        <v>18</v>
      </c>
      <c r="L4" s="1105" t="s">
        <v>8</v>
      </c>
      <c r="M4" s="1105" t="s">
        <v>19</v>
      </c>
    </row>
    <row r="5" spans="1:17" s="61" customFormat="1" ht="15.75">
      <c r="A5" s="1105"/>
      <c r="B5" s="1105"/>
      <c r="C5" s="1105"/>
      <c r="D5" s="1105"/>
      <c r="E5" s="1105"/>
      <c r="F5" s="651" t="s">
        <v>20</v>
      </c>
      <c r="G5" s="651" t="s">
        <v>21</v>
      </c>
      <c r="H5" s="651" t="s">
        <v>22</v>
      </c>
      <c r="I5" s="1108"/>
      <c r="J5" s="1120"/>
      <c r="K5" s="1105"/>
      <c r="L5" s="1105"/>
      <c r="M5" s="1105"/>
    </row>
    <row r="6" spans="1:17" s="62" customFormat="1" ht="15.75">
      <c r="A6" s="325">
        <v>1</v>
      </c>
      <c r="B6" s="325">
        <v>2</v>
      </c>
      <c r="C6" s="1131">
        <v>3</v>
      </c>
      <c r="D6" s="1131"/>
      <c r="E6" s="1131"/>
      <c r="F6" s="325">
        <v>4</v>
      </c>
      <c r="G6" s="325">
        <v>5</v>
      </c>
      <c r="H6" s="325">
        <v>6</v>
      </c>
      <c r="I6" s="1100">
        <v>7</v>
      </c>
      <c r="J6" s="1117"/>
      <c r="K6" s="326">
        <v>8</v>
      </c>
      <c r="L6" s="327">
        <v>9</v>
      </c>
      <c r="M6" s="325">
        <v>10</v>
      </c>
    </row>
    <row r="7" spans="1:17" s="85" customFormat="1" ht="68.25" customHeight="1">
      <c r="A7" s="81">
        <v>1</v>
      </c>
      <c r="B7" s="1118" t="s">
        <v>1199</v>
      </c>
      <c r="C7" s="1118"/>
      <c r="D7" s="1118"/>
      <c r="E7" s="1118"/>
      <c r="F7" s="1118"/>
      <c r="G7" s="1118"/>
      <c r="H7" s="1118"/>
      <c r="I7" s="82"/>
      <c r="J7" s="83"/>
      <c r="K7" s="81"/>
      <c r="L7" s="81"/>
      <c r="M7" s="84"/>
      <c r="N7" s="180">
        <f>N76</f>
        <v>0</v>
      </c>
      <c r="O7" s="180">
        <f>N73</f>
        <v>0</v>
      </c>
    </row>
    <row r="8" spans="1:17" s="156" customFormat="1">
      <c r="A8" s="151"/>
      <c r="B8" s="166" t="s">
        <v>1206</v>
      </c>
      <c r="C8" s="152">
        <v>1</v>
      </c>
      <c r="D8" s="153" t="s">
        <v>46</v>
      </c>
      <c r="E8" s="154">
        <v>1</v>
      </c>
      <c r="F8" s="94">
        <v>6</v>
      </c>
      <c r="G8" s="94">
        <v>2.9</v>
      </c>
      <c r="H8" s="160">
        <v>0.2</v>
      </c>
      <c r="I8" s="90">
        <f t="shared" ref="I8" si="0">ROUND(IF(AND(F8:H8),C8*E8*F8*G8*H8,IF(AND(F8,G8),C8*E8*F8*G8,IF(AND(F8,H8),C8*E8*F8*H8,IF(AND(G8,H8),C8*E8*G8*H8,IF(F8,C8*E8*F8,IF(G8,C8*E8*G8,IF(H8,C8*E8*H8,C8*E8))))))),2)</f>
        <v>3.48</v>
      </c>
      <c r="J8" s="91" t="s">
        <v>10</v>
      </c>
      <c r="K8" s="107"/>
      <c r="L8" s="151"/>
      <c r="M8" s="157"/>
      <c r="N8" s="155"/>
      <c r="Q8" s="155"/>
    </row>
    <row r="9" spans="1:17" s="156" customFormat="1">
      <c r="A9" s="151"/>
      <c r="B9" s="166"/>
      <c r="C9" s="152"/>
      <c r="D9" s="153"/>
      <c r="E9" s="154"/>
      <c r="F9" s="94"/>
      <c r="G9" s="94"/>
      <c r="H9" s="160"/>
      <c r="I9" s="90"/>
      <c r="J9" s="91"/>
      <c r="K9" s="107"/>
      <c r="L9" s="151"/>
      <c r="M9" s="157"/>
      <c r="N9" s="155"/>
      <c r="Q9" s="155"/>
    </row>
    <row r="10" spans="1:17" s="92" customFormat="1">
      <c r="A10" s="86"/>
      <c r="B10" s="86"/>
      <c r="C10" s="87"/>
      <c r="D10" s="88"/>
      <c r="E10" s="89"/>
      <c r="F10" s="86"/>
      <c r="G10" s="86"/>
      <c r="H10" s="86"/>
      <c r="I10" s="181"/>
      <c r="J10" s="182" t="s">
        <v>10</v>
      </c>
      <c r="K10" s="183">
        <f>'CD WORK DATA'!H15</f>
        <v>1526.0100000000002</v>
      </c>
      <c r="L10" s="78" t="s">
        <v>23</v>
      </c>
      <c r="M10" s="185">
        <f>ROUND(I10*K10/1,0)</f>
        <v>0</v>
      </c>
    </row>
    <row r="11" spans="1:17" s="85" customFormat="1" ht="68.25" customHeight="1">
      <c r="A11" s="81">
        <v>2</v>
      </c>
      <c r="B11" s="1118" t="s">
        <v>1207</v>
      </c>
      <c r="C11" s="1118"/>
      <c r="D11" s="1118"/>
      <c r="E11" s="1118"/>
      <c r="F11" s="1118"/>
      <c r="G11" s="1118"/>
      <c r="H11" s="1118"/>
      <c r="I11" s="82"/>
      <c r="J11" s="83"/>
      <c r="K11" s="81"/>
      <c r="L11" s="81"/>
      <c r="M11" s="84"/>
      <c r="N11" s="180">
        <f>N80</f>
        <v>0</v>
      </c>
      <c r="O11" s="180">
        <f>N77</f>
        <v>0</v>
      </c>
    </row>
    <row r="12" spans="1:17" s="156" customFormat="1">
      <c r="A12" s="151"/>
      <c r="B12" s="166" t="s">
        <v>1206</v>
      </c>
      <c r="C12" s="152">
        <v>1</v>
      </c>
      <c r="D12" s="153" t="s">
        <v>46</v>
      </c>
      <c r="E12" s="154">
        <v>2</v>
      </c>
      <c r="F12" s="94">
        <v>6</v>
      </c>
      <c r="G12" s="94">
        <v>0.45</v>
      </c>
      <c r="H12" s="160">
        <v>0.6</v>
      </c>
      <c r="I12" s="90">
        <f t="shared" ref="I12" si="1">ROUND(IF(AND(F12:H12),C12*E12*F12*G12*H12,IF(AND(F12,G12),C12*E12*F12*G12,IF(AND(F12,H12),C12*E12*F12*H12,IF(AND(G12,H12),C12*E12*G12*H12,IF(F12,C12*E12*F12,IF(G12,C12*E12*G12,IF(H12,C12*E12*H12,C12*E12))))))),2)</f>
        <v>3.24</v>
      </c>
      <c r="J12" s="91" t="s">
        <v>10</v>
      </c>
      <c r="K12" s="107"/>
      <c r="L12" s="151"/>
      <c r="M12" s="157"/>
      <c r="N12" s="155"/>
      <c r="Q12" s="155"/>
    </row>
    <row r="13" spans="1:17" s="156" customFormat="1">
      <c r="A13" s="151"/>
      <c r="B13" s="166"/>
      <c r="C13" s="152"/>
      <c r="D13" s="153"/>
      <c r="E13" s="154"/>
      <c r="F13" s="94"/>
      <c r="G13" s="94"/>
      <c r="H13" s="160"/>
      <c r="I13" s="90"/>
      <c r="J13" s="91"/>
      <c r="K13" s="107"/>
      <c r="L13" s="151"/>
      <c r="M13" s="157"/>
      <c r="N13" s="155"/>
      <c r="Q13" s="155"/>
    </row>
    <row r="14" spans="1:17" s="92" customFormat="1">
      <c r="A14" s="86"/>
      <c r="B14" s="86"/>
      <c r="C14" s="87"/>
      <c r="D14" s="88"/>
      <c r="E14" s="89"/>
      <c r="F14" s="86"/>
      <c r="G14" s="86"/>
      <c r="H14" s="86"/>
      <c r="I14" s="181"/>
      <c r="J14" s="182" t="s">
        <v>10</v>
      </c>
      <c r="K14" s="183">
        <f>'CD WORK DATA'!H26</f>
        <v>500.62</v>
      </c>
      <c r="L14" s="78" t="s">
        <v>23</v>
      </c>
      <c r="M14" s="185">
        <f>ROUND(I14*K14/1,0)</f>
        <v>0</v>
      </c>
    </row>
    <row r="15" spans="1:17" s="85" customFormat="1" ht="83.25" customHeight="1">
      <c r="A15" s="81">
        <v>3</v>
      </c>
      <c r="B15" s="1118" t="s">
        <v>587</v>
      </c>
      <c r="C15" s="1118"/>
      <c r="D15" s="1118"/>
      <c r="E15" s="1118"/>
      <c r="F15" s="1118"/>
      <c r="G15" s="1118"/>
      <c r="H15" s="1118"/>
      <c r="I15" s="82"/>
      <c r="J15" s="83"/>
      <c r="K15" s="81"/>
      <c r="L15" s="81"/>
      <c r="M15" s="84"/>
      <c r="N15" s="180"/>
      <c r="O15" s="180"/>
    </row>
    <row r="16" spans="1:17" s="156" customFormat="1">
      <c r="A16" s="151"/>
      <c r="B16" s="166" t="s">
        <v>865</v>
      </c>
      <c r="C16" s="152">
        <v>1</v>
      </c>
      <c r="D16" s="153" t="s">
        <v>46</v>
      </c>
      <c r="E16" s="154">
        <v>1</v>
      </c>
      <c r="F16" s="94">
        <v>5.6</v>
      </c>
      <c r="G16" s="94">
        <v>5.3</v>
      </c>
      <c r="H16" s="160">
        <v>1</v>
      </c>
      <c r="I16" s="90">
        <f>ROUND(IF(AND(F16:H16),C16*E16*F16*G16*H16,IF(AND(F16,G16),C16*E16*F16*G16,IF(AND(F16,H16),C16*E16*F16*H16,IF(AND(G16,H16),C16*E16*G16*H16,IF(F16,C16*E16*F16,IF(G16,C16*E16*G16,IF(H16,C16*E16*H16,C16*E16))))))),2)</f>
        <v>29.68</v>
      </c>
      <c r="J16" s="91" t="s">
        <v>10</v>
      </c>
      <c r="K16" s="107"/>
      <c r="L16" s="151"/>
      <c r="M16" s="157"/>
      <c r="N16" s="155"/>
      <c r="Q16" s="155"/>
    </row>
    <row r="17" spans="1:17" s="156" customFormat="1">
      <c r="A17" s="151"/>
      <c r="B17" s="166" t="s">
        <v>755</v>
      </c>
      <c r="C17" s="152">
        <v>2</v>
      </c>
      <c r="D17" s="153" t="s">
        <v>46</v>
      </c>
      <c r="E17" s="154">
        <v>1</v>
      </c>
      <c r="F17" s="94">
        <v>20</v>
      </c>
      <c r="G17" s="94">
        <v>1.1000000000000001</v>
      </c>
      <c r="H17" s="160">
        <v>1.3</v>
      </c>
      <c r="I17" s="90">
        <f>ROUND(IF(AND(F17:H17),C17*E17*F17*G17*H17,IF(AND(F17,G17),C17*E17*F17*G17,IF(AND(F17,H17),C17*E17*F17*H17,IF(AND(G17,H17),C17*E17*G17*H17,IF(F17,C17*E17*F17,IF(G17,C17*E17*G17,IF(H17,C17*E17*H17,C17*E17))))))),2)</f>
        <v>57.2</v>
      </c>
      <c r="J17" s="91" t="s">
        <v>10</v>
      </c>
      <c r="K17" s="107"/>
      <c r="L17" s="151"/>
      <c r="M17" s="157"/>
      <c r="N17" s="155"/>
      <c r="O17" s="155">
        <f>Abstract!M21</f>
        <v>805500</v>
      </c>
      <c r="Q17" s="155"/>
    </row>
    <row r="18" spans="1:17" s="156" customFormat="1">
      <c r="A18" s="151"/>
      <c r="B18" s="166"/>
      <c r="C18" s="152"/>
      <c r="D18" s="153"/>
      <c r="E18" s="154"/>
      <c r="F18" s="94"/>
      <c r="G18" s="94"/>
      <c r="H18" s="160"/>
      <c r="I18" s="90"/>
      <c r="J18" s="91"/>
      <c r="K18" s="107"/>
      <c r="L18" s="151"/>
      <c r="M18" s="157"/>
      <c r="N18" s="155"/>
      <c r="Q18" s="155"/>
    </row>
    <row r="19" spans="1:17" s="92" customFormat="1">
      <c r="A19" s="86"/>
      <c r="B19" s="86"/>
      <c r="C19" s="87"/>
      <c r="D19" s="88"/>
      <c r="E19" s="89"/>
      <c r="F19" s="86"/>
      <c r="G19" s="86"/>
      <c r="H19" s="86"/>
      <c r="I19" s="181"/>
      <c r="J19" s="182" t="s">
        <v>10</v>
      </c>
      <c r="K19" s="183">
        <f>'CD WORK DATA'!H37</f>
        <v>126.69</v>
      </c>
      <c r="L19" s="78" t="s">
        <v>23</v>
      </c>
      <c r="M19" s="185">
        <f>ROUND(I19*K19/1,0)</f>
        <v>0</v>
      </c>
    </row>
    <row r="20" spans="1:17" s="85" customFormat="1" ht="72" customHeight="1">
      <c r="A20" s="81">
        <v>4</v>
      </c>
      <c r="B20" s="1118" t="s">
        <v>866</v>
      </c>
      <c r="C20" s="1118"/>
      <c r="D20" s="1118"/>
      <c r="E20" s="1118"/>
      <c r="F20" s="1118"/>
      <c r="G20" s="1118"/>
      <c r="H20" s="1118"/>
      <c r="I20" s="82"/>
      <c r="J20" s="83"/>
      <c r="K20" s="81"/>
      <c r="L20" s="81"/>
      <c r="M20" s="84"/>
      <c r="N20" s="180">
        <f>N70</f>
        <v>0</v>
      </c>
      <c r="O20" s="180">
        <f>N67</f>
        <v>0</v>
      </c>
    </row>
    <row r="21" spans="1:17" s="156" customFormat="1">
      <c r="A21" s="151"/>
      <c r="B21" s="166" t="s">
        <v>865</v>
      </c>
      <c r="C21" s="152">
        <v>1</v>
      </c>
      <c r="D21" s="153" t="s">
        <v>46</v>
      </c>
      <c r="E21" s="154">
        <v>1</v>
      </c>
      <c r="F21" s="94">
        <f>$F$16</f>
        <v>5.6</v>
      </c>
      <c r="G21" s="94">
        <v>5.3</v>
      </c>
      <c r="H21" s="160">
        <v>0.3</v>
      </c>
      <c r="I21" s="90">
        <f>ROUND(IF(AND(F21:H21),C21*E21*F21*G21*H21,IF(AND(F21,G21),C21*E21*F21*G21,IF(AND(F21,H21),C21*E21*F21*H21,IF(AND(G21,H21),C21*E21*G21*H21,IF(F21,C21*E21*F21,IF(G21,C21*E21*G21,IF(H21,C21*E21*H21,C21*E21))))))),2)</f>
        <v>8.9</v>
      </c>
      <c r="J21" s="91" t="s">
        <v>10</v>
      </c>
      <c r="K21" s="107"/>
      <c r="L21" s="151"/>
      <c r="M21" s="157"/>
      <c r="N21" s="155"/>
      <c r="Q21" s="155"/>
    </row>
    <row r="22" spans="1:17" s="156" customFormat="1">
      <c r="A22" s="151"/>
      <c r="B22" s="166" t="s">
        <v>755</v>
      </c>
      <c r="C22" s="152">
        <v>2</v>
      </c>
      <c r="D22" s="153" t="s">
        <v>46</v>
      </c>
      <c r="E22" s="154">
        <v>1</v>
      </c>
      <c r="F22" s="94">
        <f>$F$17</f>
        <v>20</v>
      </c>
      <c r="G22" s="94">
        <v>1.1000000000000001</v>
      </c>
      <c r="H22" s="160">
        <v>0.3</v>
      </c>
      <c r="I22" s="90">
        <f>ROUND(IF(AND(F22:H22),C22*E22*F22*G22*H22,IF(AND(F22,G22),C22*E22*F22*G22,IF(AND(F22,H22),C22*E22*F22*H22,IF(AND(G22,H22),C22*E22*G22*H22,IF(F22,C22*E22*F22,IF(G22,C22*E22*G22,IF(H22,C22*E22*H22,C22*E22))))))),2)</f>
        <v>13.2</v>
      </c>
      <c r="J22" s="91" t="s">
        <v>10</v>
      </c>
      <c r="K22" s="107"/>
      <c r="L22" s="151"/>
      <c r="M22" s="157"/>
      <c r="N22" s="155"/>
      <c r="Q22" s="155"/>
    </row>
    <row r="23" spans="1:17" s="156" customFormat="1" ht="25.5">
      <c r="A23" s="151"/>
      <c r="B23" s="166" t="s">
        <v>869</v>
      </c>
      <c r="C23" s="152">
        <v>1</v>
      </c>
      <c r="D23" s="153" t="s">
        <v>46</v>
      </c>
      <c r="E23" s="154">
        <v>1</v>
      </c>
      <c r="F23" s="94">
        <f>$F$16</f>
        <v>5.6</v>
      </c>
      <c r="G23" s="94" t="s">
        <v>1176</v>
      </c>
      <c r="H23" s="160">
        <v>1.4</v>
      </c>
      <c r="I23" s="90">
        <f>ROUND(C23*E23*F23*H23*(5.76+6.48)/2,2)</f>
        <v>47.98</v>
      </c>
      <c r="J23" s="91" t="s">
        <v>10</v>
      </c>
      <c r="K23" s="107"/>
      <c r="L23" s="151"/>
      <c r="M23" s="157"/>
      <c r="N23" s="155"/>
      <c r="Q23" s="155"/>
    </row>
    <row r="24" spans="1:17" s="156" customFormat="1" ht="25.5">
      <c r="A24" s="151"/>
      <c r="B24" s="166" t="s">
        <v>756</v>
      </c>
      <c r="C24" s="152">
        <v>3</v>
      </c>
      <c r="D24" s="153" t="s">
        <v>46</v>
      </c>
      <c r="E24" s="792">
        <v>0.78500000000000003</v>
      </c>
      <c r="F24" s="94" t="s">
        <v>1176</v>
      </c>
      <c r="G24" s="94">
        <v>1.2</v>
      </c>
      <c r="H24" s="160">
        <v>1.2</v>
      </c>
      <c r="I24" s="90">
        <f>-ROUND(C24*E24*G24*H24*(5.76+6.48)/2,2)</f>
        <v>-20.75</v>
      </c>
      <c r="J24" s="91" t="s">
        <v>10</v>
      </c>
      <c r="K24" s="107"/>
      <c r="L24" s="151"/>
      <c r="M24" s="157"/>
      <c r="N24" s="155"/>
      <c r="Q24" s="155"/>
    </row>
    <row r="25" spans="1:17" s="156" customFormat="1">
      <c r="A25" s="151"/>
      <c r="B25" s="166"/>
      <c r="C25" s="152"/>
      <c r="D25" s="153"/>
      <c r="E25" s="154"/>
      <c r="F25" s="94"/>
      <c r="G25" s="94"/>
      <c r="H25" s="160"/>
      <c r="I25" s="90"/>
      <c r="J25" s="91"/>
      <c r="K25" s="107"/>
      <c r="L25" s="151"/>
      <c r="M25" s="157"/>
      <c r="N25" s="155"/>
      <c r="Q25" s="155"/>
    </row>
    <row r="26" spans="1:17" s="92" customFormat="1">
      <c r="A26" s="86"/>
      <c r="B26" s="86"/>
      <c r="C26" s="87"/>
      <c r="D26" s="88"/>
      <c r="E26" s="89"/>
      <c r="F26" s="86"/>
      <c r="G26" s="86"/>
      <c r="H26" s="86"/>
      <c r="I26" s="181"/>
      <c r="J26" s="182" t="s">
        <v>10</v>
      </c>
      <c r="K26" s="183">
        <f>'CD WORK DATA'!H54</f>
        <v>5600.99</v>
      </c>
      <c r="L26" s="78" t="s">
        <v>23</v>
      </c>
      <c r="M26" s="185">
        <f>ROUND(I26*K26/1,0)</f>
        <v>0</v>
      </c>
    </row>
    <row r="27" spans="1:17" s="85" customFormat="1" ht="55.5" customHeight="1">
      <c r="A27" s="81">
        <v>5</v>
      </c>
      <c r="B27" s="1118" t="s">
        <v>867</v>
      </c>
      <c r="C27" s="1118"/>
      <c r="D27" s="1118"/>
      <c r="E27" s="1118"/>
      <c r="F27" s="1118"/>
      <c r="G27" s="1118"/>
      <c r="H27" s="1118"/>
      <c r="I27" s="82"/>
      <c r="J27" s="83"/>
      <c r="K27" s="81"/>
      <c r="L27" s="81"/>
      <c r="M27" s="84"/>
      <c r="N27" s="180">
        <f>N70</f>
        <v>0</v>
      </c>
      <c r="O27" s="180">
        <f>N67</f>
        <v>0</v>
      </c>
    </row>
    <row r="28" spans="1:17" s="156" customFormat="1">
      <c r="A28" s="151"/>
      <c r="B28" s="166"/>
      <c r="C28" s="152">
        <v>3</v>
      </c>
      <c r="D28" s="153" t="s">
        <v>46</v>
      </c>
      <c r="E28" s="154">
        <v>3</v>
      </c>
      <c r="F28" s="94">
        <v>2.5</v>
      </c>
      <c r="G28" s="94">
        <v>0</v>
      </c>
      <c r="H28" s="160">
        <v>0</v>
      </c>
      <c r="I28" s="90">
        <f>ROUND(IF(AND(F28:H28),C28*E28*F28*G28*H28,IF(AND(F28,G28),C28*E28*F28*G28,IF(AND(F28,H28),C28*E28*F28*H28,IF(AND(G28,H28),C28*E28*G28*H28,IF(F28,C28*E28*F28,IF(G28,C28*E28*G28,IF(H28,C28*E28*H28,C28*E28))))))),2)</f>
        <v>22.5</v>
      </c>
      <c r="J28" s="91" t="s">
        <v>612</v>
      </c>
      <c r="K28" s="107"/>
      <c r="L28" s="151"/>
      <c r="M28" s="157"/>
      <c r="N28" s="155"/>
      <c r="Q28" s="155"/>
    </row>
    <row r="29" spans="1:17" s="156" customFormat="1">
      <c r="A29" s="151"/>
      <c r="B29" s="166"/>
      <c r="C29" s="152"/>
      <c r="D29" s="153"/>
      <c r="E29" s="154"/>
      <c r="F29" s="94"/>
      <c r="G29" s="94"/>
      <c r="H29" s="160"/>
      <c r="I29" s="90"/>
      <c r="J29" s="91"/>
      <c r="K29" s="107"/>
      <c r="L29" s="151"/>
      <c r="M29" s="157"/>
      <c r="N29" s="155"/>
      <c r="Q29" s="155"/>
    </row>
    <row r="30" spans="1:17" s="92" customFormat="1">
      <c r="A30" s="86"/>
      <c r="B30" s="86"/>
      <c r="C30" s="87"/>
      <c r="D30" s="88"/>
      <c r="E30" s="89"/>
      <c r="F30" s="86"/>
      <c r="G30" s="86"/>
      <c r="H30" s="86"/>
      <c r="I30" s="181"/>
      <c r="J30" s="91" t="s">
        <v>612</v>
      </c>
      <c r="K30" s="183">
        <f>'CD WORK DATA'!H164</f>
        <v>9006.27</v>
      </c>
      <c r="L30" s="78" t="s">
        <v>614</v>
      </c>
      <c r="M30" s="185">
        <f>ROUND(I30*K30/1,0)</f>
        <v>0</v>
      </c>
    </row>
    <row r="31" spans="1:17" s="85" customFormat="1" ht="57.75" customHeight="1">
      <c r="A31" s="81">
        <v>6</v>
      </c>
      <c r="B31" s="1118" t="s">
        <v>432</v>
      </c>
      <c r="C31" s="1118"/>
      <c r="D31" s="1118"/>
      <c r="E31" s="1118"/>
      <c r="F31" s="1118"/>
      <c r="G31" s="1118"/>
      <c r="H31" s="1118"/>
      <c r="I31" s="82"/>
      <c r="J31" s="83"/>
      <c r="K31" s="81"/>
      <c r="L31" s="81"/>
      <c r="M31" s="84"/>
      <c r="N31" s="180">
        <f>N75</f>
        <v>0</v>
      </c>
      <c r="O31" s="180">
        <f>N72</f>
        <v>0</v>
      </c>
    </row>
    <row r="32" spans="1:17" s="156" customFormat="1">
      <c r="A32" s="151"/>
      <c r="B32" s="166" t="s">
        <v>755</v>
      </c>
      <c r="C32" s="152">
        <v>1</v>
      </c>
      <c r="D32" s="153" t="s">
        <v>46</v>
      </c>
      <c r="E32" s="154">
        <v>2</v>
      </c>
      <c r="F32" s="94">
        <f>$F$17</f>
        <v>20</v>
      </c>
      <c r="G32" s="94">
        <v>1.1000000000000001</v>
      </c>
      <c r="H32" s="160">
        <v>0.3</v>
      </c>
      <c r="I32" s="90">
        <f>ROUND(IF(AND(F32:H32),C32*E32*F32*G32*H32,IF(AND(F32,G32),C32*E32*F32*G32,IF(AND(F32,H32),C32*E32*F32*H32,IF(AND(G32,H32),C32*E32*G32*H32,IF(F32,C32*E32*F32,IF(G32,C32*E32*G32,IF(H32,C32*E32*H32,C32*E32))))))),2)</f>
        <v>13.2</v>
      </c>
      <c r="J32" s="91" t="s">
        <v>10</v>
      </c>
      <c r="K32" s="107"/>
      <c r="L32" s="151"/>
      <c r="M32" s="157"/>
      <c r="N32" s="155"/>
      <c r="Q32" s="155"/>
    </row>
    <row r="33" spans="1:19" s="156" customFormat="1" ht="25.5">
      <c r="A33" s="151"/>
      <c r="B33" s="166" t="s">
        <v>755</v>
      </c>
      <c r="C33" s="152">
        <v>1</v>
      </c>
      <c r="D33" s="153" t="s">
        <v>46</v>
      </c>
      <c r="E33" s="154">
        <v>2</v>
      </c>
      <c r="F33" s="94">
        <f>$F$17</f>
        <v>20</v>
      </c>
      <c r="G33" s="94" t="s">
        <v>868</v>
      </c>
      <c r="H33" s="160">
        <v>1.4</v>
      </c>
      <c r="I33" s="90">
        <f>ROUND(C33*E33*F33*H33*(0.9+0.45)/2,2)</f>
        <v>37.799999999999997</v>
      </c>
      <c r="J33" s="91" t="s">
        <v>10</v>
      </c>
      <c r="K33" s="107"/>
      <c r="L33" s="151"/>
      <c r="M33" s="157"/>
      <c r="N33" s="155"/>
      <c r="Q33" s="155"/>
    </row>
    <row r="34" spans="1:19" s="156" customFormat="1" ht="25.5">
      <c r="A34" s="151"/>
      <c r="B34" s="166" t="s">
        <v>756</v>
      </c>
      <c r="C34" s="152">
        <v>6</v>
      </c>
      <c r="D34" s="153" t="s">
        <v>46</v>
      </c>
      <c r="E34" s="792">
        <v>0.78500000000000003</v>
      </c>
      <c r="F34" s="94">
        <v>1.2</v>
      </c>
      <c r="G34" s="94" t="s">
        <v>1177</v>
      </c>
      <c r="H34" s="160">
        <v>1.2</v>
      </c>
      <c r="I34" s="90">
        <f>-ROUND(C34*E34*F34*H34*(0.87+0.51)/2,2)</f>
        <v>-4.68</v>
      </c>
      <c r="J34" s="91" t="s">
        <v>10</v>
      </c>
      <c r="K34" s="107"/>
      <c r="L34" s="151"/>
      <c r="M34" s="157"/>
      <c r="N34" s="155"/>
      <c r="Q34" s="155"/>
    </row>
    <row r="35" spans="1:19" s="156" customFormat="1">
      <c r="A35" s="151"/>
      <c r="B35" s="166" t="s">
        <v>1178</v>
      </c>
      <c r="C35" s="152">
        <v>1</v>
      </c>
      <c r="D35" s="153" t="s">
        <v>46</v>
      </c>
      <c r="E35" s="154">
        <v>2</v>
      </c>
      <c r="F35" s="94">
        <f>$F$16</f>
        <v>5.6</v>
      </c>
      <c r="G35" s="94">
        <v>0.23</v>
      </c>
      <c r="H35" s="160">
        <v>0.6</v>
      </c>
      <c r="I35" s="90">
        <f>ROUND(IF(AND(F35:H35),C35*E35*F35*G35*H35,IF(AND(F35,G35),C35*E35*F35*G35,IF(AND(F35,H35),C35*E35*F35*H35,IF(AND(G35,H35),C35*E35*G35*H35,IF(F35,C35*E35*F35,IF(G35,C35*E35*G35,IF(H35,C35*E35*H35,C35*E35))))))),2)</f>
        <v>1.55</v>
      </c>
      <c r="J35" s="91" t="s">
        <v>10</v>
      </c>
      <c r="K35" s="107"/>
      <c r="L35" s="151"/>
      <c r="M35" s="157"/>
      <c r="N35" s="155"/>
      <c r="Q35" s="155"/>
    </row>
    <row r="36" spans="1:19" s="156" customFormat="1">
      <c r="A36" s="151"/>
      <c r="B36" s="166"/>
      <c r="C36" s="152"/>
      <c r="D36" s="153"/>
      <c r="E36" s="154"/>
      <c r="F36" s="94"/>
      <c r="G36" s="94"/>
      <c r="H36" s="160"/>
      <c r="I36" s="90"/>
      <c r="J36" s="91"/>
      <c r="K36" s="107"/>
      <c r="L36" s="151"/>
      <c r="M36" s="157"/>
      <c r="N36" s="155"/>
      <c r="Q36" s="155"/>
    </row>
    <row r="37" spans="1:19" s="92" customFormat="1">
      <c r="A37" s="86"/>
      <c r="B37" s="86"/>
      <c r="C37" s="87"/>
      <c r="D37" s="88"/>
      <c r="E37" s="89"/>
      <c r="F37" s="86"/>
      <c r="G37" s="86"/>
      <c r="H37" s="86"/>
      <c r="I37" s="181"/>
      <c r="J37" s="182" t="s">
        <v>10</v>
      </c>
      <c r="K37" s="183">
        <f>'CD WORK DATA'!H74</f>
        <v>5954.5599999999995</v>
      </c>
      <c r="L37" s="78" t="s">
        <v>23</v>
      </c>
      <c r="M37" s="185">
        <f>ROUND(I37*K37/1,0)</f>
        <v>0</v>
      </c>
    </row>
    <row r="38" spans="1:19" s="85" customFormat="1" ht="84.75" hidden="1" customHeight="1">
      <c r="A38" s="81">
        <v>4</v>
      </c>
      <c r="B38" s="1118" t="s">
        <v>838</v>
      </c>
      <c r="C38" s="1118"/>
      <c r="D38" s="1118"/>
      <c r="E38" s="1118"/>
      <c r="F38" s="1118"/>
      <c r="G38" s="1118"/>
      <c r="H38" s="1118"/>
      <c r="I38" s="82"/>
      <c r="J38" s="83"/>
      <c r="K38" s="81"/>
      <c r="L38" s="81"/>
      <c r="M38" s="84"/>
      <c r="N38" s="180">
        <f>N81</f>
        <v>0</v>
      </c>
      <c r="O38" s="180">
        <f>N78</f>
        <v>0</v>
      </c>
    </row>
    <row r="39" spans="1:19" s="156" customFormat="1" hidden="1">
      <c r="A39" s="151"/>
      <c r="B39" s="166"/>
      <c r="C39" s="793">
        <v>14</v>
      </c>
      <c r="D39" s="794" t="s">
        <v>46</v>
      </c>
      <c r="E39" s="792">
        <v>0.78500000000000003</v>
      </c>
      <c r="F39" s="795">
        <v>0.2</v>
      </c>
      <c r="G39" s="796">
        <v>0.2</v>
      </c>
      <c r="H39" s="797">
        <v>0.6</v>
      </c>
      <c r="I39" s="798">
        <f t="shared" ref="I39" si="2">ROUND(IF(AND(F39:H39),C39*E39*F39*G39*H39,IF(AND(F39,G39),C39*E39*F39*G39,IF(AND(F39,H39),C39*E39*F39*H39,IF(AND(G39,H39),C39*E39*G39*H39,IF(F39,C39*E39*F39,IF(G39,C39*E39*G39,IF(H39,C39*E39*H39,C39*E39))))))),2)</f>
        <v>0.26</v>
      </c>
      <c r="J39" s="799" t="s">
        <v>10</v>
      </c>
      <c r="K39" s="107"/>
      <c r="L39" s="151"/>
      <c r="M39" s="157"/>
      <c r="N39" s="155"/>
      <c r="Q39" s="155"/>
    </row>
    <row r="40" spans="1:19" s="156" customFormat="1" hidden="1">
      <c r="A40" s="151"/>
      <c r="B40" s="166"/>
      <c r="C40" s="793">
        <v>14</v>
      </c>
      <c r="D40" s="794" t="s">
        <v>46</v>
      </c>
      <c r="E40" s="792">
        <v>0.78500000000000003</v>
      </c>
      <c r="F40" s="795">
        <v>0.2</v>
      </c>
      <c r="G40" s="796">
        <v>0.2</v>
      </c>
      <c r="H40" s="797">
        <v>0.6</v>
      </c>
      <c r="I40" s="798">
        <f t="shared" ref="I40" si="3">ROUND(IF(AND(F40:H40),C40*E40*F40*G40*H40,IF(AND(F40,G40),C40*E40*F40*G40,IF(AND(F40,H40),C40*E40*F40*H40,IF(AND(G40,H40),C40*E40*G40*H40,IF(F40,C40*E40*F40,IF(G40,C40*E40*G40,IF(H40,C40*E40*H40,C40*E40))))))),2)</f>
        <v>0.26</v>
      </c>
      <c r="J40" s="799" t="s">
        <v>10</v>
      </c>
      <c r="K40" s="107"/>
      <c r="L40" s="151"/>
      <c r="M40" s="157"/>
      <c r="N40" s="155"/>
      <c r="Q40" s="155"/>
    </row>
    <row r="41" spans="1:19" s="156" customFormat="1" hidden="1">
      <c r="A41" s="151"/>
      <c r="B41" s="166"/>
      <c r="C41" s="152"/>
      <c r="D41" s="153"/>
      <c r="E41" s="154"/>
      <c r="F41" s="94"/>
      <c r="G41" s="94"/>
      <c r="H41" s="160"/>
      <c r="I41" s="90"/>
      <c r="J41" s="91"/>
      <c r="K41" s="107"/>
      <c r="L41" s="151"/>
      <c r="M41" s="157"/>
      <c r="N41" s="155"/>
      <c r="Q41" s="155"/>
    </row>
    <row r="42" spans="1:19" s="92" customFormat="1" hidden="1">
      <c r="A42" s="86"/>
      <c r="B42" s="86"/>
      <c r="C42" s="87"/>
      <c r="D42" s="88"/>
      <c r="E42" s="89"/>
      <c r="F42" s="86"/>
      <c r="G42" s="86"/>
      <c r="H42" s="86"/>
      <c r="I42" s="181"/>
      <c r="J42" s="182" t="s">
        <v>10</v>
      </c>
      <c r="K42" s="183">
        <f>'CD WORK DATA'!H114</f>
        <v>7542</v>
      </c>
      <c r="L42" s="78" t="s">
        <v>23</v>
      </c>
      <c r="M42" s="185">
        <f>ROUND(I42*K42/1,0)</f>
        <v>0</v>
      </c>
    </row>
    <row r="43" spans="1:19" s="32" customFormat="1" ht="56.25" hidden="1" customHeight="1">
      <c r="A43" s="73">
        <v>8</v>
      </c>
      <c r="B43" s="1132" t="s">
        <v>589</v>
      </c>
      <c r="C43" s="1132"/>
      <c r="D43" s="1132"/>
      <c r="E43" s="1132"/>
      <c r="F43" s="1132"/>
      <c r="G43" s="1132"/>
      <c r="H43" s="1132"/>
      <c r="I43" s="800"/>
      <c r="J43" s="801"/>
      <c r="K43" s="802"/>
      <c r="L43" s="802"/>
      <c r="M43" s="803"/>
      <c r="O43" s="804"/>
      <c r="P43" s="804"/>
      <c r="Q43" s="804"/>
      <c r="R43" s="804"/>
      <c r="S43" s="804"/>
    </row>
    <row r="44" spans="1:19" s="32" customFormat="1" hidden="1">
      <c r="A44" s="73"/>
      <c r="B44" s="805" t="s">
        <v>893</v>
      </c>
      <c r="C44" s="806"/>
      <c r="D44" s="807"/>
      <c r="E44" s="808"/>
      <c r="F44" s="809"/>
      <c r="G44" s="796"/>
      <c r="H44" s="797"/>
      <c r="I44" s="810">
        <f>ROUND((I42*0.2)/0.38,2)</f>
        <v>0</v>
      </c>
      <c r="J44" s="165" t="s">
        <v>45</v>
      </c>
      <c r="K44" s="802"/>
      <c r="L44" s="802"/>
      <c r="M44" s="803"/>
      <c r="N44" s="811"/>
      <c r="O44" s="812"/>
    </row>
    <row r="45" spans="1:19" s="32" customFormat="1" hidden="1">
      <c r="A45" s="73"/>
      <c r="B45" s="805"/>
      <c r="C45" s="793"/>
      <c r="D45" s="794"/>
      <c r="E45" s="813"/>
      <c r="F45" s="795"/>
      <c r="G45" s="795"/>
      <c r="H45" s="814"/>
      <c r="I45" s="798"/>
      <c r="J45" s="799"/>
      <c r="K45" s="802"/>
      <c r="L45" s="802"/>
      <c r="M45" s="803"/>
      <c r="N45" s="811"/>
    </row>
    <row r="46" spans="1:19" s="32" customFormat="1" hidden="1">
      <c r="A46" s="73"/>
      <c r="B46" s="815"/>
      <c r="C46" s="816"/>
      <c r="D46" s="817"/>
      <c r="E46" s="801"/>
      <c r="F46" s="73"/>
      <c r="G46" s="802"/>
      <c r="H46" s="78"/>
      <c r="I46" s="79">
        <f>SUM(I44:I45)</f>
        <v>0</v>
      </c>
      <c r="J46" s="165" t="s">
        <v>45</v>
      </c>
      <c r="K46" s="78">
        <f>'CD WORK DATA'!H147</f>
        <v>86540.55</v>
      </c>
      <c r="L46" s="78" t="s">
        <v>507</v>
      </c>
      <c r="M46" s="96">
        <f>ROUND(I46*K46,0)</f>
        <v>0</v>
      </c>
      <c r="N46" s="811"/>
    </row>
    <row r="47" spans="1:19" s="32" customFormat="1" ht="67.5" hidden="1" customHeight="1">
      <c r="A47" s="73">
        <v>5</v>
      </c>
      <c r="B47" s="1132" t="s">
        <v>885</v>
      </c>
      <c r="C47" s="1132"/>
      <c r="D47" s="1132"/>
      <c r="E47" s="1132"/>
      <c r="F47" s="1132"/>
      <c r="G47" s="1132"/>
      <c r="H47" s="1132"/>
      <c r="I47" s="800"/>
      <c r="J47" s="801"/>
      <c r="K47" s="802"/>
      <c r="L47" s="802"/>
      <c r="M47" s="803"/>
      <c r="O47" s="804"/>
      <c r="P47" s="804"/>
      <c r="Q47" s="804"/>
      <c r="R47" s="804"/>
      <c r="S47" s="804"/>
    </row>
    <row r="48" spans="1:19" s="32" customFormat="1" ht="25.5" hidden="1">
      <c r="A48" s="73"/>
      <c r="B48" s="818" t="s">
        <v>890</v>
      </c>
      <c r="C48" s="793">
        <v>1</v>
      </c>
      <c r="D48" s="794" t="s">
        <v>46</v>
      </c>
      <c r="E48" s="819">
        <v>2</v>
      </c>
      <c r="F48" s="795">
        <v>2</v>
      </c>
      <c r="G48" s="796" t="s">
        <v>886</v>
      </c>
      <c r="H48" s="797">
        <v>0.7</v>
      </c>
      <c r="I48" s="90">
        <f>ROUND(C48*E48*F48*H48*(6.3+5.1)/2,2)</f>
        <v>15.96</v>
      </c>
      <c r="J48" s="799" t="s">
        <v>10</v>
      </c>
      <c r="K48" s="802"/>
      <c r="L48" s="802"/>
      <c r="M48" s="803"/>
      <c r="N48" s="811"/>
    </row>
    <row r="49" spans="1:17" s="32" customFormat="1" hidden="1">
      <c r="A49" s="73"/>
      <c r="B49" s="820"/>
      <c r="C49" s="816"/>
      <c r="D49" s="817"/>
      <c r="E49" s="801"/>
      <c r="F49" s="95"/>
      <c r="G49" s="95"/>
      <c r="H49" s="95"/>
      <c r="I49" s="79"/>
      <c r="J49" s="165"/>
      <c r="K49" s="802"/>
      <c r="L49" s="802"/>
      <c r="M49" s="803"/>
      <c r="N49" s="811"/>
    </row>
    <row r="50" spans="1:17" s="32" customFormat="1" hidden="1">
      <c r="A50" s="73"/>
      <c r="B50" s="815"/>
      <c r="C50" s="816"/>
      <c r="D50" s="817"/>
      <c r="E50" s="801"/>
      <c r="F50" s="73"/>
      <c r="G50" s="802"/>
      <c r="H50" s="78"/>
      <c r="I50" s="79"/>
      <c r="J50" s="165" t="s">
        <v>10</v>
      </c>
      <c r="K50" s="78">
        <f>'CD WORK DATA'!H189</f>
        <v>279.77999999999997</v>
      </c>
      <c r="L50" s="78" t="s">
        <v>23</v>
      </c>
      <c r="M50" s="96">
        <f>ROUND(I50*K50,0)</f>
        <v>0</v>
      </c>
      <c r="N50" s="811"/>
    </row>
    <row r="51" spans="1:17" ht="150.75" hidden="1" customHeight="1">
      <c r="A51" s="73">
        <v>6</v>
      </c>
      <c r="B51" s="1132" t="s">
        <v>891</v>
      </c>
      <c r="C51" s="1132"/>
      <c r="D51" s="1132"/>
      <c r="E51" s="1132"/>
      <c r="F51" s="1132"/>
      <c r="G51" s="1132"/>
      <c r="H51" s="1132"/>
      <c r="I51" s="821"/>
      <c r="J51" s="822"/>
      <c r="K51" s="823"/>
      <c r="L51" s="74"/>
      <c r="M51" s="620"/>
    </row>
    <row r="52" spans="1:17" s="156" customFormat="1" hidden="1">
      <c r="A52" s="151"/>
      <c r="B52" s="166" t="s">
        <v>892</v>
      </c>
      <c r="C52" s="152">
        <v>1</v>
      </c>
      <c r="D52" s="153" t="s">
        <v>46</v>
      </c>
      <c r="E52" s="154">
        <v>1</v>
      </c>
      <c r="F52" s="94">
        <f>F48</f>
        <v>2</v>
      </c>
      <c r="G52" s="94">
        <v>7.5</v>
      </c>
      <c r="H52" s="160">
        <v>0.17</v>
      </c>
      <c r="I52" s="90">
        <f>ROUND(IF(AND(F52:H52),C52*E52*F52*G52*H52,IF(AND(F52,G52),C52*E52*F52*G52,IF(AND(F52,H52),C52*E52*F52*H52,IF(AND(G52,H52),C52*E52*G52*H52,IF(F52,C52*E52*F52,IF(G52,C52*E52*G52,IF(H52,C52*E52*H52,C52*E52))))))),2)</f>
        <v>2.5499999999999998</v>
      </c>
      <c r="J52" s="91" t="s">
        <v>10</v>
      </c>
      <c r="K52" s="107"/>
      <c r="L52" s="151"/>
      <c r="M52" s="157"/>
      <c r="N52" s="155"/>
      <c r="Q52" s="155"/>
    </row>
    <row r="53" spans="1:17" s="156" customFormat="1" hidden="1">
      <c r="A53" s="151"/>
      <c r="B53" s="166" t="s">
        <v>892</v>
      </c>
      <c r="C53" s="152">
        <v>1</v>
      </c>
      <c r="D53" s="153" t="s">
        <v>46</v>
      </c>
      <c r="E53" s="154">
        <v>1</v>
      </c>
      <c r="F53" s="94">
        <v>10</v>
      </c>
      <c r="G53" s="94">
        <v>7.5</v>
      </c>
      <c r="H53" s="160">
        <v>0.17</v>
      </c>
      <c r="I53" s="90">
        <f>ROUND(IF(AND(F53:H53),C53*E53*F53*G53*H53,IF(AND(F53,G53),C53*E53*F53*G53,IF(AND(F53,H53),C53*E53*F53*H53,IF(AND(G53,H53),C53*E53*G53*H53,IF(F53,C53*E53*F53,IF(G53,C53*E53*G53,IF(H53,C53*E53*H53,C53*E53))))))),2)</f>
        <v>12.75</v>
      </c>
      <c r="J53" s="91" t="s">
        <v>10</v>
      </c>
      <c r="K53" s="107"/>
      <c r="L53" s="151"/>
      <c r="M53" s="157"/>
      <c r="N53" s="155"/>
      <c r="Q53" s="155"/>
    </row>
    <row r="54" spans="1:17" s="156" customFormat="1" hidden="1">
      <c r="A54" s="151"/>
      <c r="B54" s="166"/>
      <c r="C54" s="152"/>
      <c r="D54" s="153"/>
      <c r="E54" s="154"/>
      <c r="F54" s="94"/>
      <c r="G54" s="94"/>
      <c r="H54" s="160"/>
      <c r="I54" s="90"/>
      <c r="J54" s="91"/>
      <c r="K54" s="824"/>
      <c r="L54" s="151"/>
      <c r="M54" s="157"/>
      <c r="N54" s="155"/>
      <c r="Q54" s="155"/>
    </row>
    <row r="55" spans="1:17" hidden="1">
      <c r="A55" s="73"/>
      <c r="B55" s="825"/>
      <c r="C55" s="821"/>
      <c r="D55" s="826"/>
      <c r="E55" s="827"/>
      <c r="F55" s="828"/>
      <c r="G55" s="828"/>
      <c r="H55" s="828"/>
      <c r="I55" s="145"/>
      <c r="J55" s="161" t="s">
        <v>10</v>
      </c>
      <c r="K55" s="147">
        <f>'CD WORK DATA'!H223</f>
        <v>7873.37</v>
      </c>
      <c r="L55" s="184" t="s">
        <v>23</v>
      </c>
      <c r="M55" s="185">
        <f>ROUND(I55*K55/1,0)</f>
        <v>0</v>
      </c>
    </row>
    <row r="56" spans="1:17" ht="23.25" hidden="1" customHeight="1">
      <c r="A56" s="73">
        <v>7</v>
      </c>
      <c r="B56" s="1132" t="s">
        <v>1143</v>
      </c>
      <c r="C56" s="1132"/>
      <c r="D56" s="1132"/>
      <c r="E56" s="1132"/>
      <c r="F56" s="1132"/>
      <c r="G56" s="1132"/>
      <c r="H56" s="1132"/>
      <c r="I56" s="821"/>
      <c r="J56" s="822"/>
      <c r="K56" s="823"/>
      <c r="L56" s="74"/>
      <c r="M56" s="620"/>
    </row>
    <row r="57" spans="1:17" s="156" customFormat="1" hidden="1">
      <c r="A57" s="151"/>
      <c r="B57" s="166"/>
      <c r="C57" s="152"/>
      <c r="D57" s="153"/>
      <c r="E57" s="154"/>
      <c r="F57" s="94"/>
      <c r="G57" s="94"/>
      <c r="H57" s="160"/>
      <c r="I57" s="90">
        <f>I55</f>
        <v>0</v>
      </c>
      <c r="J57" s="91" t="s">
        <v>10</v>
      </c>
      <c r="K57" s="107"/>
      <c r="L57" s="151"/>
      <c r="M57" s="157"/>
      <c r="N57" s="155"/>
      <c r="Q57" s="155"/>
    </row>
    <row r="58" spans="1:17" s="156" customFormat="1" hidden="1">
      <c r="A58" s="151"/>
      <c r="B58" s="166"/>
      <c r="C58" s="152"/>
      <c r="D58" s="153"/>
      <c r="E58" s="154"/>
      <c r="F58" s="94"/>
      <c r="G58" s="94"/>
      <c r="H58" s="160"/>
      <c r="I58" s="90"/>
      <c r="J58" s="91"/>
      <c r="K58" s="824"/>
      <c r="L58" s="151"/>
      <c r="M58" s="157"/>
      <c r="N58" s="155"/>
      <c r="Q58" s="155"/>
    </row>
    <row r="59" spans="1:17" hidden="1">
      <c r="A59" s="73"/>
      <c r="B59" s="825"/>
      <c r="C59" s="821"/>
      <c r="D59" s="826"/>
      <c r="E59" s="827"/>
      <c r="F59" s="828"/>
      <c r="G59" s="828"/>
      <c r="H59" s="828"/>
      <c r="I59" s="145"/>
      <c r="J59" s="161" t="s">
        <v>10</v>
      </c>
      <c r="K59" s="147">
        <v>150</v>
      </c>
      <c r="L59" s="184" t="s">
        <v>23</v>
      </c>
      <c r="M59" s="185">
        <f>ROUND(I59*K59/1,0)</f>
        <v>0</v>
      </c>
    </row>
    <row r="60" spans="1:17" s="92" customFormat="1">
      <c r="A60" s="86"/>
      <c r="B60" s="86"/>
      <c r="C60" s="87"/>
      <c r="D60" s="88"/>
      <c r="E60" s="89"/>
      <c r="F60" s="86"/>
      <c r="G60" s="86"/>
      <c r="H60" s="86"/>
      <c r="I60" s="181"/>
      <c r="J60" s="91"/>
      <c r="K60" s="183"/>
      <c r="L60" s="184"/>
      <c r="M60" s="185"/>
    </row>
    <row r="61" spans="1:17">
      <c r="A61" s="73"/>
      <c r="B61" s="1128" t="s">
        <v>4</v>
      </c>
      <c r="C61" s="1129"/>
      <c r="D61" s="1129"/>
      <c r="E61" s="1129"/>
      <c r="F61" s="1129"/>
      <c r="G61" s="1129"/>
      <c r="H61" s="1130"/>
      <c r="I61" s="145"/>
      <c r="J61" s="146"/>
      <c r="K61" s="147"/>
      <c r="L61" s="46"/>
      <c r="M61" s="98">
        <f>SUM(M7:M60)</f>
        <v>0</v>
      </c>
    </row>
    <row r="62" spans="1:17">
      <c r="A62" s="142"/>
      <c r="B62" s="143"/>
      <c r="C62" s="164"/>
      <c r="D62" s="143"/>
      <c r="E62" s="163"/>
      <c r="F62" s="143"/>
      <c r="G62" s="143"/>
      <c r="H62" s="143"/>
      <c r="I62" s="148"/>
      <c r="J62" s="148"/>
      <c r="K62" s="149"/>
      <c r="L62" s="149"/>
      <c r="M62" s="148"/>
    </row>
    <row r="63" spans="1:17">
      <c r="A63" s="142"/>
      <c r="B63" s="143"/>
      <c r="C63" s="164"/>
      <c r="D63" s="143"/>
      <c r="E63" s="163"/>
      <c r="F63" s="143"/>
      <c r="G63" s="143"/>
      <c r="H63" s="143"/>
      <c r="I63" s="148"/>
      <c r="J63" s="148"/>
      <c r="K63" s="149"/>
      <c r="L63" s="149"/>
      <c r="M63" s="148"/>
    </row>
    <row r="64" spans="1:17">
      <c r="A64" s="142"/>
      <c r="B64" s="143"/>
      <c r="C64" s="164"/>
      <c r="D64" s="143"/>
      <c r="E64" s="163"/>
      <c r="F64" s="143"/>
      <c r="G64" s="143"/>
      <c r="H64" s="143"/>
      <c r="I64" s="148"/>
      <c r="J64" s="148"/>
      <c r="K64" s="149"/>
      <c r="L64" s="149"/>
      <c r="M64" s="148"/>
    </row>
    <row r="65" spans="1:13">
      <c r="A65" s="142"/>
      <c r="B65" s="143"/>
      <c r="C65" s="164"/>
      <c r="D65" s="143"/>
      <c r="E65" s="163"/>
      <c r="F65" s="143"/>
      <c r="G65" s="143"/>
      <c r="H65" s="143"/>
      <c r="I65" s="148"/>
      <c r="J65" s="148"/>
      <c r="K65" s="149"/>
      <c r="L65" s="149"/>
      <c r="M65" s="148"/>
    </row>
    <row r="66" spans="1:13">
      <c r="A66" s="142"/>
      <c r="B66" s="143"/>
      <c r="C66" s="164"/>
      <c r="D66" s="143"/>
      <c r="E66" s="163"/>
      <c r="F66" s="143"/>
      <c r="G66" s="33" t="str">
        <f>'lead 2025-26'!$G$37</f>
        <v>Deputy Executive Engineer</v>
      </c>
      <c r="H66" s="143"/>
      <c r="I66" s="148"/>
      <c r="J66" s="148"/>
      <c r="K66" s="149"/>
      <c r="L66" s="144" t="str">
        <f>'lead 2025-26'!J37</f>
        <v>Assistant   Engineer</v>
      </c>
      <c r="M66" s="148"/>
    </row>
    <row r="67" spans="1:13">
      <c r="A67" s="142"/>
      <c r="B67" s="143"/>
      <c r="C67" s="164"/>
      <c r="D67" s="143"/>
      <c r="E67" s="163"/>
      <c r="F67" s="143"/>
      <c r="G67" s="33" t="str">
        <f>'lead 2025-26'!$G$38</f>
        <v>PRI Sub Division: Kanigiri</v>
      </c>
      <c r="H67" s="143"/>
      <c r="I67" s="148"/>
      <c r="J67" s="148"/>
      <c r="K67" s="149"/>
      <c r="L67" s="144" t="str">
        <f>'lead 2025-26'!J38</f>
        <v>Mandal Praja Parishad</v>
      </c>
      <c r="M67" s="148"/>
    </row>
    <row r="68" spans="1:13">
      <c r="A68" s="142"/>
      <c r="B68" s="143"/>
      <c r="C68" s="164"/>
      <c r="D68" s="143"/>
      <c r="E68" s="163"/>
      <c r="F68" s="143"/>
      <c r="G68" s="143"/>
      <c r="H68" s="143"/>
      <c r="I68" s="148"/>
      <c r="J68" s="148"/>
      <c r="K68" s="149"/>
      <c r="L68" s="144" t="str">
        <f>'lead 2025-26'!J39</f>
        <v>Pamuru</v>
      </c>
      <c r="M68" s="148"/>
    </row>
  </sheetData>
  <mergeCells count="27">
    <mergeCell ref="B61:H61"/>
    <mergeCell ref="B51:H51"/>
    <mergeCell ref="B56:H56"/>
    <mergeCell ref="B31:H31"/>
    <mergeCell ref="B27:H27"/>
    <mergeCell ref="B47:H47"/>
    <mergeCell ref="B38:H38"/>
    <mergeCell ref="B43:H43"/>
    <mergeCell ref="B20:H20"/>
    <mergeCell ref="L4:L5"/>
    <mergeCell ref="C6:E6"/>
    <mergeCell ref="I6:J6"/>
    <mergeCell ref="B15:H15"/>
    <mergeCell ref="B7:H7"/>
    <mergeCell ref="B11:H11"/>
    <mergeCell ref="A1:M1"/>
    <mergeCell ref="A2:B2"/>
    <mergeCell ref="C2:M2"/>
    <mergeCell ref="A4:A5"/>
    <mergeCell ref="B4:B5"/>
    <mergeCell ref="C4:E5"/>
    <mergeCell ref="F4:H4"/>
    <mergeCell ref="I4:J5"/>
    <mergeCell ref="K4:K5"/>
    <mergeCell ref="A3:B3"/>
    <mergeCell ref="C3:M3"/>
    <mergeCell ref="M4:M5"/>
  </mergeCells>
  <printOptions horizontalCentered="1"/>
  <pageMargins left="0.23622047244094499" right="0.15748031496063" top="0.16" bottom="0.18" header="0.38" footer="0.16"/>
  <pageSetup paperSize="9" orientation="portrait" errors="blank"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S70"/>
  <sheetViews>
    <sheetView showZeros="0" view="pageBreakPreview" topLeftCell="A37" zoomScale="115" zoomScaleNormal="115" zoomScaleSheetLayoutView="115" workbookViewId="0">
      <selection activeCell="I44" sqref="I44"/>
    </sheetView>
  </sheetViews>
  <sheetFormatPr defaultRowHeight="12.75"/>
  <cols>
    <col min="1" max="1" width="4.42578125" style="33" customWidth="1"/>
    <col min="2" max="2" width="23.42578125" style="22" customWidth="1"/>
    <col min="3" max="3" width="2.8554687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0.28515625" style="22" bestFit="1" customWidth="1"/>
    <col min="15" max="15" width="11.7109375" style="22" customWidth="1"/>
    <col min="16" max="16" width="9.140625" style="22"/>
    <col min="17" max="17" width="10.7109375" style="22" bestFit="1" customWidth="1"/>
    <col min="18" max="16384" width="9.140625" style="22"/>
  </cols>
  <sheetData>
    <row r="1" spans="1:17" ht="30" customHeight="1">
      <c r="A1" s="1102" t="s">
        <v>870</v>
      </c>
      <c r="B1" s="1102"/>
      <c r="C1" s="1102"/>
      <c r="D1" s="1102"/>
      <c r="E1" s="1102"/>
      <c r="F1" s="1102"/>
      <c r="G1" s="1102"/>
      <c r="H1" s="1102"/>
      <c r="I1" s="1102"/>
      <c r="J1" s="1102"/>
      <c r="K1" s="1102"/>
      <c r="L1" s="1102"/>
      <c r="M1" s="1102"/>
    </row>
    <row r="2" spans="1:17" s="56" customFormat="1" ht="39" customHeight="1">
      <c r="A2" s="1112" t="str">
        <f>'lead 2025-26'!B3</f>
        <v xml:space="preserve">Name of the work : </v>
      </c>
      <c r="B2" s="1112"/>
      <c r="C2" s="1113" t="str">
        <f>'lead 2025-26'!C3</f>
        <v>Providing BT Surface to the road from Inimerla SC colony to National Highway at Nuchupoda in Inimerla GP of Pamuru Mandal.</v>
      </c>
      <c r="D2" s="1113"/>
      <c r="E2" s="1113"/>
      <c r="F2" s="1113"/>
      <c r="G2" s="1113"/>
      <c r="H2" s="1113"/>
      <c r="I2" s="1113"/>
      <c r="J2" s="1113"/>
      <c r="K2" s="1113"/>
      <c r="L2" s="1113"/>
      <c r="M2" s="1113"/>
    </row>
    <row r="3" spans="1:17" s="56" customFormat="1" ht="35.25" customHeight="1">
      <c r="A3" s="1112" t="s">
        <v>864</v>
      </c>
      <c r="B3" s="1112"/>
      <c r="C3" s="1113" t="s">
        <v>1218</v>
      </c>
      <c r="D3" s="1113"/>
      <c r="E3" s="1113"/>
      <c r="F3" s="1113"/>
      <c r="G3" s="1113"/>
      <c r="H3" s="1113"/>
      <c r="I3" s="1113"/>
      <c r="J3" s="1113"/>
      <c r="K3" s="1113"/>
      <c r="L3" s="1113"/>
      <c r="M3" s="1113"/>
    </row>
    <row r="4" spans="1:17" s="56" customFormat="1" ht="16.5" customHeight="1">
      <c r="A4" s="58"/>
      <c r="B4" s="58"/>
      <c r="C4" s="59"/>
      <c r="D4" s="58"/>
      <c r="E4" s="60"/>
      <c r="F4" s="58"/>
      <c r="G4" s="58"/>
      <c r="H4" s="58"/>
      <c r="I4" s="59"/>
      <c r="J4" s="59"/>
      <c r="K4" s="1104"/>
      <c r="L4" s="1104"/>
      <c r="M4" s="57"/>
    </row>
    <row r="5" spans="1:17" s="61" customFormat="1" ht="15.75" customHeight="1">
      <c r="A5" s="1105" t="s">
        <v>36</v>
      </c>
      <c r="B5" s="1105" t="s">
        <v>15</v>
      </c>
      <c r="C5" s="1105" t="s">
        <v>16</v>
      </c>
      <c r="D5" s="1105"/>
      <c r="E5" s="1105"/>
      <c r="F5" s="1105" t="s">
        <v>17</v>
      </c>
      <c r="G5" s="1105"/>
      <c r="H5" s="1105"/>
      <c r="I5" s="1106" t="s">
        <v>14</v>
      </c>
      <c r="J5" s="1119"/>
      <c r="K5" s="1105" t="s">
        <v>18</v>
      </c>
      <c r="L5" s="1105" t="s">
        <v>8</v>
      </c>
      <c r="M5" s="1105" t="s">
        <v>19</v>
      </c>
    </row>
    <row r="6" spans="1:17" s="61" customFormat="1" ht="15.75">
      <c r="A6" s="1105"/>
      <c r="B6" s="1105"/>
      <c r="C6" s="1105"/>
      <c r="D6" s="1105"/>
      <c r="E6" s="1105"/>
      <c r="F6" s="651" t="s">
        <v>20</v>
      </c>
      <c r="G6" s="651" t="s">
        <v>21</v>
      </c>
      <c r="H6" s="651" t="s">
        <v>22</v>
      </c>
      <c r="I6" s="1108"/>
      <c r="J6" s="1120"/>
      <c r="K6" s="1105"/>
      <c r="L6" s="1105"/>
      <c r="M6" s="1105"/>
    </row>
    <row r="7" spans="1:17" s="62" customFormat="1" ht="15.75">
      <c r="A7" s="325">
        <v>1</v>
      </c>
      <c r="B7" s="325">
        <v>2</v>
      </c>
      <c r="C7" s="1131">
        <v>3</v>
      </c>
      <c r="D7" s="1131"/>
      <c r="E7" s="1131"/>
      <c r="F7" s="325">
        <v>4</v>
      </c>
      <c r="G7" s="325">
        <v>5</v>
      </c>
      <c r="H7" s="325">
        <v>6</v>
      </c>
      <c r="I7" s="1100">
        <v>7</v>
      </c>
      <c r="J7" s="1117"/>
      <c r="K7" s="326">
        <v>8</v>
      </c>
      <c r="L7" s="327">
        <v>9</v>
      </c>
      <c r="M7" s="325">
        <v>10</v>
      </c>
    </row>
    <row r="8" spans="1:17" s="933" customFormat="1" ht="83.25" customHeight="1">
      <c r="A8" s="929">
        <v>1</v>
      </c>
      <c r="B8" s="1133" t="s">
        <v>587</v>
      </c>
      <c r="C8" s="1133"/>
      <c r="D8" s="1133"/>
      <c r="E8" s="1133"/>
      <c r="F8" s="1133"/>
      <c r="G8" s="1133"/>
      <c r="H8" s="1133"/>
      <c r="I8" s="930"/>
      <c r="J8" s="931"/>
      <c r="K8" s="929"/>
      <c r="L8" s="929"/>
      <c r="M8" s="932"/>
      <c r="N8" s="956"/>
      <c r="O8" s="956"/>
    </row>
    <row r="9" spans="1:17" s="946" customFormat="1">
      <c r="A9" s="934"/>
      <c r="B9" s="935" t="s">
        <v>865</v>
      </c>
      <c r="C9" s="936">
        <v>1</v>
      </c>
      <c r="D9" s="937" t="s">
        <v>46</v>
      </c>
      <c r="E9" s="938">
        <v>1</v>
      </c>
      <c r="F9" s="939">
        <v>3.9</v>
      </c>
      <c r="G9" s="939">
        <v>5.3</v>
      </c>
      <c r="H9" s="940">
        <v>1</v>
      </c>
      <c r="I9" s="941">
        <f>ROUND(IF(AND(F9:H9),C9*E9*F9*G9*H9,IF(AND(F9,G9),C9*E9*F9*G9,IF(AND(F9,H9),C9*E9*F9*H9,IF(AND(G9,H9),C9*E9*G9*H9,IF(F9,C9*E9*F9,IF(G9,C9*E9*G9,IF(H9,C9*E9*H9,C9*E9))))))),2)</f>
        <v>20.67</v>
      </c>
      <c r="J9" s="942" t="s">
        <v>10</v>
      </c>
      <c r="K9" s="943"/>
      <c r="L9" s="934"/>
      <c r="M9" s="944"/>
      <c r="N9" s="945"/>
      <c r="Q9" s="945"/>
    </row>
    <row r="10" spans="1:17" s="946" customFormat="1">
      <c r="A10" s="934"/>
      <c r="B10" s="935" t="s">
        <v>755</v>
      </c>
      <c r="C10" s="936">
        <v>2</v>
      </c>
      <c r="D10" s="937" t="s">
        <v>46</v>
      </c>
      <c r="E10" s="938">
        <v>1</v>
      </c>
      <c r="F10" s="939">
        <v>4.9000000000000004</v>
      </c>
      <c r="G10" s="939">
        <v>1.1000000000000001</v>
      </c>
      <c r="H10" s="940">
        <v>1.3</v>
      </c>
      <c r="I10" s="941">
        <f>ROUND(IF(AND(F10:H10),C10*E10*F10*G10*H10,IF(AND(F10,G10),C10*E10*F10*G10,IF(AND(F10,H10),C10*E10*F10*H10,IF(AND(G10,H10),C10*E10*G10*H10,IF(F10,C10*E10*F10,IF(G10,C10*E10*G10,IF(H10,C10*E10*H10,C10*E10))))))),2)</f>
        <v>14.01</v>
      </c>
      <c r="J10" s="942" t="s">
        <v>10</v>
      </c>
      <c r="K10" s="943"/>
      <c r="L10" s="934"/>
      <c r="M10" s="944"/>
      <c r="N10" s="945"/>
      <c r="Q10" s="945"/>
    </row>
    <row r="11" spans="1:17" s="946" customFormat="1">
      <c r="A11" s="934"/>
      <c r="B11" s="935"/>
      <c r="C11" s="936"/>
      <c r="D11" s="937"/>
      <c r="E11" s="938"/>
      <c r="F11" s="939"/>
      <c r="G11" s="939"/>
      <c r="H11" s="940"/>
      <c r="I11" s="941"/>
      <c r="J11" s="942"/>
      <c r="K11" s="943"/>
      <c r="L11" s="934"/>
      <c r="M11" s="944"/>
      <c r="N11" s="945"/>
      <c r="Q11" s="945"/>
    </row>
    <row r="12" spans="1:17" s="946" customFormat="1">
      <c r="A12" s="934"/>
      <c r="B12" s="935" t="s">
        <v>865</v>
      </c>
      <c r="C12" s="936">
        <v>1</v>
      </c>
      <c r="D12" s="937" t="s">
        <v>46</v>
      </c>
      <c r="E12" s="938">
        <v>1</v>
      </c>
      <c r="F12" s="939">
        <v>3.9</v>
      </c>
      <c r="G12" s="939">
        <v>5.3</v>
      </c>
      <c r="H12" s="940">
        <v>1</v>
      </c>
      <c r="I12" s="941">
        <f>ROUND(IF(AND(F12:H12),C12*E12*F12*G12*H12,IF(AND(F12,G12),C12*E12*F12*G12,IF(AND(F12,H12),C12*E12*F12*H12,IF(AND(G12,H12),C12*E12*G12*H12,IF(F12,C12*E12*F12,IF(G12,C12*E12*G12,IF(H12,C12*E12*H12,C12*E12))))))),2)</f>
        <v>20.67</v>
      </c>
      <c r="J12" s="942" t="s">
        <v>10</v>
      </c>
      <c r="K12" s="943"/>
      <c r="L12" s="934"/>
      <c r="M12" s="944"/>
      <c r="N12" s="945"/>
      <c r="Q12" s="945"/>
    </row>
    <row r="13" spans="1:17" s="946" customFormat="1">
      <c r="A13" s="934"/>
      <c r="B13" s="935" t="s">
        <v>755</v>
      </c>
      <c r="C13" s="936">
        <v>2</v>
      </c>
      <c r="D13" s="937" t="s">
        <v>46</v>
      </c>
      <c r="E13" s="938">
        <v>1</v>
      </c>
      <c r="F13" s="939">
        <v>4.9000000000000004</v>
      </c>
      <c r="G13" s="939">
        <v>1.1000000000000001</v>
      </c>
      <c r="H13" s="940">
        <v>1.3</v>
      </c>
      <c r="I13" s="941">
        <f>ROUND(IF(AND(F13:H13),C13*E13*F13*G13*H13,IF(AND(F13,G13),C13*E13*F13*G13,IF(AND(F13,H13),C13*E13*F13*H13,IF(AND(G13,H13),C13*E13*G13*H13,IF(F13,C13*E13*F13,IF(G13,C13*E13*G13,IF(H13,C13*E13*H13,C13*E13))))))),2)</f>
        <v>14.01</v>
      </c>
      <c r="J13" s="942" t="s">
        <v>10</v>
      </c>
      <c r="K13" s="943"/>
      <c r="L13" s="934"/>
      <c r="M13" s="944"/>
      <c r="N13" s="945"/>
      <c r="Q13" s="945"/>
    </row>
    <row r="14" spans="1:17" s="946" customFormat="1">
      <c r="A14" s="934"/>
      <c r="B14" s="935"/>
      <c r="C14" s="936"/>
      <c r="D14" s="937"/>
      <c r="E14" s="938"/>
      <c r="F14" s="939"/>
      <c r="G14" s="939"/>
      <c r="H14" s="940"/>
      <c r="I14" s="941"/>
      <c r="J14" s="942"/>
      <c r="K14" s="943"/>
      <c r="L14" s="934"/>
      <c r="M14" s="944"/>
      <c r="N14" s="945"/>
      <c r="Q14" s="945"/>
    </row>
    <row r="15" spans="1:17" s="954" customFormat="1">
      <c r="A15" s="947"/>
      <c r="B15" s="947"/>
      <c r="C15" s="948"/>
      <c r="D15" s="949"/>
      <c r="E15" s="950"/>
      <c r="F15" s="947"/>
      <c r="G15" s="947"/>
      <c r="H15" s="947"/>
      <c r="I15" s="951"/>
      <c r="J15" s="955" t="s">
        <v>10</v>
      </c>
      <c r="K15" s="952">
        <f>'CD WORK DATA'!H37</f>
        <v>126.69</v>
      </c>
      <c r="L15" s="957" t="s">
        <v>23</v>
      </c>
      <c r="M15" s="953">
        <f>ROUND(I15*K15/1,0)</f>
        <v>0</v>
      </c>
    </row>
    <row r="16" spans="1:17" s="933" customFormat="1" ht="72" customHeight="1">
      <c r="A16" s="929">
        <v>2</v>
      </c>
      <c r="B16" s="1133" t="s">
        <v>866</v>
      </c>
      <c r="C16" s="1133"/>
      <c r="D16" s="1133"/>
      <c r="E16" s="1133"/>
      <c r="F16" s="1133"/>
      <c r="G16" s="1133"/>
      <c r="H16" s="1133"/>
      <c r="I16" s="930"/>
      <c r="J16" s="931"/>
      <c r="K16" s="929"/>
      <c r="L16" s="929"/>
      <c r="M16" s="932"/>
      <c r="N16" s="956">
        <f>N72</f>
        <v>0</v>
      </c>
      <c r="O16" s="956">
        <f>N69</f>
        <v>0</v>
      </c>
    </row>
    <row r="17" spans="1:17" s="946" customFormat="1">
      <c r="A17" s="934"/>
      <c r="B17" s="935" t="s">
        <v>865</v>
      </c>
      <c r="C17" s="936">
        <v>1</v>
      </c>
      <c r="D17" s="937" t="s">
        <v>46</v>
      </c>
      <c r="E17" s="938">
        <v>1</v>
      </c>
      <c r="F17" s="939">
        <v>3.9</v>
      </c>
      <c r="G17" s="939">
        <v>5.3</v>
      </c>
      <c r="H17" s="940">
        <v>0.3</v>
      </c>
      <c r="I17" s="941">
        <f>ROUND(IF(AND(F17:H17),C17*E17*F17*G17*H17,IF(AND(F17,G17),C17*E17*F17*G17,IF(AND(F17,H17),C17*E17*F17*H17,IF(AND(G17,H17),C17*E17*G17*H17,IF(F17,C17*E17*F17,IF(G17,C17*E17*G17,IF(H17,C17*E17*H17,C17*E17))))))),2)</f>
        <v>6.2</v>
      </c>
      <c r="J17" s="942" t="s">
        <v>10</v>
      </c>
      <c r="K17" s="943"/>
      <c r="L17" s="934"/>
      <c r="M17" s="944"/>
      <c r="N17" s="945"/>
      <c r="Q17" s="945"/>
    </row>
    <row r="18" spans="1:17" s="946" customFormat="1">
      <c r="A18" s="934"/>
      <c r="B18" s="935" t="s">
        <v>755</v>
      </c>
      <c r="C18" s="936">
        <v>2</v>
      </c>
      <c r="D18" s="937" t="s">
        <v>46</v>
      </c>
      <c r="E18" s="938">
        <v>1</v>
      </c>
      <c r="F18" s="939">
        <v>4.9000000000000004</v>
      </c>
      <c r="G18" s="939">
        <v>1.1000000000000001</v>
      </c>
      <c r="H18" s="940">
        <v>0.3</v>
      </c>
      <c r="I18" s="941">
        <f>ROUND(IF(AND(F18:H18),C18*E18*F18*G18*H18,IF(AND(F18,G18),C18*E18*F18*G18,IF(AND(F18,H18),C18*E18*F18*H18,IF(AND(G18,H18),C18*E18*G18*H18,IF(F18,C18*E18*F18,IF(G18,C18*E18*G18,IF(H18,C18*E18*H18,C18*E18))))))),2)</f>
        <v>3.23</v>
      </c>
      <c r="J18" s="942" t="s">
        <v>10</v>
      </c>
      <c r="K18" s="943"/>
      <c r="L18" s="934"/>
      <c r="M18" s="944"/>
      <c r="N18" s="945"/>
      <c r="Q18" s="945"/>
    </row>
    <row r="19" spans="1:17" s="946" customFormat="1" ht="25.5">
      <c r="A19" s="934"/>
      <c r="B19" s="935" t="s">
        <v>869</v>
      </c>
      <c r="C19" s="936">
        <v>1</v>
      </c>
      <c r="D19" s="937" t="s">
        <v>46</v>
      </c>
      <c r="E19" s="938">
        <v>1</v>
      </c>
      <c r="F19" s="939">
        <f>F17</f>
        <v>3.9</v>
      </c>
      <c r="G19" s="939" t="s">
        <v>1176</v>
      </c>
      <c r="H19" s="940">
        <v>1.4</v>
      </c>
      <c r="I19" s="941">
        <f>ROUND(C19*E19*F19*H19*(5.76+6.48)/2,2)</f>
        <v>33.42</v>
      </c>
      <c r="J19" s="942" t="s">
        <v>10</v>
      </c>
      <c r="K19" s="943"/>
      <c r="L19" s="934"/>
      <c r="M19" s="944"/>
      <c r="N19" s="945"/>
      <c r="Q19" s="945"/>
    </row>
    <row r="20" spans="1:17" s="946" customFormat="1" ht="25.5">
      <c r="A20" s="934"/>
      <c r="B20" s="935" t="s">
        <v>756</v>
      </c>
      <c r="C20" s="936">
        <v>2</v>
      </c>
      <c r="D20" s="937" t="s">
        <v>46</v>
      </c>
      <c r="E20" s="958">
        <v>0.78500000000000003</v>
      </c>
      <c r="F20" s="939" t="s">
        <v>1176</v>
      </c>
      <c r="G20" s="939">
        <v>1.2</v>
      </c>
      <c r="H20" s="940">
        <v>1.2</v>
      </c>
      <c r="I20" s="941">
        <f>-ROUND(C20*E20*G20*H20*(5.76+6.48)/2,2)</f>
        <v>-13.84</v>
      </c>
      <c r="J20" s="942" t="s">
        <v>10</v>
      </c>
      <c r="K20" s="943"/>
      <c r="L20" s="934"/>
      <c r="M20" s="944"/>
      <c r="N20" s="945"/>
      <c r="Q20" s="945"/>
    </row>
    <row r="21" spans="1:17" s="946" customFormat="1">
      <c r="A21" s="934"/>
      <c r="B21" s="935"/>
      <c r="C21" s="936"/>
      <c r="D21" s="937"/>
      <c r="E21" s="958"/>
      <c r="F21" s="939"/>
      <c r="G21" s="939"/>
      <c r="H21" s="940"/>
      <c r="I21" s="941"/>
      <c r="J21" s="942"/>
      <c r="K21" s="943"/>
      <c r="L21" s="934"/>
      <c r="M21" s="944"/>
      <c r="N21" s="945"/>
      <c r="Q21" s="945"/>
    </row>
    <row r="22" spans="1:17" s="946" customFormat="1">
      <c r="A22" s="934"/>
      <c r="B22" s="935" t="s">
        <v>865</v>
      </c>
      <c r="C22" s="936">
        <v>1</v>
      </c>
      <c r="D22" s="937" t="s">
        <v>46</v>
      </c>
      <c r="E22" s="938">
        <v>1</v>
      </c>
      <c r="F22" s="939">
        <v>3.9</v>
      </c>
      <c r="G22" s="939">
        <v>5.3</v>
      </c>
      <c r="H22" s="940">
        <v>0.3</v>
      </c>
      <c r="I22" s="941">
        <f>ROUND(IF(AND(F22:H22),C22*E22*F22*G22*H22,IF(AND(F22,G22),C22*E22*F22*G22,IF(AND(F22,H22),C22*E22*F22*H22,IF(AND(G22,H22),C22*E22*G22*H22,IF(F22,C22*E22*F22,IF(G22,C22*E22*G22,IF(H22,C22*E22*H22,C22*E22))))))),2)</f>
        <v>6.2</v>
      </c>
      <c r="J22" s="942" t="s">
        <v>10</v>
      </c>
      <c r="K22" s="943"/>
      <c r="L22" s="934"/>
      <c r="M22" s="944"/>
      <c r="N22" s="945"/>
      <c r="Q22" s="945"/>
    </row>
    <row r="23" spans="1:17" s="946" customFormat="1">
      <c r="A23" s="934"/>
      <c r="B23" s="935" t="s">
        <v>755</v>
      </c>
      <c r="C23" s="936">
        <v>2</v>
      </c>
      <c r="D23" s="937" t="s">
        <v>46</v>
      </c>
      <c r="E23" s="938">
        <v>1</v>
      </c>
      <c r="F23" s="939">
        <v>4.9000000000000004</v>
      </c>
      <c r="G23" s="939">
        <v>1.1000000000000001</v>
      </c>
      <c r="H23" s="940">
        <v>0.3</v>
      </c>
      <c r="I23" s="941">
        <f>ROUND(IF(AND(F23:H23),C23*E23*F23*G23*H23,IF(AND(F23,G23),C23*E23*F23*G23,IF(AND(F23,H23),C23*E23*F23*H23,IF(AND(G23,H23),C23*E23*G23*H23,IF(F23,C23*E23*F23,IF(G23,C23*E23*G23,IF(H23,C23*E23*H23,C23*E23))))))),2)</f>
        <v>3.23</v>
      </c>
      <c r="J23" s="942" t="s">
        <v>10</v>
      </c>
      <c r="K23" s="943"/>
      <c r="L23" s="934"/>
      <c r="M23" s="944"/>
      <c r="N23" s="945"/>
      <c r="Q23" s="945"/>
    </row>
    <row r="24" spans="1:17" s="946" customFormat="1" ht="25.5">
      <c r="A24" s="934"/>
      <c r="B24" s="935" t="s">
        <v>869</v>
      </c>
      <c r="C24" s="936">
        <v>1</v>
      </c>
      <c r="D24" s="937" t="s">
        <v>46</v>
      </c>
      <c r="E24" s="938">
        <v>1</v>
      </c>
      <c r="F24" s="939">
        <v>3.9</v>
      </c>
      <c r="G24" s="939" t="s">
        <v>1176</v>
      </c>
      <c r="H24" s="940">
        <v>1.4</v>
      </c>
      <c r="I24" s="941">
        <f>ROUND(C24*E24*F24*H24*(5.76+6.48)/2,2)</f>
        <v>33.42</v>
      </c>
      <c r="J24" s="942" t="s">
        <v>10</v>
      </c>
      <c r="K24" s="943"/>
      <c r="L24" s="934"/>
      <c r="M24" s="944"/>
      <c r="N24" s="945"/>
      <c r="Q24" s="945"/>
    </row>
    <row r="25" spans="1:17" s="946" customFormat="1" ht="25.5">
      <c r="A25" s="934"/>
      <c r="B25" s="935" t="s">
        <v>756</v>
      </c>
      <c r="C25" s="936">
        <v>2</v>
      </c>
      <c r="D25" s="937" t="s">
        <v>46</v>
      </c>
      <c r="E25" s="958">
        <v>0.78500000000000003</v>
      </c>
      <c r="F25" s="939" t="s">
        <v>1176</v>
      </c>
      <c r="G25" s="939">
        <v>1.2</v>
      </c>
      <c r="H25" s="940">
        <v>1.2</v>
      </c>
      <c r="I25" s="941">
        <f>-ROUND(C25*E25*G25*H25*(5.76+6.48)/2,2)</f>
        <v>-13.84</v>
      </c>
      <c r="J25" s="942" t="s">
        <v>10</v>
      </c>
      <c r="K25" s="943"/>
      <c r="L25" s="934"/>
      <c r="M25" s="944"/>
      <c r="N25" s="945"/>
      <c r="Q25" s="945"/>
    </row>
    <row r="26" spans="1:17" s="946" customFormat="1">
      <c r="A26" s="934"/>
      <c r="B26" s="935"/>
      <c r="C26" s="936"/>
      <c r="D26" s="937"/>
      <c r="E26" s="938"/>
      <c r="F26" s="939"/>
      <c r="G26" s="939"/>
      <c r="H26" s="940"/>
      <c r="I26" s="941"/>
      <c r="J26" s="942"/>
      <c r="K26" s="943"/>
      <c r="L26" s="934"/>
      <c r="M26" s="944"/>
      <c r="N26" s="945"/>
      <c r="Q26" s="945"/>
    </row>
    <row r="27" spans="1:17" s="954" customFormat="1">
      <c r="A27" s="947"/>
      <c r="B27" s="947"/>
      <c r="C27" s="948"/>
      <c r="D27" s="949"/>
      <c r="E27" s="950"/>
      <c r="F27" s="947"/>
      <c r="G27" s="947"/>
      <c r="H27" s="947"/>
      <c r="I27" s="951"/>
      <c r="J27" s="955" t="s">
        <v>10</v>
      </c>
      <c r="K27" s="952">
        <f>'CD WORK DATA'!H54</f>
        <v>5600.99</v>
      </c>
      <c r="L27" s="957" t="s">
        <v>23</v>
      </c>
      <c r="M27" s="953">
        <f>ROUND(I27*K27/1,0)</f>
        <v>0</v>
      </c>
    </row>
    <row r="28" spans="1:17" s="933" customFormat="1" ht="55.5" customHeight="1">
      <c r="A28" s="929">
        <v>3</v>
      </c>
      <c r="B28" s="1133" t="s">
        <v>867</v>
      </c>
      <c r="C28" s="1133"/>
      <c r="D28" s="1133"/>
      <c r="E28" s="1133"/>
      <c r="F28" s="1133"/>
      <c r="G28" s="1133"/>
      <c r="H28" s="1133"/>
      <c r="I28" s="930"/>
      <c r="J28" s="931"/>
      <c r="K28" s="929"/>
      <c r="L28" s="929"/>
      <c r="M28" s="932"/>
      <c r="N28" s="956">
        <f>N72</f>
        <v>0</v>
      </c>
      <c r="O28" s="956">
        <f>N69</f>
        <v>0</v>
      </c>
    </row>
    <row r="29" spans="1:17" s="946" customFormat="1">
      <c r="A29" s="934"/>
      <c r="B29" s="935"/>
      <c r="C29" s="936">
        <v>2</v>
      </c>
      <c r="D29" s="937" t="s">
        <v>46</v>
      </c>
      <c r="E29" s="938">
        <v>3</v>
      </c>
      <c r="F29" s="939">
        <v>2.5</v>
      </c>
      <c r="G29" s="939">
        <v>0</v>
      </c>
      <c r="H29" s="940">
        <v>0</v>
      </c>
      <c r="I29" s="941">
        <f>ROUND(IF(AND(F29:H29),C29*E29*F29*G29*H29,IF(AND(F29,G29),C29*E29*F29*G29,IF(AND(F29,H29),C29*E29*F29*H29,IF(AND(G29,H29),C29*E29*G29*H29,IF(F29,C29*E29*F29,IF(G29,C29*E29*G29,IF(H29,C29*E29*H29,C29*E29))))))),2)</f>
        <v>15</v>
      </c>
      <c r="J29" s="942" t="s">
        <v>612</v>
      </c>
      <c r="K29" s="943"/>
      <c r="L29" s="934"/>
      <c r="M29" s="944"/>
      <c r="N29" s="945"/>
      <c r="Q29" s="945"/>
    </row>
    <row r="30" spans="1:17" s="946" customFormat="1">
      <c r="A30" s="934"/>
      <c r="B30" s="935"/>
      <c r="C30" s="936">
        <v>2</v>
      </c>
      <c r="D30" s="937" t="s">
        <v>46</v>
      </c>
      <c r="E30" s="938">
        <v>3</v>
      </c>
      <c r="F30" s="939">
        <v>2.5</v>
      </c>
      <c r="G30" s="939">
        <v>0</v>
      </c>
      <c r="H30" s="940">
        <v>0</v>
      </c>
      <c r="I30" s="941">
        <f>ROUND(IF(AND(F30:H30),C30*E30*F30*G30*H30,IF(AND(F30,G30),C30*E30*F30*G30,IF(AND(F30,H30),C30*E30*F30*H30,IF(AND(G30,H30),C30*E30*G30*H30,IF(F30,C30*E30*F30,IF(G30,C30*E30*G30,IF(H30,C30*E30*H30,C30*E30))))))),2)</f>
        <v>15</v>
      </c>
      <c r="J30" s="942" t="s">
        <v>612</v>
      </c>
      <c r="K30" s="943"/>
      <c r="L30" s="934"/>
      <c r="M30" s="944"/>
      <c r="N30" s="945"/>
      <c r="Q30" s="945"/>
    </row>
    <row r="31" spans="1:17" s="946" customFormat="1">
      <c r="A31" s="934"/>
      <c r="B31" s="935"/>
      <c r="C31" s="936"/>
      <c r="D31" s="937"/>
      <c r="E31" s="938"/>
      <c r="F31" s="939"/>
      <c r="G31" s="939"/>
      <c r="H31" s="940"/>
      <c r="I31" s="941"/>
      <c r="J31" s="942"/>
      <c r="K31" s="943"/>
      <c r="L31" s="934"/>
      <c r="M31" s="944"/>
      <c r="N31" s="945"/>
      <c r="Q31" s="945"/>
    </row>
    <row r="32" spans="1:17" s="954" customFormat="1">
      <c r="A32" s="947"/>
      <c r="B32" s="947"/>
      <c r="C32" s="948"/>
      <c r="D32" s="949"/>
      <c r="E32" s="950"/>
      <c r="F32" s="947"/>
      <c r="G32" s="947"/>
      <c r="H32" s="947"/>
      <c r="I32" s="951"/>
      <c r="J32" s="942" t="s">
        <v>612</v>
      </c>
      <c r="K32" s="952">
        <f>'CD WORK DATA'!H164</f>
        <v>9006.27</v>
      </c>
      <c r="L32" s="957" t="s">
        <v>614</v>
      </c>
      <c r="M32" s="953">
        <f>ROUND(I32*K32/1,0)</f>
        <v>0</v>
      </c>
    </row>
    <row r="33" spans="1:17" s="933" customFormat="1" ht="57.75" customHeight="1">
      <c r="A33" s="929">
        <v>4</v>
      </c>
      <c r="B33" s="1133" t="s">
        <v>432</v>
      </c>
      <c r="C33" s="1133"/>
      <c r="D33" s="1133"/>
      <c r="E33" s="1133"/>
      <c r="F33" s="1133"/>
      <c r="G33" s="1133"/>
      <c r="H33" s="1133"/>
      <c r="I33" s="930"/>
      <c r="J33" s="931"/>
      <c r="K33" s="929"/>
      <c r="L33" s="929"/>
      <c r="M33" s="932"/>
      <c r="N33" s="956">
        <f>N77</f>
        <v>0</v>
      </c>
      <c r="O33" s="956">
        <f>N74</f>
        <v>0</v>
      </c>
    </row>
    <row r="34" spans="1:17" s="946" customFormat="1">
      <c r="A34" s="934"/>
      <c r="B34" s="935" t="s">
        <v>755</v>
      </c>
      <c r="C34" s="936">
        <v>1</v>
      </c>
      <c r="D34" s="937" t="s">
        <v>46</v>
      </c>
      <c r="E34" s="938">
        <v>2</v>
      </c>
      <c r="F34" s="939">
        <v>4.9000000000000004</v>
      </c>
      <c r="G34" s="939">
        <v>1.1000000000000001</v>
      </c>
      <c r="H34" s="940">
        <v>0.3</v>
      </c>
      <c r="I34" s="941">
        <f>ROUND(IF(AND(F34:H34),C34*E34*F34*G34*H34,IF(AND(F34,G34),C34*E34*F34*G34,IF(AND(F34,H34),C34*E34*F34*H34,IF(AND(G34,H34),C34*E34*G34*H34,IF(F34,C34*E34*F34,IF(G34,C34*E34*G34,IF(H34,C34*E34*H34,C34*E34))))))),2)</f>
        <v>3.23</v>
      </c>
      <c r="J34" s="942" t="s">
        <v>10</v>
      </c>
      <c r="K34" s="943"/>
      <c r="L34" s="934"/>
      <c r="M34" s="944"/>
      <c r="N34" s="945"/>
      <c r="Q34" s="945"/>
    </row>
    <row r="35" spans="1:17" s="946" customFormat="1" ht="25.5">
      <c r="A35" s="934"/>
      <c r="B35" s="935" t="s">
        <v>755</v>
      </c>
      <c r="C35" s="936">
        <v>1</v>
      </c>
      <c r="D35" s="937" t="s">
        <v>46</v>
      </c>
      <c r="E35" s="938">
        <v>2</v>
      </c>
      <c r="F35" s="939">
        <v>4.9000000000000004</v>
      </c>
      <c r="G35" s="939" t="s">
        <v>868</v>
      </c>
      <c r="H35" s="940">
        <v>1.4</v>
      </c>
      <c r="I35" s="941">
        <f>ROUND(C35*E35*F35*H35*(0.9+0.45)/2,2)</f>
        <v>9.26</v>
      </c>
      <c r="J35" s="942" t="s">
        <v>10</v>
      </c>
      <c r="K35" s="943"/>
      <c r="L35" s="934"/>
      <c r="M35" s="944"/>
      <c r="N35" s="945"/>
      <c r="Q35" s="945"/>
    </row>
    <row r="36" spans="1:17" s="946" customFormat="1" ht="25.5">
      <c r="A36" s="934"/>
      <c r="B36" s="935" t="s">
        <v>756</v>
      </c>
      <c r="C36" s="936">
        <v>4</v>
      </c>
      <c r="D36" s="937" t="s">
        <v>46</v>
      </c>
      <c r="E36" s="958">
        <v>0.78500000000000003</v>
      </c>
      <c r="F36" s="939">
        <v>1.2</v>
      </c>
      <c r="G36" s="939" t="s">
        <v>1177</v>
      </c>
      <c r="H36" s="940">
        <v>1.2</v>
      </c>
      <c r="I36" s="941">
        <f>-ROUND(C36*E36*F36*H36*(0.87+0.51)/2,2)</f>
        <v>-3.12</v>
      </c>
      <c r="J36" s="942" t="s">
        <v>10</v>
      </c>
      <c r="K36" s="943"/>
      <c r="L36" s="934"/>
      <c r="M36" s="944"/>
      <c r="N36" s="945"/>
      <c r="Q36" s="945"/>
    </row>
    <row r="37" spans="1:17" s="946" customFormat="1">
      <c r="A37" s="934"/>
      <c r="B37" s="935" t="s">
        <v>1178</v>
      </c>
      <c r="C37" s="936">
        <v>1</v>
      </c>
      <c r="D37" s="937" t="s">
        <v>46</v>
      </c>
      <c r="E37" s="938">
        <v>2</v>
      </c>
      <c r="F37" s="939">
        <v>3.9</v>
      </c>
      <c r="G37" s="939">
        <v>0.23</v>
      </c>
      <c r="H37" s="940">
        <v>0.6</v>
      </c>
      <c r="I37" s="941">
        <f>ROUND(IF(AND(F37:H37),C37*E37*F37*G37*H37,IF(AND(F37,G37),C37*E37*F37*G37,IF(AND(F37,H37),C37*E37*F37*H37,IF(AND(G37,H37),C37*E37*G37*H37,IF(F37,C37*E37*F37,IF(G37,C37*E37*G37,IF(H37,C37*E37*H37,C37*E37))))))),2)</f>
        <v>1.08</v>
      </c>
      <c r="J37" s="942" t="s">
        <v>10</v>
      </c>
      <c r="K37" s="943"/>
      <c r="L37" s="934"/>
      <c r="M37" s="944"/>
      <c r="N37" s="945"/>
      <c r="Q37" s="945"/>
    </row>
    <row r="38" spans="1:17" s="946" customFormat="1">
      <c r="A38" s="934"/>
      <c r="B38" s="935"/>
      <c r="C38" s="936"/>
      <c r="D38" s="937"/>
      <c r="E38" s="938"/>
      <c r="F38" s="939"/>
      <c r="G38" s="939"/>
      <c r="H38" s="940"/>
      <c r="I38" s="941"/>
      <c r="J38" s="942"/>
      <c r="K38" s="943"/>
      <c r="L38" s="934"/>
      <c r="M38" s="944"/>
      <c r="N38" s="945"/>
      <c r="Q38" s="945"/>
    </row>
    <row r="39" spans="1:17" s="946" customFormat="1">
      <c r="A39" s="934"/>
      <c r="B39" s="935" t="s">
        <v>755</v>
      </c>
      <c r="C39" s="936">
        <v>1</v>
      </c>
      <c r="D39" s="937" t="s">
        <v>46</v>
      </c>
      <c r="E39" s="938">
        <v>2</v>
      </c>
      <c r="F39" s="939">
        <v>4.9000000000000004</v>
      </c>
      <c r="G39" s="939">
        <v>1.1000000000000001</v>
      </c>
      <c r="H39" s="940">
        <v>0.3</v>
      </c>
      <c r="I39" s="941">
        <f>ROUND(IF(AND(F39:H39),C39*E39*F39*G39*H39,IF(AND(F39,G39),C39*E39*F39*G39,IF(AND(F39,H39),C39*E39*F39*H39,IF(AND(G39,H39),C39*E39*G39*H39,IF(F39,C39*E39*F39,IF(G39,C39*E39*G39,IF(H39,C39*E39*H39,C39*E39))))))),2)</f>
        <v>3.23</v>
      </c>
      <c r="J39" s="942" t="s">
        <v>10</v>
      </c>
      <c r="K39" s="943"/>
      <c r="L39" s="934"/>
      <c r="M39" s="944"/>
      <c r="N39" s="945"/>
      <c r="Q39" s="945"/>
    </row>
    <row r="40" spans="1:17" s="946" customFormat="1" ht="25.5">
      <c r="A40" s="934"/>
      <c r="B40" s="935" t="s">
        <v>755</v>
      </c>
      <c r="C40" s="936">
        <v>1</v>
      </c>
      <c r="D40" s="937" t="s">
        <v>46</v>
      </c>
      <c r="E40" s="938">
        <v>2</v>
      </c>
      <c r="F40" s="939">
        <v>4.9000000000000004</v>
      </c>
      <c r="G40" s="939" t="s">
        <v>868</v>
      </c>
      <c r="H40" s="940">
        <v>1.4</v>
      </c>
      <c r="I40" s="941">
        <f>ROUND(C40*E40*F40*H40*(0.9+0.45)/2,2)</f>
        <v>9.26</v>
      </c>
      <c r="J40" s="942" t="s">
        <v>10</v>
      </c>
      <c r="K40" s="943"/>
      <c r="L40" s="934"/>
      <c r="M40" s="944"/>
      <c r="N40" s="945"/>
      <c r="Q40" s="945"/>
    </row>
    <row r="41" spans="1:17" s="946" customFormat="1" ht="25.5">
      <c r="A41" s="934"/>
      <c r="B41" s="935" t="s">
        <v>756</v>
      </c>
      <c r="C41" s="936">
        <v>4</v>
      </c>
      <c r="D41" s="937" t="s">
        <v>46</v>
      </c>
      <c r="E41" s="958">
        <v>0.78500000000000003</v>
      </c>
      <c r="F41" s="939">
        <v>1.2</v>
      </c>
      <c r="G41" s="939" t="s">
        <v>1177</v>
      </c>
      <c r="H41" s="940">
        <v>1.2</v>
      </c>
      <c r="I41" s="941">
        <f>-ROUND(C41*E41*F41*H41*(0.87+0.51)/2,2)</f>
        <v>-3.12</v>
      </c>
      <c r="J41" s="942" t="s">
        <v>10</v>
      </c>
      <c r="K41" s="943"/>
      <c r="L41" s="934"/>
      <c r="M41" s="944"/>
      <c r="N41" s="945"/>
      <c r="Q41" s="945"/>
    </row>
    <row r="42" spans="1:17" s="946" customFormat="1">
      <c r="A42" s="934"/>
      <c r="B42" s="935" t="s">
        <v>1178</v>
      </c>
      <c r="C42" s="936">
        <v>1</v>
      </c>
      <c r="D42" s="937" t="s">
        <v>46</v>
      </c>
      <c r="E42" s="938">
        <v>2</v>
      </c>
      <c r="F42" s="939">
        <v>3.9</v>
      </c>
      <c r="G42" s="939">
        <v>0.23</v>
      </c>
      <c r="H42" s="940">
        <v>0.6</v>
      </c>
      <c r="I42" s="941">
        <f>ROUND(IF(AND(F42:H42),C42*E42*F42*G42*H42,IF(AND(F42,G42),C42*E42*F42*G42,IF(AND(F42,H42),C42*E42*F42*H42,IF(AND(G42,H42),C42*E42*G42*H42,IF(F42,C42*E42*F42,IF(G42,C42*E42*G42,IF(H42,C42*E42*H42,C42*E42))))))),2)</f>
        <v>1.08</v>
      </c>
      <c r="J42" s="942" t="s">
        <v>10</v>
      </c>
      <c r="K42" s="943"/>
      <c r="L42" s="934"/>
      <c r="M42" s="944"/>
      <c r="N42" s="945"/>
      <c r="Q42" s="945"/>
    </row>
    <row r="43" spans="1:17" s="946" customFormat="1">
      <c r="A43" s="934"/>
      <c r="B43" s="935"/>
      <c r="C43" s="936"/>
      <c r="D43" s="937"/>
      <c r="E43" s="938"/>
      <c r="F43" s="939"/>
      <c r="G43" s="939"/>
      <c r="H43" s="940"/>
      <c r="I43" s="941"/>
      <c r="J43" s="942"/>
      <c r="K43" s="943"/>
      <c r="L43" s="934"/>
      <c r="M43" s="944"/>
      <c r="N43" s="945"/>
      <c r="Q43" s="945"/>
    </row>
    <row r="44" spans="1:17" s="954" customFormat="1">
      <c r="A44" s="947"/>
      <c r="B44" s="947"/>
      <c r="C44" s="948"/>
      <c r="D44" s="949"/>
      <c r="E44" s="950"/>
      <c r="F44" s="947"/>
      <c r="G44" s="947"/>
      <c r="H44" s="947"/>
      <c r="I44" s="951"/>
      <c r="J44" s="955" t="s">
        <v>10</v>
      </c>
      <c r="K44" s="952">
        <f>'CD WORK DATA'!H74</f>
        <v>5954.5599999999995</v>
      </c>
      <c r="L44" s="957" t="s">
        <v>23</v>
      </c>
      <c r="M44" s="953">
        <f>ROUND(I44*K44/1,0)</f>
        <v>0</v>
      </c>
    </row>
    <row r="45" spans="1:17" s="85" customFormat="1" ht="84.75" hidden="1" customHeight="1">
      <c r="A45" s="81">
        <v>5</v>
      </c>
      <c r="B45" s="1118" t="s">
        <v>838</v>
      </c>
      <c r="C45" s="1118"/>
      <c r="D45" s="1118"/>
      <c r="E45" s="1118"/>
      <c r="F45" s="1118"/>
      <c r="G45" s="1118"/>
      <c r="H45" s="1118"/>
      <c r="I45" s="82"/>
      <c r="J45" s="83"/>
      <c r="K45" s="81"/>
      <c r="L45" s="81"/>
      <c r="M45" s="84"/>
      <c r="N45" s="180">
        <f>N83</f>
        <v>0</v>
      </c>
      <c r="O45" s="180">
        <f>N80</f>
        <v>0</v>
      </c>
    </row>
    <row r="46" spans="1:17" s="156" customFormat="1" hidden="1">
      <c r="A46" s="151"/>
      <c r="B46" s="166"/>
      <c r="C46" s="793">
        <v>20</v>
      </c>
      <c r="D46" s="794" t="s">
        <v>46</v>
      </c>
      <c r="E46" s="792">
        <v>0.78500000000000003</v>
      </c>
      <c r="F46" s="795">
        <v>0.2</v>
      </c>
      <c r="G46" s="796">
        <v>0.2</v>
      </c>
      <c r="H46" s="797">
        <v>0.6</v>
      </c>
      <c r="I46" s="798">
        <f t="shared" ref="I46" si="0">ROUND(IF(AND(F46:H46),C46*E46*F46*G46*H46,IF(AND(F46,G46),C46*E46*F46*G46,IF(AND(F46,H46),C46*E46*F46*H46,IF(AND(G46,H46),C46*E46*G46*H46,IF(F46,C46*E46*F46,IF(G46,C46*E46*G46,IF(H46,C46*E46*H46,C46*E46))))))),2)</f>
        <v>0.38</v>
      </c>
      <c r="J46" s="799" t="s">
        <v>10</v>
      </c>
      <c r="K46" s="107"/>
      <c r="L46" s="151"/>
      <c r="M46" s="157"/>
      <c r="N46" s="155"/>
      <c r="Q46" s="155"/>
    </row>
    <row r="47" spans="1:17" s="156" customFormat="1" hidden="1">
      <c r="A47" s="151"/>
      <c r="B47" s="166"/>
      <c r="C47" s="152"/>
      <c r="D47" s="153"/>
      <c r="E47" s="154"/>
      <c r="F47" s="94"/>
      <c r="G47" s="94"/>
      <c r="H47" s="160"/>
      <c r="I47" s="90"/>
      <c r="J47" s="91"/>
      <c r="K47" s="107"/>
      <c r="L47" s="151"/>
      <c r="M47" s="157"/>
      <c r="N47" s="155"/>
      <c r="Q47" s="155"/>
    </row>
    <row r="48" spans="1:17" s="92" customFormat="1" hidden="1">
      <c r="A48" s="86"/>
      <c r="B48" s="86"/>
      <c r="C48" s="87"/>
      <c r="D48" s="88"/>
      <c r="E48" s="89"/>
      <c r="F48" s="86"/>
      <c r="G48" s="86"/>
      <c r="H48" s="86"/>
      <c r="I48" s="181"/>
      <c r="J48" s="182" t="s">
        <v>10</v>
      </c>
      <c r="K48" s="183">
        <f>'CD WORK DATA'!H114</f>
        <v>7542</v>
      </c>
      <c r="L48" s="78" t="s">
        <v>23</v>
      </c>
      <c r="M48" s="185">
        <f>ROUND(I48*K48/1,0)</f>
        <v>0</v>
      </c>
    </row>
    <row r="49" spans="1:19" s="32" customFormat="1" ht="56.25" hidden="1" customHeight="1">
      <c r="A49" s="73">
        <v>6</v>
      </c>
      <c r="B49" s="1132" t="s">
        <v>589</v>
      </c>
      <c r="C49" s="1132"/>
      <c r="D49" s="1132"/>
      <c r="E49" s="1132"/>
      <c r="F49" s="1132"/>
      <c r="G49" s="1132"/>
      <c r="H49" s="1132"/>
      <c r="I49" s="800"/>
      <c r="J49" s="801"/>
      <c r="K49" s="802"/>
      <c r="L49" s="802"/>
      <c r="M49" s="803"/>
      <c r="O49" s="804"/>
      <c r="P49" s="804"/>
      <c r="Q49" s="804"/>
      <c r="R49" s="804"/>
      <c r="S49" s="804"/>
    </row>
    <row r="50" spans="1:19" s="32" customFormat="1" hidden="1">
      <c r="A50" s="73"/>
      <c r="B50" s="805" t="s">
        <v>893</v>
      </c>
      <c r="C50" s="806"/>
      <c r="D50" s="807"/>
      <c r="E50" s="808"/>
      <c r="F50" s="809"/>
      <c r="G50" s="796"/>
      <c r="H50" s="797"/>
      <c r="I50" s="810">
        <f>ROUND((I48*0.2)/0.38,2)</f>
        <v>0</v>
      </c>
      <c r="J50" s="165" t="s">
        <v>45</v>
      </c>
      <c r="K50" s="802"/>
      <c r="L50" s="802"/>
      <c r="M50" s="803"/>
      <c r="N50" s="811"/>
      <c r="O50" s="812"/>
    </row>
    <row r="51" spans="1:19" s="32" customFormat="1" hidden="1">
      <c r="A51" s="73"/>
      <c r="B51" s="805"/>
      <c r="C51" s="793"/>
      <c r="D51" s="794"/>
      <c r="E51" s="813"/>
      <c r="F51" s="795"/>
      <c r="G51" s="795"/>
      <c r="H51" s="814"/>
      <c r="I51" s="798"/>
      <c r="J51" s="799"/>
      <c r="K51" s="802"/>
      <c r="L51" s="802"/>
      <c r="M51" s="803"/>
      <c r="N51" s="811"/>
    </row>
    <row r="52" spans="1:19" s="32" customFormat="1" hidden="1">
      <c r="A52" s="73"/>
      <c r="B52" s="815"/>
      <c r="C52" s="816"/>
      <c r="D52" s="817"/>
      <c r="E52" s="801"/>
      <c r="F52" s="73"/>
      <c r="G52" s="802"/>
      <c r="H52" s="78"/>
      <c r="I52" s="79">
        <f>SUM(I50:I51)</f>
        <v>0</v>
      </c>
      <c r="J52" s="165" t="s">
        <v>45</v>
      </c>
      <c r="K52" s="78">
        <f>'CD WORK DATA'!H147</f>
        <v>86540.55</v>
      </c>
      <c r="L52" s="78" t="s">
        <v>507</v>
      </c>
      <c r="M52" s="96">
        <f>ROUND(I52*K52,0)</f>
        <v>0</v>
      </c>
      <c r="N52" s="811"/>
    </row>
    <row r="53" spans="1:19" s="32" customFormat="1" ht="67.5" hidden="1" customHeight="1">
      <c r="A53" s="73">
        <v>7</v>
      </c>
      <c r="B53" s="1132" t="s">
        <v>885</v>
      </c>
      <c r="C53" s="1132"/>
      <c r="D53" s="1132"/>
      <c r="E53" s="1132"/>
      <c r="F53" s="1132"/>
      <c r="G53" s="1132"/>
      <c r="H53" s="1132"/>
      <c r="I53" s="800"/>
      <c r="J53" s="801"/>
      <c r="K53" s="802"/>
      <c r="L53" s="802"/>
      <c r="M53" s="803"/>
      <c r="O53" s="804"/>
      <c r="P53" s="804"/>
      <c r="Q53" s="804"/>
      <c r="R53" s="804"/>
      <c r="S53" s="804"/>
    </row>
    <row r="54" spans="1:19" s="32" customFormat="1" ht="25.5" hidden="1">
      <c r="A54" s="73"/>
      <c r="B54" s="818" t="s">
        <v>890</v>
      </c>
      <c r="C54" s="793">
        <v>1</v>
      </c>
      <c r="D54" s="794" t="s">
        <v>46</v>
      </c>
      <c r="E54" s="819">
        <v>1</v>
      </c>
      <c r="F54" s="795" t="e">
        <f>#REF!</f>
        <v>#REF!</v>
      </c>
      <c r="G54" s="796" t="s">
        <v>886</v>
      </c>
      <c r="H54" s="797">
        <v>0.7</v>
      </c>
      <c r="I54" s="90" t="e">
        <f>ROUND(C54*E54*F54*H54*(6.3+5.1)/2,2)</f>
        <v>#REF!</v>
      </c>
      <c r="J54" s="799" t="s">
        <v>10</v>
      </c>
      <c r="K54" s="802"/>
      <c r="L54" s="802"/>
      <c r="M54" s="803"/>
      <c r="N54" s="811"/>
    </row>
    <row r="55" spans="1:19" s="32" customFormat="1" ht="25.5" hidden="1">
      <c r="A55" s="73"/>
      <c r="B55" s="818" t="s">
        <v>756</v>
      </c>
      <c r="C55" s="793">
        <v>1</v>
      </c>
      <c r="D55" s="794" t="s">
        <v>46</v>
      </c>
      <c r="E55" s="819">
        <v>1</v>
      </c>
      <c r="F55" s="795" t="str">
        <f>F20</f>
        <v>5.76+6.48/2</v>
      </c>
      <c r="G55" s="796" t="s">
        <v>886</v>
      </c>
      <c r="H55" s="797">
        <v>0.7</v>
      </c>
      <c r="I55" s="90" t="e">
        <f>-ROUND(C55*E55*F55*H55*(6.3+5.1)/2,2)</f>
        <v>#VALUE!</v>
      </c>
      <c r="J55" s="799" t="s">
        <v>10</v>
      </c>
      <c r="K55" s="802"/>
      <c r="L55" s="802"/>
      <c r="M55" s="803"/>
      <c r="N55" s="811"/>
    </row>
    <row r="56" spans="1:19" s="32" customFormat="1" hidden="1">
      <c r="A56" s="73"/>
      <c r="B56" s="820"/>
      <c r="C56" s="816"/>
      <c r="D56" s="817"/>
      <c r="E56" s="801"/>
      <c r="F56" s="95"/>
      <c r="G56" s="95"/>
      <c r="H56" s="95"/>
      <c r="I56" s="79"/>
      <c r="J56" s="165"/>
      <c r="K56" s="802"/>
      <c r="L56" s="802"/>
      <c r="M56" s="803"/>
      <c r="N56" s="811"/>
    </row>
    <row r="57" spans="1:19" s="32" customFormat="1" hidden="1">
      <c r="A57" s="73"/>
      <c r="B57" s="815"/>
      <c r="C57" s="816"/>
      <c r="D57" s="817"/>
      <c r="E57" s="801"/>
      <c r="F57" s="73"/>
      <c r="G57" s="802"/>
      <c r="H57" s="78"/>
      <c r="I57" s="79"/>
      <c r="J57" s="165" t="s">
        <v>10</v>
      </c>
      <c r="K57" s="78">
        <f>'CD WORK DATA'!H189</f>
        <v>279.77999999999997</v>
      </c>
      <c r="L57" s="78" t="s">
        <v>23</v>
      </c>
      <c r="M57" s="96">
        <f>ROUND(I57*K57,0)</f>
        <v>0</v>
      </c>
      <c r="N57" s="811"/>
    </row>
    <row r="58" spans="1:19" ht="150.75" hidden="1" customHeight="1">
      <c r="A58" s="73">
        <v>8</v>
      </c>
      <c r="B58" s="1132" t="s">
        <v>891</v>
      </c>
      <c r="C58" s="1132"/>
      <c r="D58" s="1132"/>
      <c r="E58" s="1132"/>
      <c r="F58" s="1132"/>
      <c r="G58" s="1132"/>
      <c r="H58" s="1132"/>
      <c r="I58" s="821"/>
      <c r="J58" s="822"/>
      <c r="K58" s="823"/>
      <c r="L58" s="74"/>
      <c r="M58" s="620"/>
    </row>
    <row r="59" spans="1:19" s="156" customFormat="1" hidden="1">
      <c r="A59" s="151"/>
      <c r="B59" s="166" t="s">
        <v>892</v>
      </c>
      <c r="C59" s="152">
        <v>1</v>
      </c>
      <c r="D59" s="153" t="s">
        <v>46</v>
      </c>
      <c r="E59" s="154">
        <v>1</v>
      </c>
      <c r="F59" s="94" t="e">
        <f>F54</f>
        <v>#REF!</v>
      </c>
      <c r="G59" s="94">
        <v>7.5</v>
      </c>
      <c r="H59" s="160">
        <v>0.17</v>
      </c>
      <c r="I59" s="90" t="e">
        <f>ROUND(IF(AND(F59:H59),C59*E59*F59*G59*H59,IF(AND(F59,G59),C59*E59*F59*G59,IF(AND(F59,H59),C59*E59*F59*H59,IF(AND(G59,H59),C59*E59*G59*H59,IF(F59,C59*E59*F59,IF(G59,C59*E59*G59,IF(H59,C59*E59*H59,C59*E59))))))),2)</f>
        <v>#REF!</v>
      </c>
      <c r="J59" s="91" t="s">
        <v>10</v>
      </c>
      <c r="K59" s="107"/>
      <c r="L59" s="151"/>
      <c r="M59" s="157"/>
      <c r="N59" s="155"/>
      <c r="Q59" s="155"/>
    </row>
    <row r="60" spans="1:19" s="156" customFormat="1" hidden="1">
      <c r="A60" s="151"/>
      <c r="B60" s="166"/>
      <c r="C60" s="152"/>
      <c r="D60" s="153"/>
      <c r="E60" s="154"/>
      <c r="F60" s="94"/>
      <c r="G60" s="94"/>
      <c r="H60" s="160"/>
      <c r="I60" s="90"/>
      <c r="J60" s="91"/>
      <c r="K60" s="824"/>
      <c r="L60" s="151"/>
      <c r="M60" s="157"/>
      <c r="N60" s="155"/>
      <c r="Q60" s="155"/>
    </row>
    <row r="61" spans="1:19" hidden="1">
      <c r="A61" s="73"/>
      <c r="B61" s="825"/>
      <c r="C61" s="821"/>
      <c r="D61" s="826"/>
      <c r="E61" s="827"/>
      <c r="F61" s="828"/>
      <c r="G61" s="828"/>
      <c r="H61" s="828"/>
      <c r="I61" s="145"/>
      <c r="J61" s="161" t="s">
        <v>10</v>
      </c>
      <c r="K61" s="147">
        <f>'CD WORK DATA'!H223</f>
        <v>7873.37</v>
      </c>
      <c r="L61" s="184" t="s">
        <v>23</v>
      </c>
      <c r="M61" s="185">
        <f>ROUND(I61*K61/1,0)</f>
        <v>0</v>
      </c>
    </row>
    <row r="62" spans="1:19" s="92" customFormat="1">
      <c r="A62" s="86"/>
      <c r="B62" s="86"/>
      <c r="C62" s="87"/>
      <c r="D62" s="88"/>
      <c r="E62" s="89"/>
      <c r="F62" s="86"/>
      <c r="G62" s="86"/>
      <c r="H62" s="86"/>
      <c r="I62" s="181"/>
      <c r="J62" s="91"/>
      <c r="K62" s="183"/>
      <c r="L62" s="184"/>
      <c r="M62" s="185"/>
    </row>
    <row r="63" spans="1:19">
      <c r="A63" s="73"/>
      <c r="B63" s="1128" t="s">
        <v>4</v>
      </c>
      <c r="C63" s="1129"/>
      <c r="D63" s="1129"/>
      <c r="E63" s="1129"/>
      <c r="F63" s="1129"/>
      <c r="G63" s="1129"/>
      <c r="H63" s="1130"/>
      <c r="I63" s="145"/>
      <c r="J63" s="146"/>
      <c r="K63" s="147"/>
      <c r="L63" s="46"/>
      <c r="M63" s="98">
        <f>SUM(M8:M62)</f>
        <v>0</v>
      </c>
    </row>
    <row r="64" spans="1:19">
      <c r="A64" s="142"/>
      <c r="B64" s="143"/>
      <c r="C64" s="164"/>
      <c r="D64" s="143"/>
      <c r="E64" s="163"/>
      <c r="F64" s="143"/>
      <c r="G64" s="143"/>
      <c r="H64" s="143"/>
      <c r="I64" s="148"/>
      <c r="J64" s="148"/>
      <c r="K64" s="149"/>
      <c r="L64" s="149"/>
      <c r="M64" s="148"/>
    </row>
    <row r="65" spans="1:13">
      <c r="A65" s="142"/>
      <c r="B65" s="143"/>
      <c r="C65" s="164"/>
      <c r="D65" s="143"/>
      <c r="E65" s="163"/>
      <c r="F65" s="143"/>
      <c r="G65" s="143"/>
      <c r="H65" s="143"/>
      <c r="I65" s="148"/>
      <c r="J65" s="148"/>
      <c r="K65" s="149"/>
      <c r="L65" s="149"/>
      <c r="M65" s="148"/>
    </row>
    <row r="66" spans="1:13">
      <c r="A66" s="142"/>
      <c r="B66" s="143"/>
      <c r="C66" s="164"/>
      <c r="D66" s="143"/>
      <c r="E66" s="163"/>
      <c r="F66" s="143"/>
      <c r="G66" s="143"/>
      <c r="H66" s="143"/>
      <c r="I66" s="148"/>
      <c r="J66" s="148"/>
      <c r="K66" s="149"/>
      <c r="L66" s="149"/>
      <c r="M66" s="148"/>
    </row>
    <row r="67" spans="1:13">
      <c r="A67" s="142"/>
      <c r="B67" s="143"/>
      <c r="C67" s="164"/>
      <c r="D67" s="143"/>
      <c r="E67" s="163"/>
      <c r="F67" s="143"/>
      <c r="G67" s="143"/>
      <c r="H67" s="143"/>
      <c r="I67" s="148"/>
      <c r="J67" s="148"/>
      <c r="K67" s="149"/>
      <c r="L67" s="149"/>
      <c r="M67" s="148"/>
    </row>
    <row r="68" spans="1:13">
      <c r="A68" s="142"/>
      <c r="B68" s="143"/>
      <c r="C68" s="164"/>
      <c r="D68" s="143"/>
      <c r="E68" s="163"/>
      <c r="F68" s="143"/>
      <c r="G68" s="33" t="str">
        <f>'lead 2025-26'!$G$37</f>
        <v>Deputy Executive Engineer</v>
      </c>
      <c r="H68" s="143"/>
      <c r="I68" s="148"/>
      <c r="J68" s="148"/>
      <c r="K68" s="149"/>
      <c r="L68" s="144" t="str">
        <f>'lead 2025-26'!J37</f>
        <v>Assistant   Engineer</v>
      </c>
      <c r="M68" s="148"/>
    </row>
    <row r="69" spans="1:13">
      <c r="A69" s="142"/>
      <c r="B69" s="143"/>
      <c r="C69" s="164"/>
      <c r="D69" s="143"/>
      <c r="E69" s="163"/>
      <c r="F69" s="143"/>
      <c r="G69" s="33" t="str">
        <f>'lead 2025-26'!$G$38</f>
        <v>PRI Sub Division: Kanigiri</v>
      </c>
      <c r="H69" s="143"/>
      <c r="I69" s="148"/>
      <c r="J69" s="148"/>
      <c r="K69" s="149"/>
      <c r="L69" s="144" t="str">
        <f>'lead 2025-26'!J38</f>
        <v>Mandal Praja Parishad</v>
      </c>
      <c r="M69" s="148"/>
    </row>
    <row r="70" spans="1:13">
      <c r="A70" s="142"/>
      <c r="B70" s="143"/>
      <c r="C70" s="164"/>
      <c r="D70" s="143"/>
      <c r="E70" s="163"/>
      <c r="F70" s="143"/>
      <c r="G70" s="143"/>
      <c r="H70" s="143"/>
      <c r="I70" s="148"/>
      <c r="J70" s="148"/>
      <c r="K70" s="149"/>
      <c r="L70" s="144" t="str">
        <f>'lead 2025-26'!J39</f>
        <v>Pamuru</v>
      </c>
      <c r="M70" s="148"/>
    </row>
  </sheetData>
  <mergeCells count="25">
    <mergeCell ref="B63:H63"/>
    <mergeCell ref="B28:H28"/>
    <mergeCell ref="B33:H33"/>
    <mergeCell ref="B45:H45"/>
    <mergeCell ref="B49:H49"/>
    <mergeCell ref="B53:H53"/>
    <mergeCell ref="B58:H58"/>
    <mergeCell ref="L5:L6"/>
    <mergeCell ref="M5:M6"/>
    <mergeCell ref="C7:E7"/>
    <mergeCell ref="I7:J7"/>
    <mergeCell ref="B8:H8"/>
    <mergeCell ref="I5:J6"/>
    <mergeCell ref="K5:K6"/>
    <mergeCell ref="B16:H16"/>
    <mergeCell ref="A5:A6"/>
    <mergeCell ref="B5:B6"/>
    <mergeCell ref="C5:E6"/>
    <mergeCell ref="F5:H5"/>
    <mergeCell ref="K4:L4"/>
    <mergeCell ref="A1:M1"/>
    <mergeCell ref="A2:B2"/>
    <mergeCell ref="C2:M2"/>
    <mergeCell ref="A3:B3"/>
    <mergeCell ref="C3:M3"/>
  </mergeCells>
  <printOptions horizontalCentered="1"/>
  <pageMargins left="0.23622047244094499" right="0.15748031496063" top="0.16" bottom="0.18" header="0.38" footer="0.16"/>
  <pageSetup paperSize="9" orientation="portrait" errors="blank"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S58"/>
  <sheetViews>
    <sheetView showZeros="0" view="pageBreakPreview" zoomScale="115" zoomScaleNormal="115" zoomScaleSheetLayoutView="115" workbookViewId="0">
      <selection activeCell="J41" sqref="J41"/>
    </sheetView>
  </sheetViews>
  <sheetFormatPr defaultRowHeight="12.75"/>
  <cols>
    <col min="1" max="1" width="4.42578125" style="1453" customWidth="1"/>
    <col min="2" max="2" width="23.42578125" style="1352" customWidth="1"/>
    <col min="3" max="3" width="2.42578125" style="1455" customWidth="1"/>
    <col min="4" max="4" width="2.28515625" style="1352" customWidth="1"/>
    <col min="5" max="5" width="4.7109375" style="1456" customWidth="1"/>
    <col min="6" max="6" width="7.42578125" style="1352" customWidth="1"/>
    <col min="7" max="7" width="7.85546875" style="1352" customWidth="1"/>
    <col min="8" max="8" width="7.28515625" style="1352" customWidth="1"/>
    <col min="9" max="9" width="7.7109375" style="1455" customWidth="1"/>
    <col min="10" max="10" width="5.140625" style="1455" customWidth="1"/>
    <col min="11" max="11" width="8.28515625" style="1453" customWidth="1"/>
    <col min="12" max="12" width="6.28515625" style="1453" customWidth="1"/>
    <col min="13" max="13" width="12.140625" style="1352" customWidth="1"/>
    <col min="14" max="14" width="10.28515625" style="1352" bestFit="1" customWidth="1"/>
    <col min="15" max="15" width="11.7109375" style="1352" customWidth="1"/>
    <col min="16" max="16" width="9.140625" style="1352"/>
    <col min="17" max="17" width="10.7109375" style="1352" bestFit="1" customWidth="1"/>
    <col min="18" max="16384" width="9.140625" style="1352"/>
  </cols>
  <sheetData>
    <row r="1" spans="1:17" ht="30" customHeight="1">
      <c r="A1" s="1351" t="s">
        <v>863</v>
      </c>
      <c r="B1" s="1351"/>
      <c r="C1" s="1351"/>
      <c r="D1" s="1351"/>
      <c r="E1" s="1351"/>
      <c r="F1" s="1351"/>
      <c r="G1" s="1351"/>
      <c r="H1" s="1351"/>
      <c r="I1" s="1351"/>
      <c r="J1" s="1351"/>
      <c r="K1" s="1351"/>
      <c r="L1" s="1351"/>
      <c r="M1" s="1351"/>
    </row>
    <row r="2" spans="1:17" s="1355" customFormat="1" ht="39" customHeight="1">
      <c r="A2" s="1353" t="str">
        <f>'lead 2025-26'!B3</f>
        <v xml:space="preserve">Name of the work : </v>
      </c>
      <c r="B2" s="1353"/>
      <c r="C2" s="1354" t="str">
        <f>'lead 2025-26'!C3</f>
        <v>Providing BT Surface to the road from Inimerla SC colony to National Highway at Nuchupoda in Inimerla GP of Pamuru Mandal.</v>
      </c>
      <c r="D2" s="1354"/>
      <c r="E2" s="1354"/>
      <c r="F2" s="1354"/>
      <c r="G2" s="1354"/>
      <c r="H2" s="1354"/>
      <c r="I2" s="1354"/>
      <c r="J2" s="1354"/>
      <c r="K2" s="1354"/>
      <c r="L2" s="1354"/>
      <c r="M2" s="1354"/>
    </row>
    <row r="3" spans="1:17" s="1355" customFormat="1" ht="35.25" customHeight="1">
      <c r="A3" s="1353" t="s">
        <v>864</v>
      </c>
      <c r="B3" s="1353"/>
      <c r="C3" s="1354" t="s">
        <v>1277</v>
      </c>
      <c r="D3" s="1354"/>
      <c r="E3" s="1354"/>
      <c r="F3" s="1354"/>
      <c r="G3" s="1354"/>
      <c r="H3" s="1354"/>
      <c r="I3" s="1354"/>
      <c r="J3" s="1354"/>
      <c r="K3" s="1354"/>
      <c r="L3" s="1354"/>
      <c r="M3" s="1354"/>
    </row>
    <row r="4" spans="1:17" s="1355" customFormat="1" ht="16.5" customHeight="1">
      <c r="A4" s="1356"/>
      <c r="B4" s="1356"/>
      <c r="C4" s="1357"/>
      <c r="D4" s="1356"/>
      <c r="E4" s="1358"/>
      <c r="F4" s="1356"/>
      <c r="G4" s="1356"/>
      <c r="H4" s="1356"/>
      <c r="I4" s="1357"/>
      <c r="J4" s="1357"/>
      <c r="K4" s="1359"/>
      <c r="L4" s="1359"/>
      <c r="M4" s="1360"/>
    </row>
    <row r="5" spans="1:17" s="1364" customFormat="1" ht="15.75" customHeight="1">
      <c r="A5" s="1361" t="s">
        <v>36</v>
      </c>
      <c r="B5" s="1361" t="s">
        <v>15</v>
      </c>
      <c r="C5" s="1361" t="s">
        <v>16</v>
      </c>
      <c r="D5" s="1361"/>
      <c r="E5" s="1361"/>
      <c r="F5" s="1361" t="s">
        <v>17</v>
      </c>
      <c r="G5" s="1361"/>
      <c r="H5" s="1361"/>
      <c r="I5" s="1362" t="s">
        <v>14</v>
      </c>
      <c r="J5" s="1363"/>
      <c r="K5" s="1361" t="s">
        <v>18</v>
      </c>
      <c r="L5" s="1361" t="s">
        <v>8</v>
      </c>
      <c r="M5" s="1361" t="s">
        <v>19</v>
      </c>
    </row>
    <row r="6" spans="1:17" s="1364" customFormat="1" ht="15.75">
      <c r="A6" s="1361"/>
      <c r="B6" s="1361"/>
      <c r="C6" s="1361"/>
      <c r="D6" s="1361"/>
      <c r="E6" s="1361"/>
      <c r="F6" s="1365" t="s">
        <v>20</v>
      </c>
      <c r="G6" s="1365" t="s">
        <v>21</v>
      </c>
      <c r="H6" s="1365" t="s">
        <v>22</v>
      </c>
      <c r="I6" s="1366"/>
      <c r="J6" s="1367"/>
      <c r="K6" s="1361"/>
      <c r="L6" s="1361"/>
      <c r="M6" s="1361"/>
    </row>
    <row r="7" spans="1:17" s="1374" customFormat="1" ht="15.75">
      <c r="A7" s="1368">
        <v>1</v>
      </c>
      <c r="B7" s="1368">
        <v>2</v>
      </c>
      <c r="C7" s="1369">
        <v>3</v>
      </c>
      <c r="D7" s="1369"/>
      <c r="E7" s="1369"/>
      <c r="F7" s="1368">
        <v>4</v>
      </c>
      <c r="G7" s="1368">
        <v>5</v>
      </c>
      <c r="H7" s="1368">
        <v>6</v>
      </c>
      <c r="I7" s="1370">
        <v>7</v>
      </c>
      <c r="J7" s="1371"/>
      <c r="K7" s="1372">
        <v>8</v>
      </c>
      <c r="L7" s="1373">
        <v>9</v>
      </c>
      <c r="M7" s="1368">
        <v>10</v>
      </c>
    </row>
    <row r="8" spans="1:17" s="1381" customFormat="1" ht="83.25" customHeight="1">
      <c r="A8" s="1375">
        <v>1</v>
      </c>
      <c r="B8" s="1376" t="s">
        <v>587</v>
      </c>
      <c r="C8" s="1376"/>
      <c r="D8" s="1376"/>
      <c r="E8" s="1376"/>
      <c r="F8" s="1376"/>
      <c r="G8" s="1376"/>
      <c r="H8" s="1376"/>
      <c r="I8" s="1377"/>
      <c r="J8" s="1378"/>
      <c r="K8" s="1375"/>
      <c r="L8" s="1375"/>
      <c r="M8" s="1379"/>
      <c r="N8" s="1380"/>
      <c r="O8" s="1380"/>
    </row>
    <row r="9" spans="1:17" s="1348" customFormat="1">
      <c r="A9" s="1336"/>
      <c r="B9" s="1337" t="s">
        <v>865</v>
      </c>
      <c r="C9" s="1338">
        <v>1</v>
      </c>
      <c r="D9" s="1339" t="s">
        <v>46</v>
      </c>
      <c r="E9" s="1340">
        <v>3</v>
      </c>
      <c r="F9" s="1341">
        <f>(1*1.2)+(2*0.2)</f>
        <v>1.6</v>
      </c>
      <c r="G9" s="1341">
        <v>5.3</v>
      </c>
      <c r="H9" s="1342">
        <v>1</v>
      </c>
      <c r="I9" s="1343">
        <f>ROUND(IF(AND(F9:H9),C9*E9*F9*G9*H9,IF(AND(F9,G9),C9*E9*F9*G9,IF(AND(F9,H9),C9*E9*F9*H9,IF(AND(G9,H9),C9*E9*G9*H9,IF(F9,C9*E9*F9,IF(G9,C9*E9*G9,IF(H9,C9*E9*H9,C9*E9))))))),2)</f>
        <v>25.44</v>
      </c>
      <c r="J9" s="1344" t="s">
        <v>10</v>
      </c>
      <c r="K9" s="1345"/>
      <c r="L9" s="1336"/>
      <c r="M9" s="1346"/>
      <c r="N9" s="1347"/>
      <c r="Q9" s="1347"/>
    </row>
    <row r="10" spans="1:17" s="1348" customFormat="1">
      <c r="A10" s="1336"/>
      <c r="B10" s="1337" t="s">
        <v>755</v>
      </c>
      <c r="C10" s="1338">
        <v>2</v>
      </c>
      <c r="D10" s="1339" t="s">
        <v>46</v>
      </c>
      <c r="E10" s="1340">
        <v>3</v>
      </c>
      <c r="F10" s="1341">
        <v>5</v>
      </c>
      <c r="G10" s="1341">
        <v>1.1000000000000001</v>
      </c>
      <c r="H10" s="1342">
        <v>1.6</v>
      </c>
      <c r="I10" s="1343">
        <f>ROUND(IF(AND(F10:H10),C10*E10*F10*G10*H10,IF(AND(F10,G10),C10*E10*F10*G10,IF(AND(F10,H10),C10*E10*F10*H10,IF(AND(G10,H10),C10*E10*G10*H10,IF(F10,C10*E10*F10,IF(G10,C10*E10*G10,IF(H10,C10*E10*H10,C10*E10))))))),2)</f>
        <v>52.8</v>
      </c>
      <c r="J10" s="1344" t="s">
        <v>10</v>
      </c>
      <c r="K10" s="1345"/>
      <c r="L10" s="1336"/>
      <c r="M10" s="1346"/>
      <c r="N10" s="1347"/>
      <c r="Q10" s="1347"/>
    </row>
    <row r="11" spans="1:17" s="1348" customFormat="1">
      <c r="A11" s="1336"/>
      <c r="B11" s="1337"/>
      <c r="C11" s="1338"/>
      <c r="D11" s="1339"/>
      <c r="E11" s="1340"/>
      <c r="F11" s="1341"/>
      <c r="G11" s="1341"/>
      <c r="H11" s="1342"/>
      <c r="I11" s="1343"/>
      <c r="J11" s="1344"/>
      <c r="K11" s="1345"/>
      <c r="L11" s="1336"/>
      <c r="M11" s="1346"/>
      <c r="N11" s="1347"/>
      <c r="Q11" s="1347"/>
    </row>
    <row r="12" spans="1:17" s="1391" customFormat="1">
      <c r="A12" s="1382"/>
      <c r="B12" s="1382"/>
      <c r="C12" s="1383"/>
      <c r="D12" s="1384"/>
      <c r="E12" s="1385"/>
      <c r="F12" s="1382"/>
      <c r="G12" s="1382"/>
      <c r="H12" s="1382"/>
      <c r="I12" s="1386">
        <f>SUM(I9:I11)</f>
        <v>78.239999999999995</v>
      </c>
      <c r="J12" s="1387" t="s">
        <v>10</v>
      </c>
      <c r="K12" s="1388">
        <f>'CD WORK DATA'!H37</f>
        <v>126.69</v>
      </c>
      <c r="L12" s="1389" t="s">
        <v>23</v>
      </c>
      <c r="M12" s="1390">
        <f>ROUND(I12*K12/1,0)</f>
        <v>9912</v>
      </c>
    </row>
    <row r="13" spans="1:17" s="1381" customFormat="1" ht="72" customHeight="1">
      <c r="A13" s="1375">
        <v>2</v>
      </c>
      <c r="B13" s="1376" t="s">
        <v>866</v>
      </c>
      <c r="C13" s="1376"/>
      <c r="D13" s="1376"/>
      <c r="E13" s="1376"/>
      <c r="F13" s="1376"/>
      <c r="G13" s="1376"/>
      <c r="H13" s="1376"/>
      <c r="I13" s="1377"/>
      <c r="J13" s="1378"/>
      <c r="K13" s="1375"/>
      <c r="L13" s="1375"/>
      <c r="M13" s="1379"/>
      <c r="N13" s="1380">
        <f>N60</f>
        <v>0</v>
      </c>
      <c r="O13" s="1380">
        <f>N57</f>
        <v>0</v>
      </c>
    </row>
    <row r="14" spans="1:17" s="1348" customFormat="1">
      <c r="A14" s="1336"/>
      <c r="B14" s="1337" t="s">
        <v>865</v>
      </c>
      <c r="C14" s="1338">
        <v>1</v>
      </c>
      <c r="D14" s="1339" t="s">
        <v>46</v>
      </c>
      <c r="E14" s="1340">
        <v>3</v>
      </c>
      <c r="F14" s="1341">
        <f>F9</f>
        <v>1.6</v>
      </c>
      <c r="G14" s="1341">
        <f>G9</f>
        <v>5.3</v>
      </c>
      <c r="H14" s="1342">
        <v>0.3</v>
      </c>
      <c r="I14" s="1343">
        <f>ROUND(IF(AND(F14:H14),C14*E14*F14*G14*H14,IF(AND(F14,G14),C14*E14*F14*G14,IF(AND(F14,H14),C14*E14*F14*H14,IF(AND(G14,H14),C14*E14*G14*H14,IF(F14,C14*E14*F14,IF(G14,C14*E14*G14,IF(H14,C14*E14*H14,C14*E14))))))),2)</f>
        <v>7.63</v>
      </c>
      <c r="J14" s="1344" t="s">
        <v>10</v>
      </c>
      <c r="K14" s="1345"/>
      <c r="L14" s="1336"/>
      <c r="M14" s="1346"/>
      <c r="N14" s="1347"/>
      <c r="Q14" s="1347"/>
    </row>
    <row r="15" spans="1:17" s="1348" customFormat="1">
      <c r="A15" s="1336"/>
      <c r="B15" s="1337" t="s">
        <v>755</v>
      </c>
      <c r="C15" s="1338">
        <v>2</v>
      </c>
      <c r="D15" s="1339" t="s">
        <v>46</v>
      </c>
      <c r="E15" s="1340">
        <v>3</v>
      </c>
      <c r="F15" s="1341">
        <f>F10</f>
        <v>5</v>
      </c>
      <c r="G15" s="1341">
        <f>G10</f>
        <v>1.1000000000000001</v>
      </c>
      <c r="H15" s="1342">
        <v>0.3</v>
      </c>
      <c r="I15" s="1343">
        <f>ROUND(IF(AND(F15:H15),C15*E15*F15*G15*H15,IF(AND(F15,G15),C15*E15*F15*G15,IF(AND(F15,H15),C15*E15*F15*H15,IF(AND(G15,H15),C15*E15*G15*H15,IF(F15,C15*E15*F15,IF(G15,C15*E15*G15,IF(H15,C15*E15*H15,C15*E15))))))),2)</f>
        <v>9.9</v>
      </c>
      <c r="J15" s="1344" t="s">
        <v>10</v>
      </c>
      <c r="K15" s="1345"/>
      <c r="L15" s="1336"/>
      <c r="M15" s="1346"/>
      <c r="N15" s="1347"/>
      <c r="Q15" s="1347"/>
    </row>
    <row r="16" spans="1:17" s="1348" customFormat="1" hidden="1">
      <c r="A16" s="1336"/>
      <c r="B16" s="1337"/>
      <c r="C16" s="1338"/>
      <c r="D16" s="1339"/>
      <c r="E16" s="1340"/>
      <c r="F16" s="1341"/>
      <c r="G16" s="1341"/>
      <c r="H16" s="1342"/>
      <c r="I16" s="1343"/>
      <c r="J16" s="1344"/>
      <c r="K16" s="1345"/>
      <c r="L16" s="1336"/>
      <c r="M16" s="1346"/>
      <c r="N16" s="1347"/>
      <c r="Q16" s="1347"/>
    </row>
    <row r="17" spans="1:17" s="1348" customFormat="1" hidden="1">
      <c r="A17" s="1336"/>
      <c r="B17" s="1337" t="s">
        <v>869</v>
      </c>
      <c r="C17" s="1338"/>
      <c r="D17" s="1339" t="s">
        <v>46</v>
      </c>
      <c r="E17" s="1340">
        <v>1</v>
      </c>
      <c r="F17" s="1341">
        <f>F9</f>
        <v>1.6</v>
      </c>
      <c r="G17" s="1341">
        <v>6.6</v>
      </c>
      <c r="H17" s="1342">
        <v>1.35</v>
      </c>
      <c r="I17" s="1343">
        <f>ROUND(IF(AND(F17:H17),C17*E17*F17*G17*H17,IF(AND(F17,G17),C17*E17*F17*G17,IF(AND(F17,H17),C17*E17*F17*H17,IF(AND(G17,H17),C17*E17*G17*H17,IF(F17,C17*E17*F17,IF(G17,C17*E17*G17,IF(H17,C17*E17*H17,C17*E17))))))),2)</f>
        <v>0</v>
      </c>
      <c r="J17" s="1344" t="s">
        <v>10</v>
      </c>
      <c r="K17" s="1345"/>
      <c r="L17" s="1336"/>
      <c r="M17" s="1346"/>
      <c r="N17" s="1347"/>
      <c r="Q17" s="1347"/>
    </row>
    <row r="18" spans="1:17" s="1348" customFormat="1" hidden="1">
      <c r="A18" s="1336"/>
      <c r="B18" s="1337" t="s">
        <v>756</v>
      </c>
      <c r="C18" s="1338"/>
      <c r="D18" s="1339" t="s">
        <v>46</v>
      </c>
      <c r="E18" s="1349">
        <v>0.78500000000000003</v>
      </c>
      <c r="F18" s="1341">
        <f>G17</f>
        <v>6.6</v>
      </c>
      <c r="G18" s="1341">
        <v>1.2</v>
      </c>
      <c r="H18" s="1342">
        <v>1.2</v>
      </c>
      <c r="I18" s="1343">
        <f>-ROUND(IF(AND(F18:H18),C18*E18*F18*G18*H18,IF(AND(F18,G18),C18*E18*F18*G18,IF(AND(F18,H18),C18*E18*F18*H18,IF(AND(G18,H18),C18*E18*G18*H18,IF(F18,C18*E18*F18,IF(G18,C18*E18*G18,IF(H18,C18*E18*H18,C18*E18))))))),2)</f>
        <v>0</v>
      </c>
      <c r="J18" s="1344" t="s">
        <v>10</v>
      </c>
      <c r="K18" s="1345"/>
      <c r="L18" s="1336"/>
      <c r="M18" s="1346"/>
      <c r="N18" s="1347"/>
      <c r="Q18" s="1347"/>
    </row>
    <row r="19" spans="1:17" s="1348" customFormat="1" hidden="1">
      <c r="A19" s="1336"/>
      <c r="B19" s="1337"/>
      <c r="C19" s="1338"/>
      <c r="D19" s="1339"/>
      <c r="E19" s="1350"/>
      <c r="F19" s="1341"/>
      <c r="G19" s="1341"/>
      <c r="H19" s="1342"/>
      <c r="I19" s="1343"/>
      <c r="J19" s="1344"/>
      <c r="K19" s="1345"/>
      <c r="L19" s="1336"/>
      <c r="M19" s="1346"/>
      <c r="N19" s="1347"/>
      <c r="Q19" s="1347"/>
    </row>
    <row r="20" spans="1:17" s="1348" customFormat="1" hidden="1">
      <c r="A20" s="1336"/>
      <c r="B20" s="1337" t="s">
        <v>890</v>
      </c>
      <c r="C20" s="1338"/>
      <c r="D20" s="1339" t="s">
        <v>46</v>
      </c>
      <c r="E20" s="1340">
        <v>1</v>
      </c>
      <c r="F20" s="1341">
        <f>F15</f>
        <v>5</v>
      </c>
      <c r="G20" s="1341">
        <v>6.6</v>
      </c>
      <c r="H20" s="1342">
        <v>0.15</v>
      </c>
      <c r="I20" s="1343">
        <f>ROUND(IF(AND(F20:H20),C20*E20*F20*G20*H20,IF(AND(F20,G20),C20*E20*F20*G20,IF(AND(F20,H20),C20*E20*F20*H20,IF(AND(G20,H20),C20*E20*G20*H20,IF(F20,C20*E20*F20,IF(G20,C20*E20*G20,IF(H20,C20*E20*H20,C20*E20))))))),2)</f>
        <v>0</v>
      </c>
      <c r="J20" s="1344" t="s">
        <v>10</v>
      </c>
      <c r="K20" s="1345"/>
      <c r="L20" s="1336"/>
      <c r="M20" s="1346"/>
      <c r="N20" s="1347"/>
      <c r="Q20" s="1347"/>
    </row>
    <row r="21" spans="1:17" s="1348" customFormat="1">
      <c r="A21" s="1336"/>
      <c r="B21" s="1337"/>
      <c r="C21" s="1338"/>
      <c r="D21" s="1339"/>
      <c r="E21" s="1340"/>
      <c r="F21" s="1341"/>
      <c r="G21" s="1341"/>
      <c r="H21" s="1342"/>
      <c r="I21" s="1343"/>
      <c r="J21" s="1344"/>
      <c r="K21" s="1345"/>
      <c r="L21" s="1336"/>
      <c r="M21" s="1346"/>
      <c r="N21" s="1347"/>
      <c r="Q21" s="1347"/>
    </row>
    <row r="22" spans="1:17" s="1391" customFormat="1">
      <c r="A22" s="1382"/>
      <c r="B22" s="1382"/>
      <c r="C22" s="1383"/>
      <c r="D22" s="1384"/>
      <c r="E22" s="1385"/>
      <c r="F22" s="1382"/>
      <c r="G22" s="1382"/>
      <c r="H22" s="1382"/>
      <c r="I22" s="1386">
        <f>SUM(I14:I21)</f>
        <v>17.53</v>
      </c>
      <c r="J22" s="1387" t="s">
        <v>10</v>
      </c>
      <c r="K22" s="1388">
        <f>'CD WORK DATA'!H54</f>
        <v>5600.99</v>
      </c>
      <c r="L22" s="1389" t="s">
        <v>23</v>
      </c>
      <c r="M22" s="1390">
        <f>ROUND(I22*K22/1,0)</f>
        <v>98185</v>
      </c>
    </row>
    <row r="23" spans="1:17" s="1381" customFormat="1" ht="55.5" customHeight="1">
      <c r="A23" s="1375">
        <v>3</v>
      </c>
      <c r="B23" s="1376" t="s">
        <v>867</v>
      </c>
      <c r="C23" s="1376"/>
      <c r="D23" s="1376"/>
      <c r="E23" s="1376"/>
      <c r="F23" s="1376"/>
      <c r="G23" s="1376"/>
      <c r="H23" s="1376"/>
      <c r="I23" s="1377"/>
      <c r="J23" s="1378"/>
      <c r="K23" s="1375"/>
      <c r="L23" s="1375"/>
      <c r="M23" s="1379"/>
      <c r="N23" s="1380">
        <f>N60</f>
        <v>0</v>
      </c>
      <c r="O23" s="1380">
        <f>N57</f>
        <v>0</v>
      </c>
    </row>
    <row r="24" spans="1:17" s="1348" customFormat="1">
      <c r="A24" s="1336"/>
      <c r="B24" s="1337"/>
      <c r="C24" s="1338">
        <v>3</v>
      </c>
      <c r="D24" s="1339" t="s">
        <v>46</v>
      </c>
      <c r="E24" s="1340">
        <v>3</v>
      </c>
      <c r="F24" s="1341">
        <v>2.5</v>
      </c>
      <c r="G24" s="1341">
        <v>0</v>
      </c>
      <c r="H24" s="1342">
        <v>0</v>
      </c>
      <c r="I24" s="1343">
        <f>ROUND(IF(AND(F24:H24),C24*E24*F24*G24*H24,IF(AND(F24,G24),C24*E24*F24*G24,IF(AND(F24,H24),C24*E24*F24*H24,IF(AND(G24,H24),C24*E24*G24*H24,IF(F24,C24*E24*F24,IF(G24,C24*E24*G24,IF(H24,C24*E24*H24,C24*E24))))))),2)</f>
        <v>22.5</v>
      </c>
      <c r="J24" s="1344" t="s">
        <v>612</v>
      </c>
      <c r="K24" s="1345"/>
      <c r="L24" s="1336"/>
      <c r="M24" s="1346"/>
      <c r="N24" s="1347"/>
      <c r="Q24" s="1347"/>
    </row>
    <row r="25" spans="1:17" s="1348" customFormat="1">
      <c r="A25" s="1336"/>
      <c r="B25" s="1337"/>
      <c r="C25" s="1338"/>
      <c r="D25" s="1339"/>
      <c r="E25" s="1340"/>
      <c r="F25" s="1341"/>
      <c r="G25" s="1341"/>
      <c r="H25" s="1342"/>
      <c r="I25" s="1343"/>
      <c r="J25" s="1344"/>
      <c r="K25" s="1345"/>
      <c r="L25" s="1336"/>
      <c r="M25" s="1346"/>
      <c r="N25" s="1347"/>
      <c r="Q25" s="1347"/>
    </row>
    <row r="26" spans="1:17" s="1391" customFormat="1">
      <c r="A26" s="1382"/>
      <c r="B26" s="1382"/>
      <c r="C26" s="1383"/>
      <c r="D26" s="1384"/>
      <c r="E26" s="1385"/>
      <c r="F26" s="1382"/>
      <c r="G26" s="1382"/>
      <c r="H26" s="1382"/>
      <c r="I26" s="1386">
        <f>SUM(I24:I25)</f>
        <v>22.5</v>
      </c>
      <c r="J26" s="1344" t="s">
        <v>612</v>
      </c>
      <c r="K26" s="1388">
        <f>'CD WORK DATA'!H164</f>
        <v>9006.27</v>
      </c>
      <c r="L26" s="1389" t="s">
        <v>614</v>
      </c>
      <c r="M26" s="1390">
        <f>ROUND(I26*K26/1,0)</f>
        <v>202641</v>
      </c>
    </row>
    <row r="27" spans="1:17" s="1381" customFormat="1" ht="57.75" customHeight="1">
      <c r="A27" s="1375">
        <v>4</v>
      </c>
      <c r="B27" s="1376" t="s">
        <v>432</v>
      </c>
      <c r="C27" s="1376"/>
      <c r="D27" s="1376"/>
      <c r="E27" s="1376"/>
      <c r="F27" s="1376"/>
      <c r="G27" s="1376"/>
      <c r="H27" s="1376"/>
      <c r="I27" s="1377"/>
      <c r="J27" s="1378"/>
      <c r="K27" s="1375"/>
      <c r="L27" s="1375"/>
      <c r="M27" s="1379"/>
      <c r="N27" s="1380">
        <f>N65</f>
        <v>0</v>
      </c>
      <c r="O27" s="1380">
        <f>N62</f>
        <v>0</v>
      </c>
    </row>
    <row r="28" spans="1:17" s="1348" customFormat="1">
      <c r="A28" s="1336"/>
      <c r="B28" s="1337" t="s">
        <v>755</v>
      </c>
      <c r="C28" s="1338">
        <v>3</v>
      </c>
      <c r="D28" s="1339" t="s">
        <v>46</v>
      </c>
      <c r="E28" s="1340">
        <v>2</v>
      </c>
      <c r="F28" s="1341">
        <f>$F$10</f>
        <v>5</v>
      </c>
      <c r="G28" s="1341">
        <v>0.9</v>
      </c>
      <c r="H28" s="1342">
        <v>0.6</v>
      </c>
      <c r="I28" s="1343">
        <f>ROUND(IF(AND(F28:H28),C28*E28*F28*G28*H28,IF(AND(F28,G28),C28*E28*F28*G28,IF(AND(F28,H28),C28*E28*F28*H28,IF(AND(G28,H28),C28*E28*G28*H28,IF(F28,C28*E28*F28,IF(G28,C28*E28*G28,IF(H28,C28*E28*H28,C28*E28))))))),2)</f>
        <v>16.2</v>
      </c>
      <c r="J28" s="1344" t="s">
        <v>10</v>
      </c>
      <c r="K28" s="1345"/>
      <c r="L28" s="1336"/>
      <c r="M28" s="1346"/>
      <c r="N28" s="1347"/>
      <c r="Q28" s="1347"/>
    </row>
    <row r="29" spans="1:17" s="1348" customFormat="1" ht="25.5">
      <c r="A29" s="1336"/>
      <c r="B29" s="1337" t="s">
        <v>755</v>
      </c>
      <c r="C29" s="1338">
        <v>3</v>
      </c>
      <c r="D29" s="1339" t="s">
        <v>46</v>
      </c>
      <c r="E29" s="1340">
        <v>2</v>
      </c>
      <c r="F29" s="1341">
        <f>$F$10</f>
        <v>5</v>
      </c>
      <c r="G29" s="1341" t="s">
        <v>868</v>
      </c>
      <c r="H29" s="1342">
        <v>1.5</v>
      </c>
      <c r="I29" s="1343">
        <f>ROUND(C29*E29*F29*H29*(0.9+0.45)/2,2)</f>
        <v>30.38</v>
      </c>
      <c r="J29" s="1344" t="s">
        <v>10</v>
      </c>
      <c r="K29" s="1345"/>
      <c r="L29" s="1336"/>
      <c r="M29" s="1346"/>
      <c r="N29" s="1347"/>
      <c r="Q29" s="1347"/>
    </row>
    <row r="30" spans="1:17" s="1348" customFormat="1">
      <c r="A30" s="1336"/>
      <c r="B30" s="1337" t="s">
        <v>756</v>
      </c>
      <c r="C30" s="1338">
        <v>6</v>
      </c>
      <c r="D30" s="1339" t="s">
        <v>46</v>
      </c>
      <c r="E30" s="1349">
        <v>0.78500000000000003</v>
      </c>
      <c r="F30" s="1341">
        <v>1.2</v>
      </c>
      <c r="G30" s="1341">
        <v>1.2</v>
      </c>
      <c r="H30" s="1342">
        <f>H29/2</f>
        <v>0.75</v>
      </c>
      <c r="I30" s="1343">
        <f>-ROUND(IF(AND(F30:H30),C30*E30*F30*G30*H30,IF(AND(F30,G30),C30*E30*F30*G30,IF(AND(F30,H30),C30*E30*F30*H30,IF(AND(G30,H30),C30*E30*G30*H30,IF(F30,C30*E30*F30,IF(G30,C30*E30*G30,IF(H30,C30*E30*H30,C30*E30))))))),2)</f>
        <v>-5.09</v>
      </c>
      <c r="J30" s="1344" t="s">
        <v>10</v>
      </c>
      <c r="K30" s="1345"/>
      <c r="L30" s="1336"/>
      <c r="M30" s="1346"/>
      <c r="N30" s="1347"/>
      <c r="Q30" s="1347"/>
    </row>
    <row r="31" spans="1:17" s="1348" customFormat="1">
      <c r="A31" s="1336"/>
      <c r="B31" s="1337"/>
      <c r="C31" s="1338"/>
      <c r="D31" s="1339"/>
      <c r="E31" s="1340"/>
      <c r="F31" s="1341"/>
      <c r="G31" s="1341"/>
      <c r="H31" s="1342"/>
      <c r="I31" s="1343"/>
      <c r="J31" s="1344"/>
      <c r="K31" s="1345"/>
      <c r="L31" s="1336"/>
      <c r="M31" s="1346"/>
      <c r="N31" s="1347"/>
      <c r="Q31" s="1347"/>
    </row>
    <row r="32" spans="1:17" s="1391" customFormat="1">
      <c r="A32" s="1382"/>
      <c r="B32" s="1382"/>
      <c r="C32" s="1383"/>
      <c r="D32" s="1384"/>
      <c r="E32" s="1385"/>
      <c r="F32" s="1382"/>
      <c r="G32" s="1382"/>
      <c r="H32" s="1382"/>
      <c r="I32" s="1386">
        <f>SUM(I28:I31)</f>
        <v>41.489999999999995</v>
      </c>
      <c r="J32" s="1387" t="s">
        <v>10</v>
      </c>
      <c r="K32" s="1388">
        <f>'CD WORK DATA'!H74</f>
        <v>5954.5599999999995</v>
      </c>
      <c r="L32" s="1389" t="s">
        <v>23</v>
      </c>
      <c r="M32" s="1390">
        <f>ROUND(I32*K32/1,0)</f>
        <v>247055</v>
      </c>
    </row>
    <row r="33" spans="1:19" s="1381" customFormat="1" ht="84.75" hidden="1" customHeight="1">
      <c r="A33" s="1375">
        <v>5</v>
      </c>
      <c r="B33" s="1376" t="s">
        <v>838</v>
      </c>
      <c r="C33" s="1376"/>
      <c r="D33" s="1376"/>
      <c r="E33" s="1376"/>
      <c r="F33" s="1376"/>
      <c r="G33" s="1376"/>
      <c r="H33" s="1376"/>
      <c r="I33" s="1377"/>
      <c r="J33" s="1378"/>
      <c r="K33" s="1375"/>
      <c r="L33" s="1375"/>
      <c r="M33" s="1379"/>
      <c r="N33" s="1380">
        <f>N71</f>
        <v>0</v>
      </c>
      <c r="O33" s="1380">
        <f>N68</f>
        <v>0</v>
      </c>
    </row>
    <row r="34" spans="1:19" s="1348" customFormat="1" hidden="1">
      <c r="A34" s="1336"/>
      <c r="B34" s="1337"/>
      <c r="C34" s="1392">
        <v>6</v>
      </c>
      <c r="D34" s="1393" t="s">
        <v>46</v>
      </c>
      <c r="E34" s="1349">
        <v>0.78500000000000003</v>
      </c>
      <c r="F34" s="1394">
        <v>0.2</v>
      </c>
      <c r="G34" s="1395">
        <v>0.2</v>
      </c>
      <c r="H34" s="1396">
        <v>0.6</v>
      </c>
      <c r="I34" s="1397">
        <f t="shared" ref="I34" si="0">ROUND(IF(AND(F34:H34),C34*E34*F34*G34*H34,IF(AND(F34,G34),C34*E34*F34*G34,IF(AND(F34,H34),C34*E34*F34*H34,IF(AND(G34,H34),C34*E34*G34*H34,IF(F34,C34*E34*F34,IF(G34,C34*E34*G34,IF(H34,C34*E34*H34,C34*E34))))))),2)</f>
        <v>0.11</v>
      </c>
      <c r="J34" s="1398" t="s">
        <v>10</v>
      </c>
      <c r="K34" s="1345"/>
      <c r="L34" s="1336"/>
      <c r="M34" s="1346"/>
      <c r="N34" s="1347"/>
      <c r="Q34" s="1347"/>
    </row>
    <row r="35" spans="1:19" s="1348" customFormat="1" hidden="1">
      <c r="A35" s="1336"/>
      <c r="B35" s="1337"/>
      <c r="C35" s="1338"/>
      <c r="D35" s="1339"/>
      <c r="E35" s="1340"/>
      <c r="F35" s="1341"/>
      <c r="G35" s="1341"/>
      <c r="H35" s="1342"/>
      <c r="I35" s="1343"/>
      <c r="J35" s="1344"/>
      <c r="K35" s="1345"/>
      <c r="L35" s="1336"/>
      <c r="M35" s="1346"/>
      <c r="N35" s="1347"/>
      <c r="Q35" s="1347"/>
    </row>
    <row r="36" spans="1:19" s="1391" customFormat="1" hidden="1">
      <c r="A36" s="1382"/>
      <c r="B36" s="1382"/>
      <c r="C36" s="1383"/>
      <c r="D36" s="1384"/>
      <c r="E36" s="1385"/>
      <c r="F36" s="1382"/>
      <c r="G36" s="1382"/>
      <c r="H36" s="1382"/>
      <c r="I36" s="1386"/>
      <c r="J36" s="1387" t="s">
        <v>10</v>
      </c>
      <c r="K36" s="1388">
        <f>'CD WORK DATA'!H114</f>
        <v>7542</v>
      </c>
      <c r="L36" s="1389" t="s">
        <v>23</v>
      </c>
      <c r="M36" s="1390">
        <f>ROUND(I36*K36/1,0)</f>
        <v>0</v>
      </c>
    </row>
    <row r="37" spans="1:19" s="1405" customFormat="1" ht="56.25" hidden="1" customHeight="1">
      <c r="A37" s="1399">
        <v>6</v>
      </c>
      <c r="B37" s="1400" t="s">
        <v>589</v>
      </c>
      <c r="C37" s="1400"/>
      <c r="D37" s="1400"/>
      <c r="E37" s="1400"/>
      <c r="F37" s="1400"/>
      <c r="G37" s="1400"/>
      <c r="H37" s="1400"/>
      <c r="I37" s="1401"/>
      <c r="J37" s="1402"/>
      <c r="K37" s="1403"/>
      <c r="L37" s="1403"/>
      <c r="M37" s="1404"/>
      <c r="O37" s="1406"/>
      <c r="P37" s="1406"/>
      <c r="Q37" s="1406"/>
      <c r="R37" s="1406"/>
      <c r="S37" s="1406"/>
    </row>
    <row r="38" spans="1:19" s="1405" customFormat="1" hidden="1">
      <c r="A38" s="1399"/>
      <c r="B38" s="1407" t="s">
        <v>893</v>
      </c>
      <c r="C38" s="1408"/>
      <c r="D38" s="1409"/>
      <c r="E38" s="1410"/>
      <c r="F38" s="1411"/>
      <c r="G38" s="1395"/>
      <c r="H38" s="1396"/>
      <c r="I38" s="1412">
        <f>ROUND((I36*0.2)/0.38,2)</f>
        <v>0</v>
      </c>
      <c r="J38" s="1413" t="s">
        <v>45</v>
      </c>
      <c r="K38" s="1403"/>
      <c r="L38" s="1403"/>
      <c r="M38" s="1404"/>
      <c r="N38" s="1414"/>
      <c r="O38" s="1415"/>
    </row>
    <row r="39" spans="1:19" s="1405" customFormat="1" hidden="1">
      <c r="A39" s="1399"/>
      <c r="B39" s="1407"/>
      <c r="C39" s="1392"/>
      <c r="D39" s="1393"/>
      <c r="E39" s="1416"/>
      <c r="F39" s="1394"/>
      <c r="G39" s="1394"/>
      <c r="H39" s="1417"/>
      <c r="I39" s="1397"/>
      <c r="J39" s="1398"/>
      <c r="K39" s="1403"/>
      <c r="L39" s="1403"/>
      <c r="M39" s="1404"/>
      <c r="N39" s="1414"/>
    </row>
    <row r="40" spans="1:19" s="1405" customFormat="1" hidden="1">
      <c r="A40" s="1399"/>
      <c r="B40" s="1418"/>
      <c r="C40" s="1419"/>
      <c r="D40" s="1420"/>
      <c r="E40" s="1402"/>
      <c r="F40" s="1399"/>
      <c r="G40" s="1403"/>
      <c r="H40" s="1389"/>
      <c r="I40" s="1421">
        <f>SUM(I38:I39)</f>
        <v>0</v>
      </c>
      <c r="J40" s="1413" t="s">
        <v>45</v>
      </c>
      <c r="K40" s="1389">
        <f>'CD WORK DATA'!H147</f>
        <v>86540.55</v>
      </c>
      <c r="L40" s="1389" t="s">
        <v>507</v>
      </c>
      <c r="M40" s="1422">
        <f>ROUND(I40*K40,0)</f>
        <v>0</v>
      </c>
      <c r="N40" s="1414"/>
    </row>
    <row r="41" spans="1:19" s="1405" customFormat="1" ht="67.5" customHeight="1">
      <c r="A41" s="1399">
        <v>5</v>
      </c>
      <c r="B41" s="1400" t="s">
        <v>885</v>
      </c>
      <c r="C41" s="1400"/>
      <c r="D41" s="1400"/>
      <c r="E41" s="1400"/>
      <c r="F41" s="1400"/>
      <c r="G41" s="1400"/>
      <c r="H41" s="1400"/>
      <c r="I41" s="1401"/>
      <c r="J41" s="1402"/>
      <c r="K41" s="1403"/>
      <c r="L41" s="1403"/>
      <c r="M41" s="1404"/>
      <c r="O41" s="1406"/>
      <c r="P41" s="1406"/>
      <c r="Q41" s="1406"/>
      <c r="R41" s="1406"/>
      <c r="S41" s="1406"/>
    </row>
    <row r="42" spans="1:19" s="1405" customFormat="1" ht="25.5">
      <c r="A42" s="1399"/>
      <c r="B42" s="1423" t="s">
        <v>890</v>
      </c>
      <c r="C42" s="1392">
        <v>3</v>
      </c>
      <c r="D42" s="1393" t="s">
        <v>46</v>
      </c>
      <c r="E42" s="1424">
        <v>1</v>
      </c>
      <c r="F42" s="1394">
        <f>F29</f>
        <v>5</v>
      </c>
      <c r="G42" s="1395" t="s">
        <v>886</v>
      </c>
      <c r="H42" s="1396">
        <v>0.7</v>
      </c>
      <c r="I42" s="1343">
        <f>ROUND(C42*E42*F42*H42*(6.3+5.1)/2,2)</f>
        <v>59.85</v>
      </c>
      <c r="J42" s="1398" t="s">
        <v>10</v>
      </c>
      <c r="K42" s="1403"/>
      <c r="L42" s="1403"/>
      <c r="M42" s="1404"/>
      <c r="N42" s="1414"/>
    </row>
    <row r="43" spans="1:19" s="1405" customFormat="1" ht="25.5">
      <c r="A43" s="1399"/>
      <c r="B43" s="1423" t="s">
        <v>756</v>
      </c>
      <c r="C43" s="1392">
        <v>3</v>
      </c>
      <c r="D43" s="1393" t="s">
        <v>46</v>
      </c>
      <c r="E43" s="1424">
        <v>1</v>
      </c>
      <c r="F43" s="1394">
        <f>F17</f>
        <v>1.6</v>
      </c>
      <c r="G43" s="1395" t="s">
        <v>886</v>
      </c>
      <c r="H43" s="1396">
        <v>0.7</v>
      </c>
      <c r="I43" s="1343">
        <f>-ROUND(C43*E43*F43*H43*(6.3+5.1)/2,2)</f>
        <v>-19.149999999999999</v>
      </c>
      <c r="J43" s="1398" t="s">
        <v>10</v>
      </c>
      <c r="K43" s="1403"/>
      <c r="L43" s="1403"/>
      <c r="M43" s="1404"/>
      <c r="N43" s="1414"/>
    </row>
    <row r="44" spans="1:19" s="1405" customFormat="1">
      <c r="A44" s="1399"/>
      <c r="B44" s="1425"/>
      <c r="C44" s="1419"/>
      <c r="D44" s="1420"/>
      <c r="E44" s="1402"/>
      <c r="F44" s="1426"/>
      <c r="G44" s="1426"/>
      <c r="H44" s="1426"/>
      <c r="I44" s="1421"/>
      <c r="J44" s="1413"/>
      <c r="K44" s="1403"/>
      <c r="L44" s="1403"/>
      <c r="M44" s="1404"/>
      <c r="N44" s="1414"/>
    </row>
    <row r="45" spans="1:19" s="1405" customFormat="1">
      <c r="A45" s="1399"/>
      <c r="B45" s="1418"/>
      <c r="C45" s="1419"/>
      <c r="D45" s="1420"/>
      <c r="E45" s="1402"/>
      <c r="F45" s="1399"/>
      <c r="G45" s="1403"/>
      <c r="H45" s="1389"/>
      <c r="I45" s="1421">
        <f>SUM(I42:I44)</f>
        <v>40.700000000000003</v>
      </c>
      <c r="J45" s="1413" t="s">
        <v>10</v>
      </c>
      <c r="K45" s="1389">
        <f>'CD WORK DATA'!H189</f>
        <v>279.77999999999997</v>
      </c>
      <c r="L45" s="1389" t="s">
        <v>23</v>
      </c>
      <c r="M45" s="1422">
        <f>ROUND(I45*K45,0)</f>
        <v>11387</v>
      </c>
      <c r="N45" s="1414"/>
    </row>
    <row r="46" spans="1:19" ht="150.75" hidden="1" customHeight="1">
      <c r="A46" s="1399">
        <v>8</v>
      </c>
      <c r="B46" s="1400" t="s">
        <v>891</v>
      </c>
      <c r="C46" s="1400"/>
      <c r="D46" s="1400"/>
      <c r="E46" s="1400"/>
      <c r="F46" s="1400"/>
      <c r="G46" s="1400"/>
      <c r="H46" s="1400"/>
      <c r="I46" s="1427"/>
      <c r="J46" s="1428"/>
      <c r="K46" s="1429"/>
      <c r="L46" s="1430"/>
      <c r="M46" s="1431"/>
    </row>
    <row r="47" spans="1:19" s="1348" customFormat="1" hidden="1">
      <c r="A47" s="1336"/>
      <c r="B47" s="1337" t="s">
        <v>892</v>
      </c>
      <c r="C47" s="1338">
        <v>1</v>
      </c>
      <c r="D47" s="1339" t="s">
        <v>46</v>
      </c>
      <c r="E47" s="1340">
        <v>1</v>
      </c>
      <c r="F47" s="1341">
        <f>F42</f>
        <v>5</v>
      </c>
      <c r="G47" s="1341">
        <v>7.5</v>
      </c>
      <c r="H47" s="1342">
        <v>0.17</v>
      </c>
      <c r="I47" s="1343">
        <f>ROUND(IF(AND(F47:H47),C47*E47*F47*G47*H47,IF(AND(F47,G47),C47*E47*F47*G47,IF(AND(F47,H47),C47*E47*F47*H47,IF(AND(G47,H47),C47*E47*G47*H47,IF(F47,C47*E47*F47,IF(G47,C47*E47*G47,IF(H47,C47*E47*H47,C47*E47))))))),2)</f>
        <v>6.38</v>
      </c>
      <c r="J47" s="1344" t="s">
        <v>10</v>
      </c>
      <c r="K47" s="1345"/>
      <c r="L47" s="1336"/>
      <c r="M47" s="1346"/>
      <c r="N47" s="1347"/>
      <c r="Q47" s="1347"/>
    </row>
    <row r="48" spans="1:19" s="1348" customFormat="1" hidden="1">
      <c r="A48" s="1336"/>
      <c r="B48" s="1337"/>
      <c r="C48" s="1338"/>
      <c r="D48" s="1339"/>
      <c r="E48" s="1340"/>
      <c r="F48" s="1341"/>
      <c r="G48" s="1341"/>
      <c r="H48" s="1342"/>
      <c r="I48" s="1343"/>
      <c r="J48" s="1344"/>
      <c r="K48" s="1432"/>
      <c r="L48" s="1336"/>
      <c r="M48" s="1346"/>
      <c r="N48" s="1347"/>
      <c r="Q48" s="1347"/>
    </row>
    <row r="49" spans="1:13" hidden="1">
      <c r="A49" s="1399"/>
      <c r="B49" s="1433"/>
      <c r="C49" s="1427"/>
      <c r="D49" s="1434"/>
      <c r="E49" s="1435"/>
      <c r="F49" s="1436"/>
      <c r="G49" s="1436"/>
      <c r="H49" s="1436"/>
      <c r="I49" s="1437"/>
      <c r="J49" s="1438" t="s">
        <v>10</v>
      </c>
      <c r="K49" s="1439">
        <f>'CD WORK DATA'!H223</f>
        <v>7873.37</v>
      </c>
      <c r="L49" s="1440" t="s">
        <v>23</v>
      </c>
      <c r="M49" s="1390">
        <f>ROUND(I49*K49/1,0)</f>
        <v>0</v>
      </c>
    </row>
    <row r="50" spans="1:13" s="1391" customFormat="1">
      <c r="A50" s="1382"/>
      <c r="B50" s="1382"/>
      <c r="C50" s="1383"/>
      <c r="D50" s="1384"/>
      <c r="E50" s="1385"/>
      <c r="F50" s="1382"/>
      <c r="G50" s="1382"/>
      <c r="H50" s="1382"/>
      <c r="I50" s="1386"/>
      <c r="J50" s="1344"/>
      <c r="K50" s="1388"/>
      <c r="L50" s="1440"/>
      <c r="M50" s="1390"/>
    </row>
    <row r="51" spans="1:13">
      <c r="A51" s="1399"/>
      <c r="B51" s="1441" t="s">
        <v>4</v>
      </c>
      <c r="C51" s="1442"/>
      <c r="D51" s="1442"/>
      <c r="E51" s="1442"/>
      <c r="F51" s="1442"/>
      <c r="G51" s="1442"/>
      <c r="H51" s="1443"/>
      <c r="I51" s="1437"/>
      <c r="J51" s="1444"/>
      <c r="K51" s="1439"/>
      <c r="L51" s="1445"/>
      <c r="M51" s="1446">
        <f>SUM(M8:M50)</f>
        <v>569180</v>
      </c>
    </row>
    <row r="52" spans="1:13">
      <c r="A52" s="1447"/>
      <c r="B52" s="1448"/>
      <c r="C52" s="1449"/>
      <c r="D52" s="1448"/>
      <c r="E52" s="1450"/>
      <c r="F52" s="1448"/>
      <c r="G52" s="1448"/>
      <c r="H52" s="1448"/>
      <c r="I52" s="1451"/>
      <c r="J52" s="1451"/>
      <c r="K52" s="1452"/>
      <c r="L52" s="1452"/>
      <c r="M52" s="1451"/>
    </row>
    <row r="53" spans="1:13">
      <c r="A53" s="1447"/>
      <c r="B53" s="1448"/>
      <c r="C53" s="1449"/>
      <c r="D53" s="1448"/>
      <c r="E53" s="1450"/>
      <c r="F53" s="1448"/>
      <c r="G53" s="1448"/>
      <c r="H53" s="1448"/>
      <c r="I53" s="1451"/>
      <c r="J53" s="1451"/>
      <c r="K53" s="1452"/>
      <c r="L53" s="1452"/>
      <c r="M53" s="1451"/>
    </row>
    <row r="54" spans="1:13">
      <c r="A54" s="1447"/>
      <c r="B54" s="1448"/>
      <c r="C54" s="1449"/>
      <c r="D54" s="1448"/>
      <c r="E54" s="1450"/>
      <c r="F54" s="1448"/>
      <c r="G54" s="1448"/>
      <c r="H54" s="1448"/>
      <c r="I54" s="1451"/>
      <c r="J54" s="1451"/>
      <c r="K54" s="1452"/>
      <c r="L54" s="1452"/>
      <c r="M54" s="1451"/>
    </row>
    <row r="55" spans="1:13">
      <c r="A55" s="1447"/>
      <c r="B55" s="1448"/>
      <c r="C55" s="1449"/>
      <c r="D55" s="1448"/>
      <c r="E55" s="1450"/>
      <c r="F55" s="1448"/>
      <c r="G55" s="1448"/>
      <c r="H55" s="1448"/>
      <c r="I55" s="1451"/>
      <c r="J55" s="1451"/>
      <c r="K55" s="1452"/>
      <c r="L55" s="1452"/>
      <c r="M55" s="1451"/>
    </row>
    <row r="56" spans="1:13">
      <c r="A56" s="1447"/>
      <c r="B56" s="1448"/>
      <c r="C56" s="1449"/>
      <c r="D56" s="1448"/>
      <c r="E56" s="1450"/>
      <c r="F56" s="1448"/>
      <c r="G56" s="1453" t="str">
        <f>'lead 2025-26'!$G$37</f>
        <v>Deputy Executive Engineer</v>
      </c>
      <c r="H56" s="1448"/>
      <c r="I56" s="1451"/>
      <c r="J56" s="1451"/>
      <c r="K56" s="1452"/>
      <c r="L56" s="1454" t="str">
        <f>'lead 2025-26'!J37</f>
        <v>Assistant   Engineer</v>
      </c>
      <c r="M56" s="1451"/>
    </row>
    <row r="57" spans="1:13">
      <c r="A57" s="1447"/>
      <c r="B57" s="1448"/>
      <c r="C57" s="1449"/>
      <c r="D57" s="1448"/>
      <c r="E57" s="1450"/>
      <c r="F57" s="1448"/>
      <c r="G57" s="1453" t="str">
        <f>'lead 2025-26'!$G$38</f>
        <v>PRI Sub Division: Kanigiri</v>
      </c>
      <c r="H57" s="1448"/>
      <c r="I57" s="1451"/>
      <c r="J57" s="1451"/>
      <c r="K57" s="1452"/>
      <c r="L57" s="1454" t="str">
        <f>'lead 2025-26'!J38</f>
        <v>Mandal Praja Parishad</v>
      </c>
      <c r="M57" s="1451"/>
    </row>
    <row r="58" spans="1:13">
      <c r="A58" s="1447"/>
      <c r="B58" s="1448"/>
      <c r="C58" s="1449"/>
      <c r="D58" s="1448"/>
      <c r="E58" s="1450"/>
      <c r="F58" s="1448"/>
      <c r="G58" s="1448"/>
      <c r="H58" s="1448"/>
      <c r="I58" s="1451"/>
      <c r="J58" s="1451"/>
      <c r="K58" s="1452"/>
      <c r="L58" s="1454" t="str">
        <f>'lead 2025-26'!J39</f>
        <v>Pamuru</v>
      </c>
      <c r="M58" s="1451"/>
    </row>
  </sheetData>
  <mergeCells count="25">
    <mergeCell ref="B51:H51"/>
    <mergeCell ref="B23:H23"/>
    <mergeCell ref="B27:H27"/>
    <mergeCell ref="B33:H33"/>
    <mergeCell ref="B37:H37"/>
    <mergeCell ref="B41:H41"/>
    <mergeCell ref="B46:H46"/>
    <mergeCell ref="L5:L6"/>
    <mergeCell ref="M5:M6"/>
    <mergeCell ref="C7:E7"/>
    <mergeCell ref="I7:J7"/>
    <mergeCell ref="B8:H8"/>
    <mergeCell ref="I5:J6"/>
    <mergeCell ref="K5:K6"/>
    <mergeCell ref="B13:H13"/>
    <mergeCell ref="A5:A6"/>
    <mergeCell ref="B5:B6"/>
    <mergeCell ref="C5:E6"/>
    <mergeCell ref="F5:H5"/>
    <mergeCell ref="K4:L4"/>
    <mergeCell ref="A1:M1"/>
    <mergeCell ref="A2:B2"/>
    <mergeCell ref="C2:M2"/>
    <mergeCell ref="A3:B3"/>
    <mergeCell ref="C3:M3"/>
  </mergeCells>
  <printOptions horizontalCentered="1"/>
  <pageMargins left="0.23622047244094499" right="0.15748031496063" top="0.16" bottom="0.18" header="0.38" footer="0.16"/>
  <pageSetup paperSize="9" orientation="portrait" errors="blank" r:id="rId1"/>
  <headerFooter alignWithMargins="0"/>
  <rowBreaks count="1" manualBreakCount="1">
    <brk id="40" max="12"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S58"/>
  <sheetViews>
    <sheetView showZeros="0" view="pageBreakPreview" topLeftCell="A46" zoomScale="115" zoomScaleNormal="115" zoomScaleSheetLayoutView="115" workbookViewId="0">
      <selection activeCell="I49" sqref="I49"/>
    </sheetView>
  </sheetViews>
  <sheetFormatPr defaultRowHeight="12.75"/>
  <cols>
    <col min="1" max="1" width="4.42578125" style="33" customWidth="1"/>
    <col min="2" max="2" width="23.42578125" style="22" customWidth="1"/>
    <col min="3" max="3" width="2.4257812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0.28515625" style="22" bestFit="1" customWidth="1"/>
    <col min="15" max="15" width="11.7109375" style="22" customWidth="1"/>
    <col min="16" max="16" width="9.140625" style="22"/>
    <col min="17" max="17" width="10.7109375" style="22" bestFit="1" customWidth="1"/>
    <col min="18" max="16384" width="9.140625" style="22"/>
  </cols>
  <sheetData>
    <row r="1" spans="1:17" ht="30" customHeight="1">
      <c r="A1" s="1102" t="s">
        <v>871</v>
      </c>
      <c r="B1" s="1102"/>
      <c r="C1" s="1102"/>
      <c r="D1" s="1102"/>
      <c r="E1" s="1102"/>
      <c r="F1" s="1102"/>
      <c r="G1" s="1102"/>
      <c r="H1" s="1102"/>
      <c r="I1" s="1102"/>
      <c r="J1" s="1102"/>
      <c r="K1" s="1102"/>
      <c r="L1" s="1102"/>
      <c r="M1" s="1102"/>
    </row>
    <row r="2" spans="1:17" s="56" customFormat="1" ht="39" customHeight="1">
      <c r="A2" s="1112" t="str">
        <f>'lead 2025-26'!B3</f>
        <v xml:space="preserve">Name of the work : </v>
      </c>
      <c r="B2" s="1112"/>
      <c r="C2" s="1113" t="str">
        <f>'lead 2025-26'!C3</f>
        <v>Providing BT Surface to the road from Inimerla SC colony to National Highway at Nuchupoda in Inimerla GP of Pamuru Mandal.</v>
      </c>
      <c r="D2" s="1113"/>
      <c r="E2" s="1113"/>
      <c r="F2" s="1113"/>
      <c r="G2" s="1113"/>
      <c r="H2" s="1113"/>
      <c r="I2" s="1113"/>
      <c r="J2" s="1113"/>
      <c r="K2" s="1113"/>
      <c r="L2" s="1113"/>
      <c r="M2" s="1113"/>
    </row>
    <row r="3" spans="1:17" s="56" customFormat="1" ht="35.25" customHeight="1">
      <c r="A3" s="1112" t="s">
        <v>864</v>
      </c>
      <c r="B3" s="1112"/>
      <c r="C3" s="1113" t="s">
        <v>872</v>
      </c>
      <c r="D3" s="1113"/>
      <c r="E3" s="1113"/>
      <c r="F3" s="1113"/>
      <c r="G3" s="1113"/>
      <c r="H3" s="1113"/>
      <c r="I3" s="1113"/>
      <c r="J3" s="1113"/>
      <c r="K3" s="1113"/>
      <c r="L3" s="1113"/>
      <c r="M3" s="1113"/>
    </row>
    <row r="4" spans="1:17" s="56" customFormat="1" ht="16.5" customHeight="1">
      <c r="A4" s="58"/>
      <c r="B4" s="58"/>
      <c r="C4" s="59"/>
      <c r="D4" s="58"/>
      <c r="E4" s="60"/>
      <c r="F4" s="58"/>
      <c r="G4" s="58"/>
      <c r="H4" s="58"/>
      <c r="I4" s="59"/>
      <c r="J4" s="59"/>
      <c r="K4" s="1104"/>
      <c r="L4" s="1104"/>
      <c r="M4" s="57"/>
    </row>
    <row r="5" spans="1:17" s="61" customFormat="1" ht="15.75" customHeight="1">
      <c r="A5" s="1105" t="s">
        <v>36</v>
      </c>
      <c r="B5" s="1105" t="s">
        <v>15</v>
      </c>
      <c r="C5" s="1105" t="s">
        <v>16</v>
      </c>
      <c r="D5" s="1105"/>
      <c r="E5" s="1105"/>
      <c r="F5" s="1105" t="s">
        <v>17</v>
      </c>
      <c r="G5" s="1105"/>
      <c r="H5" s="1105"/>
      <c r="I5" s="1106" t="s">
        <v>14</v>
      </c>
      <c r="J5" s="1119"/>
      <c r="K5" s="1105" t="s">
        <v>18</v>
      </c>
      <c r="L5" s="1105" t="s">
        <v>8</v>
      </c>
      <c r="M5" s="1105" t="s">
        <v>19</v>
      </c>
    </row>
    <row r="6" spans="1:17" s="61" customFormat="1" ht="15.75">
      <c r="A6" s="1105"/>
      <c r="B6" s="1105"/>
      <c r="C6" s="1105"/>
      <c r="D6" s="1105"/>
      <c r="E6" s="1105"/>
      <c r="F6" s="651" t="s">
        <v>20</v>
      </c>
      <c r="G6" s="651" t="s">
        <v>21</v>
      </c>
      <c r="H6" s="651" t="s">
        <v>22</v>
      </c>
      <c r="I6" s="1108"/>
      <c r="J6" s="1120"/>
      <c r="K6" s="1105"/>
      <c r="L6" s="1105"/>
      <c r="M6" s="1105"/>
    </row>
    <row r="7" spans="1:17" s="62" customFormat="1" ht="15.75">
      <c r="A7" s="325">
        <v>1</v>
      </c>
      <c r="B7" s="325">
        <v>2</v>
      </c>
      <c r="C7" s="1131">
        <v>3</v>
      </c>
      <c r="D7" s="1131"/>
      <c r="E7" s="1131"/>
      <c r="F7" s="325">
        <v>4</v>
      </c>
      <c r="G7" s="325">
        <v>5</v>
      </c>
      <c r="H7" s="325">
        <v>6</v>
      </c>
      <c r="I7" s="1100">
        <v>7</v>
      </c>
      <c r="J7" s="1117"/>
      <c r="K7" s="326">
        <v>8</v>
      </c>
      <c r="L7" s="327">
        <v>9</v>
      </c>
      <c r="M7" s="325">
        <v>10</v>
      </c>
    </row>
    <row r="8" spans="1:17" s="673" customFormat="1" ht="83.25" customHeight="1">
      <c r="A8" s="668">
        <v>1</v>
      </c>
      <c r="B8" s="1134" t="s">
        <v>587</v>
      </c>
      <c r="C8" s="1134"/>
      <c r="D8" s="1134"/>
      <c r="E8" s="1134"/>
      <c r="F8" s="1134"/>
      <c r="G8" s="1134"/>
      <c r="H8" s="1134"/>
      <c r="I8" s="669"/>
      <c r="J8" s="670"/>
      <c r="K8" s="668"/>
      <c r="L8" s="668"/>
      <c r="M8" s="671"/>
      <c r="N8" s="672"/>
      <c r="O8" s="672"/>
    </row>
    <row r="9" spans="1:17" s="686" customFormat="1">
      <c r="A9" s="674"/>
      <c r="B9" s="675" t="s">
        <v>865</v>
      </c>
      <c r="C9" s="676">
        <v>1</v>
      </c>
      <c r="D9" s="677" t="s">
        <v>46</v>
      </c>
      <c r="E9" s="678">
        <v>1</v>
      </c>
      <c r="F9" s="679">
        <f>(1*1.2)+(2*0.2)</f>
        <v>1.6</v>
      </c>
      <c r="G9" s="679">
        <v>5.3</v>
      </c>
      <c r="H9" s="680">
        <v>1</v>
      </c>
      <c r="I9" s="681">
        <f>ROUND(IF(AND(F9:H9),C9*E9*F9*G9*H9,IF(AND(F9,G9),C9*E9*F9*G9,IF(AND(F9,H9),C9*E9*F9*H9,IF(AND(G9,H9),C9*E9*G9*H9,IF(F9,C9*E9*F9,IF(G9,C9*E9*G9,IF(H9,C9*E9*H9,C9*E9))))))),2)</f>
        <v>8.48</v>
      </c>
      <c r="J9" s="682" t="s">
        <v>10</v>
      </c>
      <c r="K9" s="683"/>
      <c r="L9" s="674"/>
      <c r="M9" s="684"/>
      <c r="N9" s="685"/>
      <c r="Q9" s="685"/>
    </row>
    <row r="10" spans="1:17" s="686" customFormat="1">
      <c r="A10" s="674"/>
      <c r="B10" s="675" t="s">
        <v>755</v>
      </c>
      <c r="C10" s="676">
        <v>2</v>
      </c>
      <c r="D10" s="677" t="s">
        <v>46</v>
      </c>
      <c r="E10" s="678">
        <v>1</v>
      </c>
      <c r="F10" s="679">
        <v>5</v>
      </c>
      <c r="G10" s="679">
        <v>1.1000000000000001</v>
      </c>
      <c r="H10" s="680">
        <v>1.6</v>
      </c>
      <c r="I10" s="681">
        <f>ROUND(IF(AND(F10:H10),C10*E10*F10*G10*H10,IF(AND(F10,G10),C10*E10*F10*G10,IF(AND(F10,H10),C10*E10*F10*H10,IF(AND(G10,H10),C10*E10*G10*H10,IF(F10,C10*E10*F10,IF(G10,C10*E10*G10,IF(H10,C10*E10*H10,C10*E10))))))),2)</f>
        <v>17.600000000000001</v>
      </c>
      <c r="J10" s="682" t="s">
        <v>10</v>
      </c>
      <c r="K10" s="683"/>
      <c r="L10" s="674"/>
      <c r="M10" s="684"/>
      <c r="N10" s="685"/>
      <c r="Q10" s="685"/>
    </row>
    <row r="11" spans="1:17" s="686" customFormat="1">
      <c r="A11" s="674"/>
      <c r="B11" s="675"/>
      <c r="C11" s="676"/>
      <c r="D11" s="677"/>
      <c r="E11" s="678"/>
      <c r="F11" s="679"/>
      <c r="G11" s="679"/>
      <c r="H11" s="680"/>
      <c r="I11" s="681"/>
      <c r="J11" s="682"/>
      <c r="K11" s="683"/>
      <c r="L11" s="674"/>
      <c r="M11" s="684"/>
      <c r="N11" s="685"/>
      <c r="Q11" s="685"/>
    </row>
    <row r="12" spans="1:17" s="695" customFormat="1">
      <c r="A12" s="687"/>
      <c r="B12" s="687"/>
      <c r="C12" s="688"/>
      <c r="D12" s="689"/>
      <c r="E12" s="690"/>
      <c r="F12" s="687"/>
      <c r="G12" s="687"/>
      <c r="H12" s="687"/>
      <c r="I12" s="691"/>
      <c r="J12" s="692" t="s">
        <v>10</v>
      </c>
      <c r="K12" s="693">
        <f>'CD WORK DATA'!H37</f>
        <v>126.69</v>
      </c>
      <c r="L12" s="644" t="s">
        <v>23</v>
      </c>
      <c r="M12" s="694">
        <f>ROUND(I12*K12/1,0)</f>
        <v>0</v>
      </c>
    </row>
    <row r="13" spans="1:17" s="673" customFormat="1" ht="72" customHeight="1">
      <c r="A13" s="668">
        <v>2</v>
      </c>
      <c r="B13" s="1134" t="s">
        <v>866</v>
      </c>
      <c r="C13" s="1134"/>
      <c r="D13" s="1134"/>
      <c r="E13" s="1134"/>
      <c r="F13" s="1134"/>
      <c r="G13" s="1134"/>
      <c r="H13" s="1134"/>
      <c r="I13" s="669"/>
      <c r="J13" s="670"/>
      <c r="K13" s="668"/>
      <c r="L13" s="668"/>
      <c r="M13" s="671"/>
      <c r="N13" s="672">
        <f>N60</f>
        <v>0</v>
      </c>
      <c r="O13" s="672">
        <f>N57</f>
        <v>0</v>
      </c>
    </row>
    <row r="14" spans="1:17" s="686" customFormat="1">
      <c r="A14" s="674"/>
      <c r="B14" s="675" t="s">
        <v>865</v>
      </c>
      <c r="C14" s="676">
        <v>1</v>
      </c>
      <c r="D14" s="677" t="s">
        <v>46</v>
      </c>
      <c r="E14" s="678">
        <v>1</v>
      </c>
      <c r="F14" s="679">
        <f>F9</f>
        <v>1.6</v>
      </c>
      <c r="G14" s="679">
        <f>G9</f>
        <v>5.3</v>
      </c>
      <c r="H14" s="680">
        <v>0.3</v>
      </c>
      <c r="I14" s="681">
        <f>ROUND(IF(AND(F14:H14),C14*E14*F14*G14*H14,IF(AND(F14,G14),C14*E14*F14*G14,IF(AND(F14,H14),C14*E14*F14*H14,IF(AND(G14,H14),C14*E14*G14*H14,IF(F14,C14*E14*F14,IF(G14,C14*E14*G14,IF(H14,C14*E14*H14,C14*E14))))))),2)</f>
        <v>2.54</v>
      </c>
      <c r="J14" s="682" t="s">
        <v>10</v>
      </c>
      <c r="K14" s="683"/>
      <c r="L14" s="674"/>
      <c r="M14" s="684"/>
      <c r="N14" s="685"/>
      <c r="Q14" s="685"/>
    </row>
    <row r="15" spans="1:17" s="686" customFormat="1">
      <c r="A15" s="674"/>
      <c r="B15" s="675" t="s">
        <v>755</v>
      </c>
      <c r="C15" s="676">
        <v>2</v>
      </c>
      <c r="D15" s="677" t="s">
        <v>46</v>
      </c>
      <c r="E15" s="678">
        <v>1</v>
      </c>
      <c r="F15" s="679">
        <f>F10</f>
        <v>5</v>
      </c>
      <c r="G15" s="679">
        <f>G10</f>
        <v>1.1000000000000001</v>
      </c>
      <c r="H15" s="680">
        <v>0.3</v>
      </c>
      <c r="I15" s="681">
        <f>ROUND(IF(AND(F15:H15),C15*E15*F15*G15*H15,IF(AND(F15,G15),C15*E15*F15*G15,IF(AND(F15,H15),C15*E15*F15*H15,IF(AND(G15,H15),C15*E15*G15*H15,IF(F15,C15*E15*F15,IF(G15,C15*E15*G15,IF(H15,C15*E15*H15,C15*E15))))))),2)</f>
        <v>3.3</v>
      </c>
      <c r="J15" s="682" t="s">
        <v>10</v>
      </c>
      <c r="K15" s="683"/>
      <c r="L15" s="674"/>
      <c r="M15" s="684"/>
      <c r="N15" s="685"/>
      <c r="Q15" s="685"/>
    </row>
    <row r="16" spans="1:17" s="686" customFormat="1">
      <c r="A16" s="674"/>
      <c r="B16" s="675"/>
      <c r="C16" s="676"/>
      <c r="D16" s="677"/>
      <c r="E16" s="678"/>
      <c r="F16" s="679"/>
      <c r="G16" s="679"/>
      <c r="H16" s="680"/>
      <c r="I16" s="681"/>
      <c r="J16" s="682"/>
      <c r="K16" s="683"/>
      <c r="L16" s="674"/>
      <c r="M16" s="684"/>
      <c r="N16" s="685"/>
      <c r="Q16" s="685"/>
    </row>
    <row r="17" spans="1:17" s="686" customFormat="1">
      <c r="A17" s="674"/>
      <c r="B17" s="675" t="s">
        <v>869</v>
      </c>
      <c r="C17" s="676">
        <v>1</v>
      </c>
      <c r="D17" s="677" t="s">
        <v>46</v>
      </c>
      <c r="E17" s="678">
        <v>1</v>
      </c>
      <c r="F17" s="679">
        <f>F9</f>
        <v>1.6</v>
      </c>
      <c r="G17" s="679">
        <v>6.6</v>
      </c>
      <c r="H17" s="680">
        <v>1.35</v>
      </c>
      <c r="I17" s="681">
        <f>ROUND(IF(AND(F17:H17),C17*E17*F17*G17*H17,IF(AND(F17,G17),C17*E17*F17*G17,IF(AND(F17,H17),C17*E17*F17*H17,IF(AND(G17,H17),C17*E17*G17*H17,IF(F17,C17*E17*F17,IF(G17,C17*E17*G17,IF(H17,C17*E17*H17,C17*E17))))))),2)</f>
        <v>14.26</v>
      </c>
      <c r="J17" s="682" t="s">
        <v>10</v>
      </c>
      <c r="K17" s="683"/>
      <c r="L17" s="674"/>
      <c r="M17" s="684"/>
      <c r="N17" s="685"/>
      <c r="Q17" s="685"/>
    </row>
    <row r="18" spans="1:17" s="686" customFormat="1">
      <c r="A18" s="674"/>
      <c r="B18" s="675" t="s">
        <v>756</v>
      </c>
      <c r="C18" s="676">
        <v>1</v>
      </c>
      <c r="D18" s="677" t="s">
        <v>46</v>
      </c>
      <c r="E18" s="758">
        <v>0.78500000000000003</v>
      </c>
      <c r="F18" s="679">
        <f>G17</f>
        <v>6.6</v>
      </c>
      <c r="G18" s="679">
        <v>1.2</v>
      </c>
      <c r="H18" s="680">
        <v>1.2</v>
      </c>
      <c r="I18" s="681">
        <f>-ROUND(IF(AND(F18:H18),C18*E18*F18*G18*H18,IF(AND(F18,G18),C18*E18*F18*G18,IF(AND(F18,H18),C18*E18*F18*H18,IF(AND(G18,H18),C18*E18*G18*H18,IF(F18,C18*E18*F18,IF(G18,C18*E18*G18,IF(H18,C18*E18*H18,C18*E18))))))),2)</f>
        <v>-7.46</v>
      </c>
      <c r="J18" s="682" t="s">
        <v>10</v>
      </c>
      <c r="K18" s="683"/>
      <c r="L18" s="674"/>
      <c r="M18" s="684"/>
      <c r="N18" s="685"/>
      <c r="Q18" s="685"/>
    </row>
    <row r="19" spans="1:17" s="686" customFormat="1">
      <c r="A19" s="674"/>
      <c r="B19" s="675"/>
      <c r="C19" s="676"/>
      <c r="D19" s="677"/>
      <c r="E19" s="696"/>
      <c r="F19" s="679"/>
      <c r="G19" s="679"/>
      <c r="H19" s="680"/>
      <c r="I19" s="681"/>
      <c r="J19" s="682"/>
      <c r="K19" s="683"/>
      <c r="L19" s="674"/>
      <c r="M19" s="684"/>
      <c r="N19" s="685"/>
      <c r="Q19" s="685"/>
    </row>
    <row r="20" spans="1:17" s="686" customFormat="1">
      <c r="A20" s="674"/>
      <c r="B20" s="675" t="s">
        <v>890</v>
      </c>
      <c r="C20" s="676">
        <v>1</v>
      </c>
      <c r="D20" s="677" t="s">
        <v>46</v>
      </c>
      <c r="E20" s="678">
        <v>1</v>
      </c>
      <c r="F20" s="679">
        <f>F15</f>
        <v>5</v>
      </c>
      <c r="G20" s="679">
        <v>6.6</v>
      </c>
      <c r="H20" s="680">
        <v>0.15</v>
      </c>
      <c r="I20" s="681">
        <f>ROUND(IF(AND(F20:H20),C20*E20*F20*G20*H20,IF(AND(F20,G20),C20*E20*F20*G20,IF(AND(F20,H20),C20*E20*F20*H20,IF(AND(G20,H20),C20*E20*G20*H20,IF(F20,C20*E20*F20,IF(G20,C20*E20*G20,IF(H20,C20*E20*H20,C20*E20))))))),2)</f>
        <v>4.95</v>
      </c>
      <c r="J20" s="682" t="s">
        <v>10</v>
      </c>
      <c r="K20" s="683"/>
      <c r="L20" s="674"/>
      <c r="M20" s="684"/>
      <c r="N20" s="685"/>
      <c r="Q20" s="685"/>
    </row>
    <row r="21" spans="1:17" s="686" customFormat="1">
      <c r="A21" s="674"/>
      <c r="B21" s="675"/>
      <c r="C21" s="676"/>
      <c r="D21" s="677"/>
      <c r="E21" s="678"/>
      <c r="F21" s="679"/>
      <c r="G21" s="679"/>
      <c r="H21" s="680"/>
      <c r="I21" s="681"/>
      <c r="J21" s="682"/>
      <c r="K21" s="683"/>
      <c r="L21" s="674"/>
      <c r="M21" s="684"/>
      <c r="N21" s="685"/>
      <c r="Q21" s="685"/>
    </row>
    <row r="22" spans="1:17" s="695" customFormat="1">
      <c r="A22" s="687"/>
      <c r="B22" s="687"/>
      <c r="C22" s="688"/>
      <c r="D22" s="689"/>
      <c r="E22" s="690"/>
      <c r="F22" s="687"/>
      <c r="G22" s="687"/>
      <c r="H22" s="687"/>
      <c r="I22" s="691"/>
      <c r="J22" s="692" t="s">
        <v>10</v>
      </c>
      <c r="K22" s="693">
        <f>'CD WORK DATA'!H54</f>
        <v>5600.99</v>
      </c>
      <c r="L22" s="644" t="s">
        <v>23</v>
      </c>
      <c r="M22" s="694">
        <f>ROUND(I22*K22/1,0)</f>
        <v>0</v>
      </c>
    </row>
    <row r="23" spans="1:17" s="673" customFormat="1" ht="55.5" customHeight="1">
      <c r="A23" s="668">
        <v>3</v>
      </c>
      <c r="B23" s="1134" t="s">
        <v>867</v>
      </c>
      <c r="C23" s="1134"/>
      <c r="D23" s="1134"/>
      <c r="E23" s="1134"/>
      <c r="F23" s="1134"/>
      <c r="G23" s="1134"/>
      <c r="H23" s="1134"/>
      <c r="I23" s="669"/>
      <c r="J23" s="670"/>
      <c r="K23" s="668"/>
      <c r="L23" s="668"/>
      <c r="M23" s="671"/>
      <c r="N23" s="672">
        <f>N60</f>
        <v>0</v>
      </c>
      <c r="O23" s="672">
        <f>N57</f>
        <v>0</v>
      </c>
    </row>
    <row r="24" spans="1:17" s="686" customFormat="1">
      <c r="A24" s="674"/>
      <c r="B24" s="675"/>
      <c r="C24" s="676">
        <v>1</v>
      </c>
      <c r="D24" s="677" t="s">
        <v>46</v>
      </c>
      <c r="E24" s="678">
        <v>3</v>
      </c>
      <c r="F24" s="679">
        <v>2.5</v>
      </c>
      <c r="G24" s="679">
        <v>0</v>
      </c>
      <c r="H24" s="680">
        <v>0</v>
      </c>
      <c r="I24" s="681">
        <f>ROUND(IF(AND(F24:H24),C24*E24*F24*G24*H24,IF(AND(F24,G24),C24*E24*F24*G24,IF(AND(F24,H24),C24*E24*F24*H24,IF(AND(G24,H24),C24*E24*G24*H24,IF(F24,C24*E24*F24,IF(G24,C24*E24*G24,IF(H24,C24*E24*H24,C24*E24))))))),2)</f>
        <v>7.5</v>
      </c>
      <c r="J24" s="682" t="s">
        <v>612</v>
      </c>
      <c r="K24" s="683"/>
      <c r="L24" s="674"/>
      <c r="M24" s="684"/>
      <c r="N24" s="685"/>
      <c r="Q24" s="685"/>
    </row>
    <row r="25" spans="1:17" s="686" customFormat="1">
      <c r="A25" s="674"/>
      <c r="B25" s="675"/>
      <c r="C25" s="676"/>
      <c r="D25" s="677"/>
      <c r="E25" s="678"/>
      <c r="F25" s="679"/>
      <c r="G25" s="679"/>
      <c r="H25" s="680"/>
      <c r="I25" s="681"/>
      <c r="J25" s="682"/>
      <c r="K25" s="683"/>
      <c r="L25" s="674"/>
      <c r="M25" s="684"/>
      <c r="N25" s="685"/>
      <c r="Q25" s="685"/>
    </row>
    <row r="26" spans="1:17" s="695" customFormat="1">
      <c r="A26" s="687"/>
      <c r="B26" s="687"/>
      <c r="C26" s="688"/>
      <c r="D26" s="689"/>
      <c r="E26" s="690"/>
      <c r="F26" s="687"/>
      <c r="G26" s="687"/>
      <c r="H26" s="687"/>
      <c r="I26" s="691"/>
      <c r="J26" s="682" t="s">
        <v>612</v>
      </c>
      <c r="K26" s="693">
        <f>'CD WORK DATA'!H164</f>
        <v>9006.27</v>
      </c>
      <c r="L26" s="644" t="s">
        <v>614</v>
      </c>
      <c r="M26" s="694">
        <f>ROUND(I26*K26/1,0)</f>
        <v>0</v>
      </c>
    </row>
    <row r="27" spans="1:17" s="673" customFormat="1" ht="57.75" customHeight="1">
      <c r="A27" s="668">
        <v>4</v>
      </c>
      <c r="B27" s="1134" t="s">
        <v>432</v>
      </c>
      <c r="C27" s="1134"/>
      <c r="D27" s="1134"/>
      <c r="E27" s="1134"/>
      <c r="F27" s="1134"/>
      <c r="G27" s="1134"/>
      <c r="H27" s="1134"/>
      <c r="I27" s="669"/>
      <c r="J27" s="670"/>
      <c r="K27" s="668"/>
      <c r="L27" s="668"/>
      <c r="M27" s="671"/>
      <c r="N27" s="672">
        <f>N65</f>
        <v>0</v>
      </c>
      <c r="O27" s="672">
        <f>N62</f>
        <v>0</v>
      </c>
    </row>
    <row r="28" spans="1:17" s="686" customFormat="1">
      <c r="A28" s="674"/>
      <c r="B28" s="675" t="s">
        <v>755</v>
      </c>
      <c r="C28" s="676">
        <v>1</v>
      </c>
      <c r="D28" s="677" t="s">
        <v>46</v>
      </c>
      <c r="E28" s="678">
        <v>2</v>
      </c>
      <c r="F28" s="679">
        <f>$F$10</f>
        <v>5</v>
      </c>
      <c r="G28" s="679">
        <v>0.9</v>
      </c>
      <c r="H28" s="680">
        <v>0.6</v>
      </c>
      <c r="I28" s="681">
        <f>ROUND(IF(AND(F28:H28),C28*E28*F28*G28*H28,IF(AND(F28,G28),C28*E28*F28*G28,IF(AND(F28,H28),C28*E28*F28*H28,IF(AND(G28,H28),C28*E28*G28*H28,IF(F28,C28*E28*F28,IF(G28,C28*E28*G28,IF(H28,C28*E28*H28,C28*E28))))))),2)</f>
        <v>5.4</v>
      </c>
      <c r="J28" s="682" t="s">
        <v>10</v>
      </c>
      <c r="K28" s="683"/>
      <c r="L28" s="674"/>
      <c r="M28" s="684"/>
      <c r="N28" s="685"/>
      <c r="Q28" s="685"/>
    </row>
    <row r="29" spans="1:17" s="686" customFormat="1" ht="25.5">
      <c r="A29" s="674"/>
      <c r="B29" s="675" t="s">
        <v>755</v>
      </c>
      <c r="C29" s="676">
        <v>1</v>
      </c>
      <c r="D29" s="677" t="s">
        <v>46</v>
      </c>
      <c r="E29" s="678">
        <v>2</v>
      </c>
      <c r="F29" s="679">
        <f>$F$10</f>
        <v>5</v>
      </c>
      <c r="G29" s="679" t="s">
        <v>868</v>
      </c>
      <c r="H29" s="680">
        <v>1.5</v>
      </c>
      <c r="I29" s="681">
        <f>ROUND(C29*E29*F29*H29*(0.9+0.45)/2,2)</f>
        <v>10.130000000000001</v>
      </c>
      <c r="J29" s="682" t="s">
        <v>10</v>
      </c>
      <c r="K29" s="683"/>
      <c r="L29" s="674"/>
      <c r="M29" s="684"/>
      <c r="N29" s="685"/>
      <c r="Q29" s="685"/>
    </row>
    <row r="30" spans="1:17" s="686" customFormat="1">
      <c r="A30" s="674"/>
      <c r="B30" s="675" t="s">
        <v>756</v>
      </c>
      <c r="C30" s="676">
        <v>2</v>
      </c>
      <c r="D30" s="677" t="s">
        <v>46</v>
      </c>
      <c r="E30" s="758">
        <v>0.78500000000000003</v>
      </c>
      <c r="F30" s="679">
        <v>1.2</v>
      </c>
      <c r="G30" s="679">
        <v>1.2</v>
      </c>
      <c r="H30" s="680">
        <f>H29/2</f>
        <v>0.75</v>
      </c>
      <c r="I30" s="681">
        <f>-ROUND(IF(AND(F30:H30),C30*E30*F30*G30*H30,IF(AND(F30,G30),C30*E30*F30*G30,IF(AND(F30,H30),C30*E30*F30*H30,IF(AND(G30,H30),C30*E30*G30*H30,IF(F30,C30*E30*F30,IF(G30,C30*E30*G30,IF(H30,C30*E30*H30,C30*E30))))))),2)</f>
        <v>-1.7</v>
      </c>
      <c r="J30" s="682" t="s">
        <v>10</v>
      </c>
      <c r="K30" s="683"/>
      <c r="L30" s="674"/>
      <c r="M30" s="684"/>
      <c r="N30" s="685"/>
      <c r="Q30" s="685"/>
    </row>
    <row r="31" spans="1:17" s="686" customFormat="1">
      <c r="A31" s="674"/>
      <c r="B31" s="675"/>
      <c r="C31" s="676"/>
      <c r="D31" s="677"/>
      <c r="E31" s="678"/>
      <c r="F31" s="679"/>
      <c r="G31" s="679"/>
      <c r="H31" s="680"/>
      <c r="I31" s="681"/>
      <c r="J31" s="682"/>
      <c r="K31" s="683"/>
      <c r="L31" s="674"/>
      <c r="M31" s="684"/>
      <c r="N31" s="685"/>
      <c r="Q31" s="685"/>
    </row>
    <row r="32" spans="1:17" s="695" customFormat="1">
      <c r="A32" s="687"/>
      <c r="B32" s="687"/>
      <c r="C32" s="688"/>
      <c r="D32" s="689"/>
      <c r="E32" s="690"/>
      <c r="F32" s="687"/>
      <c r="G32" s="687"/>
      <c r="H32" s="687"/>
      <c r="I32" s="691"/>
      <c r="J32" s="692" t="s">
        <v>10</v>
      </c>
      <c r="K32" s="693">
        <f>'CD WORK DATA'!H74</f>
        <v>5954.5599999999995</v>
      </c>
      <c r="L32" s="644" t="s">
        <v>23</v>
      </c>
      <c r="M32" s="694">
        <f>ROUND(I32*K32/1,0)</f>
        <v>0</v>
      </c>
    </row>
    <row r="33" spans="1:19" s="673" customFormat="1" ht="84.75" customHeight="1">
      <c r="A33" s="668">
        <v>5</v>
      </c>
      <c r="B33" s="1134" t="s">
        <v>838</v>
      </c>
      <c r="C33" s="1134"/>
      <c r="D33" s="1134"/>
      <c r="E33" s="1134"/>
      <c r="F33" s="1134"/>
      <c r="G33" s="1134"/>
      <c r="H33" s="1134"/>
      <c r="I33" s="669"/>
      <c r="J33" s="670"/>
      <c r="K33" s="668"/>
      <c r="L33" s="668"/>
      <c r="M33" s="671"/>
      <c r="N33" s="672">
        <f>N71</f>
        <v>0</v>
      </c>
      <c r="O33" s="672">
        <f>N68</f>
        <v>0</v>
      </c>
    </row>
    <row r="34" spans="1:19" s="686" customFormat="1">
      <c r="A34" s="674"/>
      <c r="B34" s="675"/>
      <c r="C34" s="710">
        <v>6</v>
      </c>
      <c r="D34" s="711" t="s">
        <v>46</v>
      </c>
      <c r="E34" s="758">
        <v>0.78500000000000003</v>
      </c>
      <c r="F34" s="713">
        <v>0.2</v>
      </c>
      <c r="G34" s="714">
        <v>0.2</v>
      </c>
      <c r="H34" s="715">
        <v>0.6</v>
      </c>
      <c r="I34" s="735">
        <f t="shared" ref="I34" si="0">ROUND(IF(AND(F34:H34),C34*E34*F34*G34*H34,IF(AND(F34,G34),C34*E34*F34*G34,IF(AND(F34,H34),C34*E34*F34*H34,IF(AND(G34,H34),C34*E34*G34*H34,IF(F34,C34*E34*F34,IF(G34,C34*E34*G34,IF(H34,C34*E34*H34,C34*E34))))))),2)</f>
        <v>0.11</v>
      </c>
      <c r="J34" s="716" t="s">
        <v>10</v>
      </c>
      <c r="K34" s="683"/>
      <c r="L34" s="674"/>
      <c r="M34" s="684"/>
      <c r="N34" s="685"/>
      <c r="Q34" s="685"/>
    </row>
    <row r="35" spans="1:19" s="686" customFormat="1">
      <c r="A35" s="674"/>
      <c r="B35" s="675"/>
      <c r="C35" s="676"/>
      <c r="D35" s="677"/>
      <c r="E35" s="678"/>
      <c r="F35" s="679"/>
      <c r="G35" s="679"/>
      <c r="H35" s="680"/>
      <c r="I35" s="681"/>
      <c r="J35" s="682"/>
      <c r="K35" s="683"/>
      <c r="L35" s="674"/>
      <c r="M35" s="684"/>
      <c r="N35" s="685"/>
      <c r="Q35" s="685"/>
    </row>
    <row r="36" spans="1:19" s="695" customFormat="1">
      <c r="A36" s="687"/>
      <c r="B36" s="687"/>
      <c r="C36" s="688"/>
      <c r="D36" s="689"/>
      <c r="E36" s="690"/>
      <c r="F36" s="687"/>
      <c r="G36" s="687"/>
      <c r="H36" s="687"/>
      <c r="I36" s="691"/>
      <c r="J36" s="692" t="s">
        <v>10</v>
      </c>
      <c r="K36" s="693">
        <f>'CD WORK DATA'!H114</f>
        <v>7542</v>
      </c>
      <c r="L36" s="644" t="s">
        <v>23</v>
      </c>
      <c r="M36" s="694">
        <f>ROUND(I36*K36/1,0)</f>
        <v>0</v>
      </c>
    </row>
    <row r="37" spans="1:19" s="659" customFormat="1" ht="56.25" customHeight="1">
      <c r="A37" s="642">
        <v>6</v>
      </c>
      <c r="B37" s="1135" t="s">
        <v>589</v>
      </c>
      <c r="C37" s="1135"/>
      <c r="D37" s="1135"/>
      <c r="E37" s="1135"/>
      <c r="F37" s="1135"/>
      <c r="G37" s="1135"/>
      <c r="H37" s="1135"/>
      <c r="I37" s="707"/>
      <c r="J37" s="655"/>
      <c r="K37" s="654"/>
      <c r="L37" s="654"/>
      <c r="M37" s="708"/>
      <c r="O37" s="657"/>
      <c r="P37" s="657"/>
      <c r="Q37" s="657"/>
      <c r="R37" s="657"/>
      <c r="S37" s="657"/>
    </row>
    <row r="38" spans="1:19" s="659" customFormat="1">
      <c r="A38" s="642"/>
      <c r="B38" s="736" t="s">
        <v>893</v>
      </c>
      <c r="C38" s="737"/>
      <c r="D38" s="738"/>
      <c r="E38" s="739"/>
      <c r="F38" s="740"/>
      <c r="G38" s="714"/>
      <c r="H38" s="715"/>
      <c r="I38" s="741">
        <f>ROUND((I36*0.2)/0.38,2)</f>
        <v>0</v>
      </c>
      <c r="J38" s="721" t="s">
        <v>45</v>
      </c>
      <c r="K38" s="654"/>
      <c r="L38" s="654"/>
      <c r="M38" s="708"/>
      <c r="N38" s="717"/>
      <c r="O38" s="742"/>
    </row>
    <row r="39" spans="1:19" s="659" customFormat="1">
      <c r="A39" s="642"/>
      <c r="B39" s="736"/>
      <c r="C39" s="710"/>
      <c r="D39" s="711"/>
      <c r="E39" s="734"/>
      <c r="F39" s="713"/>
      <c r="G39" s="713"/>
      <c r="H39" s="743"/>
      <c r="I39" s="735"/>
      <c r="J39" s="716"/>
      <c r="K39" s="654"/>
      <c r="L39" s="654"/>
      <c r="M39" s="708"/>
      <c r="N39" s="717"/>
    </row>
    <row r="40" spans="1:19" s="659" customFormat="1">
      <c r="A40" s="642"/>
      <c r="B40" s="722"/>
      <c r="C40" s="719"/>
      <c r="D40" s="720"/>
      <c r="E40" s="655"/>
      <c r="F40" s="642"/>
      <c r="G40" s="654"/>
      <c r="H40" s="644"/>
      <c r="I40" s="649">
        <f>SUM(I38:I39)</f>
        <v>0</v>
      </c>
      <c r="J40" s="721" t="s">
        <v>45</v>
      </c>
      <c r="K40" s="644">
        <f>'CD WORK DATA'!H147</f>
        <v>86540.55</v>
      </c>
      <c r="L40" s="644" t="s">
        <v>507</v>
      </c>
      <c r="M40" s="646">
        <f>ROUND(I40*K40,0)</f>
        <v>0</v>
      </c>
      <c r="N40" s="717"/>
    </row>
    <row r="41" spans="1:19" s="659" customFormat="1" ht="67.5" customHeight="1">
      <c r="A41" s="642">
        <v>7</v>
      </c>
      <c r="B41" s="1135" t="s">
        <v>885</v>
      </c>
      <c r="C41" s="1135"/>
      <c r="D41" s="1135"/>
      <c r="E41" s="1135"/>
      <c r="F41" s="1135"/>
      <c r="G41" s="1135"/>
      <c r="H41" s="1135"/>
      <c r="I41" s="707"/>
      <c r="J41" s="655"/>
      <c r="K41" s="654"/>
      <c r="L41" s="654"/>
      <c r="M41" s="708"/>
      <c r="O41" s="657"/>
      <c r="P41" s="657"/>
      <c r="Q41" s="657"/>
      <c r="R41" s="657"/>
      <c r="S41" s="657"/>
    </row>
    <row r="42" spans="1:19" s="659" customFormat="1" ht="25.5">
      <c r="A42" s="642"/>
      <c r="B42" s="709" t="s">
        <v>890</v>
      </c>
      <c r="C42" s="710">
        <v>1</v>
      </c>
      <c r="D42" s="711" t="s">
        <v>46</v>
      </c>
      <c r="E42" s="712">
        <v>1</v>
      </c>
      <c r="F42" s="713">
        <f>F29</f>
        <v>5</v>
      </c>
      <c r="G42" s="714" t="s">
        <v>886</v>
      </c>
      <c r="H42" s="715">
        <v>0.7</v>
      </c>
      <c r="I42" s="681">
        <f>ROUND(C42*E42*F42*H42*(6.3+5.1)/2,2)</f>
        <v>19.95</v>
      </c>
      <c r="J42" s="716" t="s">
        <v>10</v>
      </c>
      <c r="K42" s="654"/>
      <c r="L42" s="654"/>
      <c r="M42" s="708"/>
      <c r="N42" s="717"/>
    </row>
    <row r="43" spans="1:19" s="659" customFormat="1" ht="25.5">
      <c r="A43" s="642"/>
      <c r="B43" s="709" t="s">
        <v>756</v>
      </c>
      <c r="C43" s="710">
        <v>1</v>
      </c>
      <c r="D43" s="711" t="s">
        <v>46</v>
      </c>
      <c r="E43" s="712">
        <v>1</v>
      </c>
      <c r="F43" s="713">
        <f>F17</f>
        <v>1.6</v>
      </c>
      <c r="G43" s="714" t="s">
        <v>886</v>
      </c>
      <c r="H43" s="715">
        <v>0.7</v>
      </c>
      <c r="I43" s="681">
        <f>-ROUND(C43*E43*F43*H43*(6.3+5.1)/2,2)</f>
        <v>-6.38</v>
      </c>
      <c r="J43" s="716" t="s">
        <v>10</v>
      </c>
      <c r="K43" s="654"/>
      <c r="L43" s="654"/>
      <c r="M43" s="708"/>
      <c r="N43" s="717"/>
    </row>
    <row r="44" spans="1:19" s="659" customFormat="1">
      <c r="A44" s="642"/>
      <c r="B44" s="718"/>
      <c r="C44" s="719"/>
      <c r="D44" s="720"/>
      <c r="E44" s="655"/>
      <c r="F44" s="643"/>
      <c r="G44" s="643"/>
      <c r="H44" s="643"/>
      <c r="I44" s="649"/>
      <c r="J44" s="721"/>
      <c r="K44" s="654"/>
      <c r="L44" s="654"/>
      <c r="M44" s="708"/>
      <c r="N44" s="717"/>
    </row>
    <row r="45" spans="1:19" s="659" customFormat="1">
      <c r="A45" s="642"/>
      <c r="B45" s="722"/>
      <c r="C45" s="719"/>
      <c r="D45" s="720"/>
      <c r="E45" s="655"/>
      <c r="F45" s="642"/>
      <c r="G45" s="654"/>
      <c r="H45" s="644"/>
      <c r="I45" s="649"/>
      <c r="J45" s="721" t="s">
        <v>10</v>
      </c>
      <c r="K45" s="644">
        <f>'CD WORK DATA'!H189</f>
        <v>279.77999999999997</v>
      </c>
      <c r="L45" s="644" t="s">
        <v>23</v>
      </c>
      <c r="M45" s="646">
        <f>ROUND(I45*K45,0)</f>
        <v>0</v>
      </c>
      <c r="N45" s="717"/>
    </row>
    <row r="46" spans="1:19" s="650" customFormat="1" ht="150.75" customHeight="1">
      <c r="A46" s="642">
        <v>8</v>
      </c>
      <c r="B46" s="1135" t="s">
        <v>891</v>
      </c>
      <c r="C46" s="1135"/>
      <c r="D46" s="1135"/>
      <c r="E46" s="1135"/>
      <c r="F46" s="1135"/>
      <c r="G46" s="1135"/>
      <c r="H46" s="1135"/>
      <c r="I46" s="723"/>
      <c r="J46" s="724"/>
      <c r="K46" s="725"/>
      <c r="L46" s="645"/>
      <c r="M46" s="726"/>
    </row>
    <row r="47" spans="1:19" s="686" customFormat="1">
      <c r="A47" s="674"/>
      <c r="B47" s="675" t="s">
        <v>892</v>
      </c>
      <c r="C47" s="676">
        <v>1</v>
      </c>
      <c r="D47" s="677" t="s">
        <v>46</v>
      </c>
      <c r="E47" s="678">
        <v>1</v>
      </c>
      <c r="F47" s="679">
        <f>F42</f>
        <v>5</v>
      </c>
      <c r="G47" s="679">
        <v>7.5</v>
      </c>
      <c r="H47" s="680">
        <v>0.17</v>
      </c>
      <c r="I47" s="681">
        <f>ROUND(IF(AND(F47:H47),C47*E47*F47*G47*H47,IF(AND(F47,G47),C47*E47*F47*G47,IF(AND(F47,H47),C47*E47*F47*H47,IF(AND(G47,H47),C47*E47*G47*H47,IF(F47,C47*E47*F47,IF(G47,C47*E47*G47,IF(H47,C47*E47*H47,C47*E47))))))),2)</f>
        <v>6.38</v>
      </c>
      <c r="J47" s="682" t="s">
        <v>10</v>
      </c>
      <c r="K47" s="683"/>
      <c r="L47" s="674"/>
      <c r="M47" s="684"/>
      <c r="N47" s="685"/>
      <c r="Q47" s="685"/>
    </row>
    <row r="48" spans="1:19" s="686" customFormat="1">
      <c r="A48" s="674"/>
      <c r="B48" s="675"/>
      <c r="C48" s="676"/>
      <c r="D48" s="677"/>
      <c r="E48" s="678"/>
      <c r="F48" s="679"/>
      <c r="G48" s="679"/>
      <c r="H48" s="680"/>
      <c r="I48" s="681"/>
      <c r="J48" s="682"/>
      <c r="K48" s="727"/>
      <c r="L48" s="674"/>
      <c r="M48" s="684"/>
      <c r="N48" s="685"/>
      <c r="Q48" s="685"/>
    </row>
    <row r="49" spans="1:13" s="650" customFormat="1">
      <c r="A49" s="642"/>
      <c r="B49" s="728"/>
      <c r="C49" s="723"/>
      <c r="D49" s="729"/>
      <c r="E49" s="730"/>
      <c r="F49" s="731"/>
      <c r="G49" s="731"/>
      <c r="H49" s="731"/>
      <c r="I49" s="732"/>
      <c r="J49" s="658" t="s">
        <v>10</v>
      </c>
      <c r="K49" s="733">
        <f>'CD WORK DATA'!H223</f>
        <v>7873.37</v>
      </c>
      <c r="L49" s="656" t="s">
        <v>23</v>
      </c>
      <c r="M49" s="694">
        <f>ROUND(I49*K49/1,0)</f>
        <v>0</v>
      </c>
    </row>
    <row r="50" spans="1:13" s="92" customFormat="1">
      <c r="A50" s="86"/>
      <c r="B50" s="86"/>
      <c r="C50" s="87"/>
      <c r="D50" s="88"/>
      <c r="E50" s="89"/>
      <c r="F50" s="86"/>
      <c r="G50" s="86"/>
      <c r="H50" s="86"/>
      <c r="I50" s="181"/>
      <c r="J50" s="91"/>
      <c r="K50" s="183"/>
      <c r="L50" s="184"/>
      <c r="M50" s="185"/>
    </row>
    <row r="51" spans="1:13">
      <c r="A51" s="73"/>
      <c r="B51" s="1128" t="s">
        <v>4</v>
      </c>
      <c r="C51" s="1129"/>
      <c r="D51" s="1129"/>
      <c r="E51" s="1129"/>
      <c r="F51" s="1129"/>
      <c r="G51" s="1129"/>
      <c r="H51" s="1130"/>
      <c r="I51" s="145"/>
      <c r="J51" s="146"/>
      <c r="K51" s="147"/>
      <c r="L51" s="46"/>
      <c r="M51" s="98">
        <f>SUM(M8:M50)</f>
        <v>0</v>
      </c>
    </row>
    <row r="52" spans="1:13">
      <c r="A52" s="142"/>
      <c r="B52" s="143"/>
      <c r="C52" s="164"/>
      <c r="D52" s="143"/>
      <c r="E52" s="163"/>
      <c r="F52" s="143"/>
      <c r="G52" s="143"/>
      <c r="H52" s="143"/>
      <c r="I52" s="148"/>
      <c r="J52" s="148"/>
      <c r="K52" s="149"/>
      <c r="L52" s="149"/>
      <c r="M52" s="148"/>
    </row>
    <row r="53" spans="1:13">
      <c r="A53" s="142"/>
      <c r="B53" s="143"/>
      <c r="C53" s="164"/>
      <c r="D53" s="143"/>
      <c r="E53" s="163"/>
      <c r="F53" s="143"/>
      <c r="G53" s="143"/>
      <c r="H53" s="143"/>
      <c r="I53" s="148"/>
      <c r="J53" s="148"/>
      <c r="K53" s="149"/>
      <c r="L53" s="149"/>
      <c r="M53" s="148"/>
    </row>
    <row r="54" spans="1:13">
      <c r="A54" s="142"/>
      <c r="B54" s="143"/>
      <c r="C54" s="164"/>
      <c r="D54" s="143"/>
      <c r="E54" s="163"/>
      <c r="F54" s="143"/>
      <c r="G54" s="143"/>
      <c r="H54" s="143"/>
      <c r="I54" s="148"/>
      <c r="J54" s="148"/>
      <c r="K54" s="149"/>
      <c r="L54" s="149"/>
      <c r="M54" s="148"/>
    </row>
    <row r="55" spans="1:13">
      <c r="A55" s="142"/>
      <c r="B55" s="143"/>
      <c r="C55" s="164"/>
      <c r="D55" s="143"/>
      <c r="E55" s="163"/>
      <c r="F55" s="143"/>
      <c r="G55" s="143"/>
      <c r="H55" s="143"/>
      <c r="I55" s="148"/>
      <c r="J55" s="148"/>
      <c r="K55" s="149"/>
      <c r="L55" s="149"/>
      <c r="M55" s="148"/>
    </row>
    <row r="56" spans="1:13">
      <c r="A56" s="142"/>
      <c r="B56" s="143"/>
      <c r="C56" s="164"/>
      <c r="D56" s="143"/>
      <c r="E56" s="163"/>
      <c r="F56" s="143"/>
      <c r="G56" s="33" t="str">
        <f>'lead 2025-26'!$G$37</f>
        <v>Deputy Executive Engineer</v>
      </c>
      <c r="H56" s="143"/>
      <c r="I56" s="148"/>
      <c r="J56" s="148"/>
      <c r="K56" s="149"/>
      <c r="L56" s="144" t="str">
        <f>'lead 2025-26'!J37</f>
        <v>Assistant   Engineer</v>
      </c>
      <c r="M56" s="148"/>
    </row>
    <row r="57" spans="1:13">
      <c r="A57" s="142"/>
      <c r="B57" s="143"/>
      <c r="C57" s="164"/>
      <c r="D57" s="143"/>
      <c r="E57" s="163"/>
      <c r="F57" s="143"/>
      <c r="G57" s="33" t="str">
        <f>'lead 2025-26'!$G$38</f>
        <v>PRI Sub Division: Kanigiri</v>
      </c>
      <c r="H57" s="143"/>
      <c r="I57" s="148"/>
      <c r="J57" s="148"/>
      <c r="K57" s="149"/>
      <c r="L57" s="144" t="str">
        <f>'lead 2025-26'!J38</f>
        <v>Mandal Praja Parishad</v>
      </c>
      <c r="M57" s="148"/>
    </row>
    <row r="58" spans="1:13">
      <c r="A58" s="142"/>
      <c r="B58" s="143"/>
      <c r="C58" s="164"/>
      <c r="D58" s="143"/>
      <c r="E58" s="163"/>
      <c r="F58" s="143"/>
      <c r="G58" s="143"/>
      <c r="H58" s="143"/>
      <c r="I58" s="148"/>
      <c r="J58" s="148"/>
      <c r="K58" s="149"/>
      <c r="L58" s="144" t="str">
        <f>'lead 2025-26'!J39</f>
        <v>Pamuru</v>
      </c>
      <c r="M58" s="148"/>
    </row>
  </sheetData>
  <mergeCells count="25">
    <mergeCell ref="B51:H51"/>
    <mergeCell ref="B23:H23"/>
    <mergeCell ref="B27:H27"/>
    <mergeCell ref="B33:H33"/>
    <mergeCell ref="B37:H37"/>
    <mergeCell ref="B41:H41"/>
    <mergeCell ref="B46:H46"/>
    <mergeCell ref="L5:L6"/>
    <mergeCell ref="M5:M6"/>
    <mergeCell ref="C7:E7"/>
    <mergeCell ref="I7:J7"/>
    <mergeCell ref="B8:H8"/>
    <mergeCell ref="I5:J6"/>
    <mergeCell ref="K5:K6"/>
    <mergeCell ref="B13:H13"/>
    <mergeCell ref="A5:A6"/>
    <mergeCell ref="B5:B6"/>
    <mergeCell ref="C5:E6"/>
    <mergeCell ref="F5:H5"/>
    <mergeCell ref="K4:L4"/>
    <mergeCell ref="A1:M1"/>
    <mergeCell ref="A2:B2"/>
    <mergeCell ref="C2:M2"/>
    <mergeCell ref="A3:B3"/>
    <mergeCell ref="C3:M3"/>
  </mergeCells>
  <printOptions horizontalCentered="1"/>
  <pageMargins left="0.23622047244094499" right="0.15748031496063" top="0.16" bottom="0.18" header="0.38" footer="0.16"/>
  <pageSetup paperSize="9" orientation="portrait" errors="blank"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F0"/>
  </sheetPr>
  <dimension ref="A1:Q31"/>
  <sheetViews>
    <sheetView showZeros="0" view="pageBreakPreview" topLeftCell="A10" zoomScale="115" zoomScaleNormal="115" zoomScaleSheetLayoutView="115" workbookViewId="0">
      <selection activeCell="I22" sqref="I22"/>
    </sheetView>
  </sheetViews>
  <sheetFormatPr defaultRowHeight="12.75"/>
  <cols>
    <col min="1" max="1" width="4.42578125" style="33" customWidth="1"/>
    <col min="2" max="2" width="23.42578125" style="22" customWidth="1"/>
    <col min="3" max="3" width="2.42578125" style="34" customWidth="1"/>
    <col min="4" max="4" width="2.28515625" style="22" customWidth="1"/>
    <col min="5" max="5" width="4.7109375" style="35" customWidth="1"/>
    <col min="6" max="6" width="7.42578125" style="22" customWidth="1"/>
    <col min="7" max="7" width="7.85546875" style="22" customWidth="1"/>
    <col min="8" max="8" width="7.28515625" style="22" customWidth="1"/>
    <col min="9" max="9" width="7.7109375" style="34" customWidth="1"/>
    <col min="10" max="10" width="5.140625" style="34" customWidth="1"/>
    <col min="11" max="11" width="8.28515625" style="33" customWidth="1"/>
    <col min="12" max="12" width="6.28515625" style="33" customWidth="1"/>
    <col min="13" max="13" width="12.140625" style="22" customWidth="1"/>
    <col min="14" max="14" width="10.28515625" style="22" bestFit="1" customWidth="1"/>
    <col min="15" max="15" width="11.7109375" style="22" customWidth="1"/>
    <col min="16" max="16" width="9.140625" style="22"/>
    <col min="17" max="17" width="10.7109375" style="22" bestFit="1" customWidth="1"/>
    <col min="18" max="16384" width="9.140625" style="22"/>
  </cols>
  <sheetData>
    <row r="1" spans="1:17" ht="30" customHeight="1">
      <c r="A1" s="1102" t="s">
        <v>874</v>
      </c>
      <c r="B1" s="1102"/>
      <c r="C1" s="1102"/>
      <c r="D1" s="1102"/>
      <c r="E1" s="1102"/>
      <c r="F1" s="1102"/>
      <c r="G1" s="1102"/>
      <c r="H1" s="1102"/>
      <c r="I1" s="1102"/>
      <c r="J1" s="1102"/>
      <c r="K1" s="1102"/>
      <c r="L1" s="1102"/>
      <c r="M1" s="1102"/>
    </row>
    <row r="2" spans="1:17" s="56" customFormat="1" ht="39" customHeight="1">
      <c r="A2" s="1112" t="str">
        <f>'lead 2025-26'!B3</f>
        <v xml:space="preserve">Name of the work : </v>
      </c>
      <c r="B2" s="1112"/>
      <c r="C2" s="1113" t="str">
        <f>'lead 2025-26'!C3</f>
        <v>Providing BT Surface to the road from Inimerla SC colony to National Highway at Nuchupoda in Inimerla GP of Pamuru Mandal.</v>
      </c>
      <c r="D2" s="1113"/>
      <c r="E2" s="1113"/>
      <c r="F2" s="1113"/>
      <c r="G2" s="1113"/>
      <c r="H2" s="1113"/>
      <c r="I2" s="1113"/>
      <c r="J2" s="1113"/>
      <c r="K2" s="1113"/>
      <c r="L2" s="1113"/>
      <c r="M2" s="1113"/>
    </row>
    <row r="3" spans="1:17" s="56" customFormat="1" ht="35.25" customHeight="1">
      <c r="A3" s="1112" t="s">
        <v>864</v>
      </c>
      <c r="B3" s="1112"/>
      <c r="C3" s="1113" t="s">
        <v>873</v>
      </c>
      <c r="D3" s="1113"/>
      <c r="E3" s="1113"/>
      <c r="F3" s="1113"/>
      <c r="G3" s="1113"/>
      <c r="H3" s="1113"/>
      <c r="I3" s="1113"/>
      <c r="J3" s="1113"/>
      <c r="K3" s="1113"/>
      <c r="L3" s="1113"/>
      <c r="M3" s="1113"/>
    </row>
    <row r="4" spans="1:17" s="56" customFormat="1" ht="16.5" customHeight="1">
      <c r="A4" s="58"/>
      <c r="B4" s="58"/>
      <c r="C4" s="59"/>
      <c r="D4" s="58"/>
      <c r="E4" s="60"/>
      <c r="F4" s="58"/>
      <c r="G4" s="58"/>
      <c r="H4" s="58"/>
      <c r="I4" s="59"/>
      <c r="J4" s="59"/>
      <c r="K4" s="1104"/>
      <c r="L4" s="1104"/>
      <c r="M4" s="57"/>
    </row>
    <row r="5" spans="1:17" s="61" customFormat="1" ht="15.75" customHeight="1">
      <c r="A5" s="1105" t="s">
        <v>36</v>
      </c>
      <c r="B5" s="1105" t="s">
        <v>15</v>
      </c>
      <c r="C5" s="1105" t="s">
        <v>16</v>
      </c>
      <c r="D5" s="1105"/>
      <c r="E5" s="1105"/>
      <c r="F5" s="1105" t="s">
        <v>17</v>
      </c>
      <c r="G5" s="1105"/>
      <c r="H5" s="1105"/>
      <c r="I5" s="1106" t="s">
        <v>14</v>
      </c>
      <c r="J5" s="1119"/>
      <c r="K5" s="1105" t="s">
        <v>18</v>
      </c>
      <c r="L5" s="1105" t="s">
        <v>8</v>
      </c>
      <c r="M5" s="1105" t="s">
        <v>19</v>
      </c>
    </row>
    <row r="6" spans="1:17" s="61" customFormat="1" ht="15.75">
      <c r="A6" s="1105"/>
      <c r="B6" s="1105"/>
      <c r="C6" s="1105"/>
      <c r="D6" s="1105"/>
      <c r="E6" s="1105"/>
      <c r="F6" s="651" t="s">
        <v>20</v>
      </c>
      <c r="G6" s="651" t="s">
        <v>21</v>
      </c>
      <c r="H6" s="651" t="s">
        <v>22</v>
      </c>
      <c r="I6" s="1108"/>
      <c r="J6" s="1120"/>
      <c r="K6" s="1105"/>
      <c r="L6" s="1105"/>
      <c r="M6" s="1105"/>
    </row>
    <row r="7" spans="1:17" s="62" customFormat="1" ht="15.75">
      <c r="A7" s="325">
        <v>1</v>
      </c>
      <c r="B7" s="325">
        <v>2</v>
      </c>
      <c r="C7" s="1131">
        <v>3</v>
      </c>
      <c r="D7" s="1131"/>
      <c r="E7" s="1131"/>
      <c r="F7" s="325">
        <v>4</v>
      </c>
      <c r="G7" s="325">
        <v>5</v>
      </c>
      <c r="H7" s="325">
        <v>6</v>
      </c>
      <c r="I7" s="1100">
        <v>7</v>
      </c>
      <c r="J7" s="1117"/>
      <c r="K7" s="326">
        <v>8</v>
      </c>
      <c r="L7" s="327">
        <v>9</v>
      </c>
      <c r="M7" s="325">
        <v>10</v>
      </c>
    </row>
    <row r="8" spans="1:17" s="673" customFormat="1" ht="83.25" customHeight="1">
      <c r="A8" s="668">
        <v>1</v>
      </c>
      <c r="B8" s="1134" t="s">
        <v>587</v>
      </c>
      <c r="C8" s="1134"/>
      <c r="D8" s="1134"/>
      <c r="E8" s="1134"/>
      <c r="F8" s="1134"/>
      <c r="G8" s="1134"/>
      <c r="H8" s="1134"/>
      <c r="I8" s="669"/>
      <c r="J8" s="670"/>
      <c r="K8" s="668"/>
      <c r="L8" s="668"/>
      <c r="M8" s="671"/>
      <c r="N8" s="672"/>
      <c r="O8" s="672"/>
    </row>
    <row r="9" spans="1:17" s="686" customFormat="1">
      <c r="A9" s="674"/>
      <c r="B9" s="675" t="s">
        <v>865</v>
      </c>
      <c r="C9" s="676">
        <v>1</v>
      </c>
      <c r="D9" s="677" t="s">
        <v>46</v>
      </c>
      <c r="E9" s="678">
        <v>1</v>
      </c>
      <c r="F9" s="679">
        <f>(1*0.75)+(2*0.2)</f>
        <v>1.1499999999999999</v>
      </c>
      <c r="G9" s="679">
        <v>5.3</v>
      </c>
      <c r="H9" s="680">
        <v>0.9</v>
      </c>
      <c r="I9" s="681">
        <f>ROUND(IF(AND(F9:H9),C9*E9*F9*G9*H9,IF(AND(F9,G9),C9*E9*F9*G9,IF(AND(F9,H9),C9*E9*F9*H9,IF(AND(G9,H9),C9*E9*G9*H9,IF(F9,C9*E9*F9,IF(G9,C9*E9*G9,IF(H9,C9*E9*H9,C9*E9))))))),2)</f>
        <v>5.49</v>
      </c>
      <c r="J9" s="682" t="s">
        <v>10</v>
      </c>
      <c r="K9" s="683"/>
      <c r="L9" s="674"/>
      <c r="M9" s="684"/>
      <c r="N9" s="685"/>
      <c r="Q9" s="685"/>
    </row>
    <row r="10" spans="1:17" s="686" customFormat="1">
      <c r="A10" s="674"/>
      <c r="B10" s="675"/>
      <c r="C10" s="676"/>
      <c r="D10" s="677"/>
      <c r="E10" s="678"/>
      <c r="F10" s="679"/>
      <c r="G10" s="679"/>
      <c r="H10" s="680"/>
      <c r="I10" s="681"/>
      <c r="J10" s="682"/>
      <c r="K10" s="683"/>
      <c r="L10" s="674"/>
      <c r="M10" s="684"/>
      <c r="N10" s="685"/>
      <c r="Q10" s="685"/>
    </row>
    <row r="11" spans="1:17" s="695" customFormat="1">
      <c r="A11" s="687"/>
      <c r="B11" s="687"/>
      <c r="C11" s="688"/>
      <c r="D11" s="689"/>
      <c r="E11" s="690"/>
      <c r="F11" s="687"/>
      <c r="G11" s="687"/>
      <c r="H11" s="687"/>
      <c r="I11" s="691"/>
      <c r="J11" s="692" t="s">
        <v>10</v>
      </c>
      <c r="K11" s="693">
        <f>'CD WORK DATA'!H37</f>
        <v>126.69</v>
      </c>
      <c r="L11" s="644" t="s">
        <v>23</v>
      </c>
      <c r="M11" s="694">
        <f>ROUND(I11*K11/1,0)</f>
        <v>0</v>
      </c>
    </row>
    <row r="12" spans="1:17" s="673" customFormat="1" ht="72" customHeight="1">
      <c r="A12" s="668">
        <v>2</v>
      </c>
      <c r="B12" s="1134" t="s">
        <v>866</v>
      </c>
      <c r="C12" s="1134"/>
      <c r="D12" s="1134"/>
      <c r="E12" s="1134"/>
      <c r="F12" s="1134"/>
      <c r="G12" s="1134"/>
      <c r="H12" s="1134"/>
      <c r="I12" s="669"/>
      <c r="J12" s="670"/>
      <c r="K12" s="668"/>
      <c r="L12" s="668"/>
      <c r="M12" s="671"/>
      <c r="N12" s="672">
        <f>N33</f>
        <v>0</v>
      </c>
      <c r="O12" s="672">
        <f>N30</f>
        <v>0</v>
      </c>
    </row>
    <row r="13" spans="1:17" s="686" customFormat="1">
      <c r="A13" s="674"/>
      <c r="B13" s="675" t="s">
        <v>865</v>
      </c>
      <c r="C13" s="676">
        <v>1</v>
      </c>
      <c r="D13" s="677" t="s">
        <v>46</v>
      </c>
      <c r="E13" s="678">
        <v>1</v>
      </c>
      <c r="F13" s="679">
        <f>F9</f>
        <v>1.1499999999999999</v>
      </c>
      <c r="G13" s="679">
        <f>G9</f>
        <v>5.3</v>
      </c>
      <c r="H13" s="680">
        <v>0.15</v>
      </c>
      <c r="I13" s="681">
        <f>ROUND(IF(AND(F13:H13),C13*E13*F13*G13*H13,IF(AND(F13,G13),C13*E13*F13*G13,IF(AND(F13,H13),C13*E13*F13*H13,IF(AND(G13,H13),C13*E13*G13*H13,IF(F13,C13*E13*F13,IF(G13,C13*E13*G13,IF(H13,C13*E13*H13,C13*E13))))))),2)</f>
        <v>0.91</v>
      </c>
      <c r="J13" s="682" t="s">
        <v>10</v>
      </c>
      <c r="K13" s="683"/>
      <c r="L13" s="674"/>
      <c r="M13" s="684"/>
      <c r="N13" s="685"/>
      <c r="Q13" s="685"/>
    </row>
    <row r="14" spans="1:17" s="686" customFormat="1">
      <c r="A14" s="674"/>
      <c r="B14" s="675"/>
      <c r="C14" s="676"/>
      <c r="D14" s="677"/>
      <c r="E14" s="678"/>
      <c r="F14" s="679"/>
      <c r="G14" s="679"/>
      <c r="H14" s="680"/>
      <c r="I14" s="681"/>
      <c r="J14" s="682"/>
      <c r="K14" s="683"/>
      <c r="L14" s="674"/>
      <c r="M14" s="684"/>
      <c r="N14" s="685"/>
      <c r="Q14" s="685"/>
    </row>
    <row r="15" spans="1:17" s="686" customFormat="1">
      <c r="A15" s="674"/>
      <c r="B15" s="675" t="s">
        <v>869</v>
      </c>
      <c r="C15" s="676">
        <v>1</v>
      </c>
      <c r="D15" s="677" t="s">
        <v>46</v>
      </c>
      <c r="E15" s="678">
        <v>1</v>
      </c>
      <c r="F15" s="679">
        <f>F9</f>
        <v>1.1499999999999999</v>
      </c>
      <c r="G15" s="679">
        <v>6.6</v>
      </c>
      <c r="H15" s="680">
        <v>1.35</v>
      </c>
      <c r="I15" s="681">
        <f>ROUND(IF(AND(F15:H15),C15*E15*F15*G15*H15,IF(AND(F15,G15),C15*E15*F15*G15,IF(AND(F15,H15),C15*E15*F15*H15,IF(AND(G15,H15),C15*E15*G15*H15,IF(F15,C15*E15*F15,IF(G15,C15*E15*G15,IF(H15,C15*E15*H15,C15*E15))))))),2)</f>
        <v>10.25</v>
      </c>
      <c r="J15" s="682" t="s">
        <v>10</v>
      </c>
      <c r="K15" s="683"/>
      <c r="L15" s="674"/>
      <c r="M15" s="684"/>
      <c r="N15" s="685"/>
      <c r="Q15" s="685"/>
    </row>
    <row r="16" spans="1:17" s="686" customFormat="1">
      <c r="A16" s="674"/>
      <c r="B16" s="675" t="s">
        <v>756</v>
      </c>
      <c r="C16" s="676">
        <v>1</v>
      </c>
      <c r="D16" s="677" t="s">
        <v>46</v>
      </c>
      <c r="E16" s="758">
        <v>0.78500000000000003</v>
      </c>
      <c r="F16" s="679">
        <f>G15</f>
        <v>6.6</v>
      </c>
      <c r="G16" s="679">
        <v>1.2</v>
      </c>
      <c r="H16" s="680">
        <v>1.2</v>
      </c>
      <c r="I16" s="681">
        <f>-ROUND(IF(AND(F16:H16),C16*E16*F16*G16*H16,IF(AND(F16,G16),C16*E16*F16*G16,IF(AND(F16,H16),C16*E16*F16*H16,IF(AND(G16,H16),C16*E16*G16*H16,IF(F16,C16*E16*F16,IF(G16,C16*E16*G16,IF(H16,C16*E16*H16,C16*E16))))))),2)</f>
        <v>-7.46</v>
      </c>
      <c r="J16" s="682" t="s">
        <v>10</v>
      </c>
      <c r="K16" s="683"/>
      <c r="L16" s="674"/>
      <c r="M16" s="684"/>
      <c r="N16" s="685"/>
      <c r="Q16" s="685"/>
    </row>
    <row r="17" spans="1:17" s="686" customFormat="1">
      <c r="A17" s="674"/>
      <c r="B17" s="675"/>
      <c r="C17" s="676"/>
      <c r="D17" s="677"/>
      <c r="E17" s="678"/>
      <c r="F17" s="679"/>
      <c r="G17" s="679"/>
      <c r="H17" s="680"/>
      <c r="I17" s="681"/>
      <c r="J17" s="682"/>
      <c r="K17" s="683"/>
      <c r="L17" s="674"/>
      <c r="M17" s="684"/>
      <c r="N17" s="685"/>
      <c r="Q17" s="685"/>
    </row>
    <row r="18" spans="1:17" s="695" customFormat="1">
      <c r="A18" s="687"/>
      <c r="B18" s="687"/>
      <c r="C18" s="688"/>
      <c r="D18" s="689"/>
      <c r="E18" s="690"/>
      <c r="F18" s="687"/>
      <c r="G18" s="687"/>
      <c r="H18" s="687"/>
      <c r="I18" s="691"/>
      <c r="J18" s="692" t="s">
        <v>10</v>
      </c>
      <c r="K18" s="693">
        <f>'CD WORK DATA'!H54</f>
        <v>5600.99</v>
      </c>
      <c r="L18" s="644" t="s">
        <v>23</v>
      </c>
      <c r="M18" s="694">
        <f>ROUND(I18*K18/1,0)</f>
        <v>0</v>
      </c>
    </row>
    <row r="19" spans="1:17" s="673" customFormat="1" ht="55.5" customHeight="1">
      <c r="A19" s="668">
        <v>3</v>
      </c>
      <c r="B19" s="1134" t="s">
        <v>875</v>
      </c>
      <c r="C19" s="1134"/>
      <c r="D19" s="1134"/>
      <c r="E19" s="1134"/>
      <c r="F19" s="1134"/>
      <c r="G19" s="1134"/>
      <c r="H19" s="1134"/>
      <c r="I19" s="669"/>
      <c r="J19" s="670"/>
      <c r="K19" s="668"/>
      <c r="L19" s="668"/>
      <c r="M19" s="671"/>
      <c r="N19" s="672">
        <f>N33</f>
        <v>0</v>
      </c>
      <c r="O19" s="672">
        <f>N30</f>
        <v>0</v>
      </c>
    </row>
    <row r="20" spans="1:17" s="686" customFormat="1">
      <c r="A20" s="674"/>
      <c r="B20" s="675"/>
      <c r="C20" s="676">
        <v>1</v>
      </c>
      <c r="D20" s="677" t="s">
        <v>46</v>
      </c>
      <c r="E20" s="678">
        <v>3</v>
      </c>
      <c r="F20" s="679">
        <v>2.5</v>
      </c>
      <c r="G20" s="679">
        <v>0</v>
      </c>
      <c r="H20" s="680">
        <v>0</v>
      </c>
      <c r="I20" s="681">
        <f>ROUND(IF(AND(F20:H20),C20*E20*F20*G20*H20,IF(AND(F20,G20),C20*E20*F20*G20,IF(AND(F20,H20),C20*E20*F20*H20,IF(AND(G20,H20),C20*E20*G20*H20,IF(F20,C20*E20*F20,IF(G20,C20*E20*G20,IF(H20,C20*E20*H20,C20*E20))))))),2)</f>
        <v>7.5</v>
      </c>
      <c r="J20" s="682" t="s">
        <v>612</v>
      </c>
      <c r="K20" s="683"/>
      <c r="L20" s="674"/>
      <c r="M20" s="684"/>
      <c r="N20" s="685"/>
      <c r="Q20" s="685"/>
    </row>
    <row r="21" spans="1:17" s="686" customFormat="1">
      <c r="A21" s="674"/>
      <c r="B21" s="675"/>
      <c r="C21" s="676"/>
      <c r="D21" s="677"/>
      <c r="E21" s="678"/>
      <c r="F21" s="679"/>
      <c r="G21" s="679"/>
      <c r="H21" s="680"/>
      <c r="I21" s="681"/>
      <c r="J21" s="682"/>
      <c r="K21" s="683"/>
      <c r="L21" s="674"/>
      <c r="M21" s="684"/>
      <c r="N21" s="685"/>
      <c r="Q21" s="685"/>
    </row>
    <row r="22" spans="1:17" s="695" customFormat="1">
      <c r="A22" s="687"/>
      <c r="B22" s="687"/>
      <c r="C22" s="688"/>
      <c r="D22" s="689"/>
      <c r="E22" s="690"/>
      <c r="F22" s="687"/>
      <c r="G22" s="687"/>
      <c r="H22" s="687"/>
      <c r="I22" s="691"/>
      <c r="J22" s="682" t="s">
        <v>612</v>
      </c>
      <c r="K22" s="693">
        <f>'CD WORK DATA'!H182</f>
        <v>3804.82</v>
      </c>
      <c r="L22" s="644" t="s">
        <v>614</v>
      </c>
      <c r="M22" s="694">
        <f>ROUND(I22*K22/1,0)</f>
        <v>0</v>
      </c>
    </row>
    <row r="23" spans="1:17" s="92" customFormat="1">
      <c r="A23" s="86"/>
      <c r="B23" s="86"/>
      <c r="C23" s="87"/>
      <c r="D23" s="88"/>
      <c r="E23" s="89"/>
      <c r="F23" s="86"/>
      <c r="G23" s="86"/>
      <c r="H23" s="86"/>
      <c r="I23" s="181"/>
      <c r="J23" s="91"/>
      <c r="K23" s="183"/>
      <c r="L23" s="184"/>
      <c r="M23" s="185"/>
    </row>
    <row r="24" spans="1:17">
      <c r="A24" s="73"/>
      <c r="B24" s="1128" t="s">
        <v>4</v>
      </c>
      <c r="C24" s="1129"/>
      <c r="D24" s="1129"/>
      <c r="E24" s="1129"/>
      <c r="F24" s="1129"/>
      <c r="G24" s="1129"/>
      <c r="H24" s="1130"/>
      <c r="I24" s="145"/>
      <c r="J24" s="146"/>
      <c r="K24" s="147"/>
      <c r="L24" s="46"/>
      <c r="M24" s="98">
        <f>SUM(M8:M23)</f>
        <v>0</v>
      </c>
    </row>
    <row r="25" spans="1:17">
      <c r="A25" s="142"/>
      <c r="B25" s="143"/>
      <c r="C25" s="164"/>
      <c r="D25" s="143"/>
      <c r="E25" s="163"/>
      <c r="F25" s="143"/>
      <c r="G25" s="143"/>
      <c r="H25" s="143"/>
      <c r="I25" s="148"/>
      <c r="J25" s="148"/>
      <c r="K25" s="149"/>
      <c r="L25" s="149"/>
      <c r="M25" s="148"/>
    </row>
    <row r="26" spans="1:17">
      <c r="A26" s="142"/>
      <c r="B26" s="143"/>
      <c r="C26" s="164"/>
      <c r="D26" s="143"/>
      <c r="E26" s="163"/>
      <c r="F26" s="143"/>
      <c r="G26" s="143"/>
      <c r="H26" s="143"/>
      <c r="I26" s="148"/>
      <c r="J26" s="148"/>
      <c r="K26" s="149"/>
      <c r="L26" s="149"/>
      <c r="M26" s="148"/>
    </row>
    <row r="27" spans="1:17">
      <c r="A27" s="142"/>
      <c r="B27" s="143"/>
      <c r="C27" s="164"/>
      <c r="D27" s="143"/>
      <c r="E27" s="163"/>
      <c r="F27" s="143"/>
      <c r="G27" s="143"/>
      <c r="H27" s="143"/>
      <c r="I27" s="148"/>
      <c r="J27" s="148"/>
      <c r="K27" s="149"/>
      <c r="L27" s="149"/>
      <c r="M27" s="148"/>
    </row>
    <row r="28" spans="1:17">
      <c r="A28" s="142"/>
      <c r="B28" s="143"/>
      <c r="C28" s="164"/>
      <c r="D28" s="143"/>
      <c r="E28" s="163"/>
      <c r="F28" s="143"/>
      <c r="G28" s="143"/>
      <c r="H28" s="143"/>
      <c r="I28" s="148"/>
      <c r="J28" s="148"/>
      <c r="K28" s="149"/>
      <c r="L28" s="149"/>
      <c r="M28" s="148"/>
    </row>
    <row r="29" spans="1:17">
      <c r="A29" s="142"/>
      <c r="B29" s="143"/>
      <c r="C29" s="164"/>
      <c r="D29" s="143"/>
      <c r="E29" s="163"/>
      <c r="F29" s="143"/>
      <c r="G29" s="33" t="str">
        <f>'lead 2025-26'!$G$37</f>
        <v>Deputy Executive Engineer</v>
      </c>
      <c r="H29" s="143"/>
      <c r="I29" s="148"/>
      <c r="J29" s="148"/>
      <c r="K29" s="149"/>
      <c r="L29" s="144" t="str">
        <f>'lead 2025-26'!J37</f>
        <v>Assistant   Engineer</v>
      </c>
      <c r="M29" s="148"/>
    </row>
    <row r="30" spans="1:17">
      <c r="A30" s="142"/>
      <c r="B30" s="143"/>
      <c r="C30" s="164"/>
      <c r="D30" s="143"/>
      <c r="E30" s="163"/>
      <c r="F30" s="143"/>
      <c r="G30" s="33" t="str">
        <f>'lead 2025-26'!$G$38</f>
        <v>PRI Sub Division: Kanigiri</v>
      </c>
      <c r="H30" s="143"/>
      <c r="I30" s="148"/>
      <c r="J30" s="148"/>
      <c r="K30" s="149"/>
      <c r="L30" s="144" t="str">
        <f>'lead 2025-26'!J38</f>
        <v>Mandal Praja Parishad</v>
      </c>
      <c r="M30" s="148"/>
    </row>
    <row r="31" spans="1:17">
      <c r="A31" s="142"/>
      <c r="B31" s="143"/>
      <c r="C31" s="164"/>
      <c r="D31" s="143"/>
      <c r="E31" s="163"/>
      <c r="F31" s="143"/>
      <c r="G31" s="143"/>
      <c r="H31" s="143"/>
      <c r="I31" s="148"/>
      <c r="J31" s="148"/>
      <c r="K31" s="149"/>
      <c r="L31" s="144" t="str">
        <f>'lead 2025-26'!J39</f>
        <v>Pamuru</v>
      </c>
      <c r="M31" s="148"/>
    </row>
  </sheetData>
  <mergeCells count="20">
    <mergeCell ref="B19:H19"/>
    <mergeCell ref="B24:H24"/>
    <mergeCell ref="L5:L6"/>
    <mergeCell ref="M5:M6"/>
    <mergeCell ref="C7:E7"/>
    <mergeCell ref="I7:J7"/>
    <mergeCell ref="B8:H8"/>
    <mergeCell ref="B12:H12"/>
    <mergeCell ref="K5:K6"/>
    <mergeCell ref="A5:A6"/>
    <mergeCell ref="B5:B6"/>
    <mergeCell ref="C5:E6"/>
    <mergeCell ref="F5:H5"/>
    <mergeCell ref="I5:J6"/>
    <mergeCell ref="K4:L4"/>
    <mergeCell ref="A1:M1"/>
    <mergeCell ref="A2:B2"/>
    <mergeCell ref="C2:M2"/>
    <mergeCell ref="A3:B3"/>
    <mergeCell ref="C3:M3"/>
  </mergeCells>
  <printOptions horizontalCentered="1"/>
  <pageMargins left="0.23622047244094499" right="0.15748031496063" top="0.16" bottom="0.18" header="0.38" footer="0.16"/>
  <pageSetup paperSize="9" orientation="portrait" errors="blank"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A1:Q40"/>
  <sheetViews>
    <sheetView showZeros="0" view="pageBreakPreview" zoomScale="115" zoomScaleNormal="115" zoomScaleSheetLayoutView="115" workbookViewId="0">
      <selection activeCell="O1" sqref="O1"/>
    </sheetView>
  </sheetViews>
  <sheetFormatPr defaultRowHeight="12.75"/>
  <cols>
    <col min="1" max="1" width="4.42578125" style="1453" customWidth="1"/>
    <col min="2" max="2" width="23.42578125" style="1352" customWidth="1"/>
    <col min="3" max="3" width="2.42578125" style="1455" customWidth="1"/>
    <col min="4" max="4" width="2.28515625" style="1352" customWidth="1"/>
    <col min="5" max="5" width="4.7109375" style="1456" customWidth="1"/>
    <col min="6" max="6" width="7.42578125" style="1352" customWidth="1"/>
    <col min="7" max="7" width="7.85546875" style="1352" customWidth="1"/>
    <col min="8" max="8" width="7.28515625" style="1352" customWidth="1"/>
    <col min="9" max="9" width="7.7109375" style="1455" customWidth="1"/>
    <col min="10" max="10" width="5.140625" style="1455" customWidth="1"/>
    <col min="11" max="11" width="8.28515625" style="1453" customWidth="1"/>
    <col min="12" max="12" width="6.28515625" style="1453" customWidth="1"/>
    <col min="13" max="13" width="12.140625" style="1352" customWidth="1"/>
    <col min="14" max="14" width="10.28515625" style="1352" bestFit="1" customWidth="1"/>
    <col min="15" max="15" width="11.7109375" style="1352" customWidth="1"/>
    <col min="16" max="16" width="9.140625" style="1352"/>
    <col min="17" max="17" width="10.7109375" style="1352" bestFit="1" customWidth="1"/>
    <col min="18" max="16384" width="9.140625" style="1352"/>
  </cols>
  <sheetData>
    <row r="1" spans="1:17" ht="30" customHeight="1">
      <c r="A1" s="1351" t="s">
        <v>870</v>
      </c>
      <c r="B1" s="1351"/>
      <c r="C1" s="1351"/>
      <c r="D1" s="1351"/>
      <c r="E1" s="1351"/>
      <c r="F1" s="1351"/>
      <c r="G1" s="1351"/>
      <c r="H1" s="1351"/>
      <c r="I1" s="1351"/>
      <c r="J1" s="1351"/>
      <c r="K1" s="1351"/>
      <c r="L1" s="1351"/>
      <c r="M1" s="1351"/>
    </row>
    <row r="2" spans="1:17" s="1355" customFormat="1" ht="39" customHeight="1">
      <c r="A2" s="1353" t="str">
        <f>'lead 2025-26'!B3</f>
        <v xml:space="preserve">Name of the work : </v>
      </c>
      <c r="B2" s="1353"/>
      <c r="C2" s="1354" t="str">
        <f>'lead 2025-26'!C3</f>
        <v>Providing BT Surface to the road from Inimerla SC colony to National Highway at Nuchupoda in Inimerla GP of Pamuru Mandal.</v>
      </c>
      <c r="D2" s="1354"/>
      <c r="E2" s="1354"/>
      <c r="F2" s="1354"/>
      <c r="G2" s="1354"/>
      <c r="H2" s="1354"/>
      <c r="I2" s="1354"/>
      <c r="J2" s="1354"/>
      <c r="K2" s="1354"/>
      <c r="L2" s="1354"/>
      <c r="M2" s="1354"/>
    </row>
    <row r="3" spans="1:17" s="1355" customFormat="1" ht="35.25" customHeight="1">
      <c r="A3" s="1353" t="s">
        <v>864</v>
      </c>
      <c r="B3" s="1353"/>
      <c r="C3" s="1354" t="s">
        <v>1053</v>
      </c>
      <c r="D3" s="1354"/>
      <c r="E3" s="1354"/>
      <c r="F3" s="1354"/>
      <c r="G3" s="1354"/>
      <c r="H3" s="1354"/>
      <c r="I3" s="1354"/>
      <c r="J3" s="1354"/>
      <c r="K3" s="1354"/>
      <c r="L3" s="1354"/>
      <c r="M3" s="1354"/>
    </row>
    <row r="4" spans="1:17" s="1355" customFormat="1" ht="16.5" customHeight="1">
      <c r="A4" s="1356"/>
      <c r="B4" s="1356"/>
      <c r="C4" s="1357"/>
      <c r="D4" s="1356"/>
      <c r="E4" s="1358"/>
      <c r="F4" s="1356"/>
      <c r="G4" s="1356"/>
      <c r="H4" s="1356"/>
      <c r="I4" s="1357"/>
      <c r="J4" s="1357"/>
      <c r="K4" s="1359"/>
      <c r="L4" s="1359"/>
      <c r="M4" s="1360"/>
    </row>
    <row r="5" spans="1:17" s="1364" customFormat="1" ht="15.75" customHeight="1">
      <c r="A5" s="1361" t="s">
        <v>36</v>
      </c>
      <c r="B5" s="1361" t="s">
        <v>15</v>
      </c>
      <c r="C5" s="1361" t="s">
        <v>16</v>
      </c>
      <c r="D5" s="1361"/>
      <c r="E5" s="1361"/>
      <c r="F5" s="1361" t="s">
        <v>17</v>
      </c>
      <c r="G5" s="1361"/>
      <c r="H5" s="1361"/>
      <c r="I5" s="1362" t="s">
        <v>14</v>
      </c>
      <c r="J5" s="1363"/>
      <c r="K5" s="1361" t="s">
        <v>18</v>
      </c>
      <c r="L5" s="1361" t="s">
        <v>8</v>
      </c>
      <c r="M5" s="1361" t="s">
        <v>19</v>
      </c>
    </row>
    <row r="6" spans="1:17" s="1364" customFormat="1" ht="15.75">
      <c r="A6" s="1361"/>
      <c r="B6" s="1361"/>
      <c r="C6" s="1361"/>
      <c r="D6" s="1361"/>
      <c r="E6" s="1361"/>
      <c r="F6" s="1365" t="s">
        <v>20</v>
      </c>
      <c r="G6" s="1365" t="s">
        <v>21</v>
      </c>
      <c r="H6" s="1365" t="s">
        <v>22</v>
      </c>
      <c r="I6" s="1366"/>
      <c r="J6" s="1367"/>
      <c r="K6" s="1361"/>
      <c r="L6" s="1361"/>
      <c r="M6" s="1361"/>
    </row>
    <row r="7" spans="1:17" s="1374" customFormat="1" ht="15.75">
      <c r="A7" s="1368">
        <v>1</v>
      </c>
      <c r="B7" s="1368">
        <v>2</v>
      </c>
      <c r="C7" s="1369">
        <v>3</v>
      </c>
      <c r="D7" s="1369"/>
      <c r="E7" s="1369"/>
      <c r="F7" s="1368">
        <v>4</v>
      </c>
      <c r="G7" s="1368">
        <v>5</v>
      </c>
      <c r="H7" s="1368">
        <v>6</v>
      </c>
      <c r="I7" s="1370">
        <v>7</v>
      </c>
      <c r="J7" s="1371"/>
      <c r="K7" s="1372">
        <v>8</v>
      </c>
      <c r="L7" s="1373">
        <v>9</v>
      </c>
      <c r="M7" s="1368">
        <v>10</v>
      </c>
    </row>
    <row r="8" spans="1:17" s="1381" customFormat="1" ht="30" customHeight="1">
      <c r="A8" s="1375">
        <v>1</v>
      </c>
      <c r="B8" s="1376" t="s">
        <v>1054</v>
      </c>
      <c r="C8" s="1376"/>
      <c r="D8" s="1376"/>
      <c r="E8" s="1376"/>
      <c r="F8" s="1376"/>
      <c r="G8" s="1376"/>
      <c r="H8" s="1376"/>
      <c r="I8" s="1377"/>
      <c r="J8" s="1378"/>
      <c r="K8" s="1375"/>
      <c r="L8" s="1375"/>
      <c r="M8" s="1379"/>
      <c r="N8" s="1380"/>
      <c r="O8" s="1380"/>
    </row>
    <row r="9" spans="1:17" s="1348" customFormat="1">
      <c r="A9" s="1336"/>
      <c r="B9" s="1337" t="s">
        <v>1055</v>
      </c>
      <c r="C9" s="1338">
        <v>1</v>
      </c>
      <c r="D9" s="1339" t="s">
        <v>46</v>
      </c>
      <c r="E9" s="1340">
        <v>3</v>
      </c>
      <c r="F9" s="1341">
        <v>0</v>
      </c>
      <c r="G9" s="1341">
        <v>0</v>
      </c>
      <c r="H9" s="1342">
        <v>0</v>
      </c>
      <c r="I9" s="1457">
        <f>ROUND(IF(AND(F9:H9),C9*E9*F9*G9*H9,IF(AND(F9,G9),C9*E9*F9*G9,IF(AND(F9,H9),C9*E9*F9*H9,IF(AND(G9,H9),C9*E9*G9*H9,IF(F9,C9*E9*F9,IF(G9,C9*E9*G9,IF(H9,C9*E9*H9,C9*E9))))))),2)</f>
        <v>3</v>
      </c>
      <c r="J9" s="1344" t="s">
        <v>60</v>
      </c>
      <c r="K9" s="1345"/>
      <c r="L9" s="1336"/>
      <c r="M9" s="1346"/>
      <c r="N9" s="1347"/>
      <c r="Q9" s="1347"/>
    </row>
    <row r="10" spans="1:17" s="1348" customFormat="1">
      <c r="A10" s="1336"/>
      <c r="B10" s="1337"/>
      <c r="C10" s="1338"/>
      <c r="D10" s="1339"/>
      <c r="E10" s="1340"/>
      <c r="F10" s="1341"/>
      <c r="G10" s="1341"/>
      <c r="H10" s="1342"/>
      <c r="I10" s="1457"/>
      <c r="J10" s="1344"/>
      <c r="K10" s="1345"/>
      <c r="L10" s="1336"/>
      <c r="M10" s="1346"/>
      <c r="N10" s="1347"/>
      <c r="Q10" s="1347"/>
    </row>
    <row r="11" spans="1:17" s="1391" customFormat="1">
      <c r="A11" s="1382"/>
      <c r="B11" s="1382"/>
      <c r="C11" s="1383"/>
      <c r="D11" s="1384"/>
      <c r="E11" s="1385"/>
      <c r="F11" s="1382"/>
      <c r="G11" s="1382"/>
      <c r="H11" s="1382"/>
      <c r="I11" s="1458">
        <f>SUM(I9:I10)</f>
        <v>3</v>
      </c>
      <c r="J11" s="1344" t="s">
        <v>60</v>
      </c>
      <c r="K11" s="1388">
        <f>'Data Road safety'!G136</f>
        <v>3148.81</v>
      </c>
      <c r="L11" s="1389" t="s">
        <v>23</v>
      </c>
      <c r="M11" s="1390">
        <f>ROUND(I11*K11/1,0)</f>
        <v>9446</v>
      </c>
    </row>
    <row r="12" spans="1:17" s="1381" customFormat="1" ht="30" customHeight="1">
      <c r="A12" s="1375">
        <v>2</v>
      </c>
      <c r="B12" s="1376" t="s">
        <v>1056</v>
      </c>
      <c r="C12" s="1376"/>
      <c r="D12" s="1376"/>
      <c r="E12" s="1376"/>
      <c r="F12" s="1376"/>
      <c r="G12" s="1376"/>
      <c r="H12" s="1376"/>
      <c r="I12" s="1377"/>
      <c r="J12" s="1378"/>
      <c r="K12" s="1375"/>
      <c r="L12" s="1375"/>
      <c r="M12" s="1379"/>
      <c r="N12" s="1380"/>
      <c r="O12" s="1380"/>
    </row>
    <row r="13" spans="1:17" s="1348" customFormat="1">
      <c r="A13" s="1336"/>
      <c r="B13" s="1337" t="s">
        <v>1057</v>
      </c>
      <c r="C13" s="1338">
        <v>1</v>
      </c>
      <c r="D13" s="1339" t="s">
        <v>46</v>
      </c>
      <c r="E13" s="1340">
        <v>7</v>
      </c>
      <c r="F13" s="1341">
        <v>0</v>
      </c>
      <c r="G13" s="1341">
        <v>0</v>
      </c>
      <c r="H13" s="1342">
        <v>0</v>
      </c>
      <c r="I13" s="1457">
        <f>ROUND(IF(AND(F13:H13),C13*E13*F13*G13*H13,IF(AND(F13,G13),C13*E13*F13*G13,IF(AND(F13,H13),C13*E13*F13*H13,IF(AND(G13,H13),C13*E13*G13*H13,IF(F13,C13*E13*F13,IF(G13,C13*E13*G13,IF(H13,C13*E13*H13,C13*E13))))))),2)</f>
        <v>7</v>
      </c>
      <c r="J13" s="1344" t="s">
        <v>60</v>
      </c>
      <c r="K13" s="1345"/>
      <c r="L13" s="1336"/>
      <c r="M13" s="1346"/>
      <c r="N13" s="1347"/>
      <c r="Q13" s="1347"/>
    </row>
    <row r="14" spans="1:17" s="1348" customFormat="1">
      <c r="A14" s="1336"/>
      <c r="B14" s="1337"/>
      <c r="C14" s="1338"/>
      <c r="D14" s="1339"/>
      <c r="E14" s="1340"/>
      <c r="F14" s="1341"/>
      <c r="G14" s="1341"/>
      <c r="H14" s="1342"/>
      <c r="I14" s="1457"/>
      <c r="J14" s="1344"/>
      <c r="K14" s="1345"/>
      <c r="L14" s="1336"/>
      <c r="M14" s="1346"/>
      <c r="N14" s="1347"/>
      <c r="Q14" s="1347"/>
    </row>
    <row r="15" spans="1:17" s="1391" customFormat="1">
      <c r="A15" s="1382"/>
      <c r="B15" s="1382"/>
      <c r="C15" s="1383"/>
      <c r="D15" s="1384"/>
      <c r="E15" s="1385"/>
      <c r="F15" s="1382"/>
      <c r="G15" s="1382"/>
      <c r="H15" s="1382"/>
      <c r="I15" s="1458">
        <f>SUM(I13:I14)</f>
        <v>7</v>
      </c>
      <c r="J15" s="1344" t="s">
        <v>60</v>
      </c>
      <c r="K15" s="1388">
        <f>'Data Road safety'!G160</f>
        <v>883.73</v>
      </c>
      <c r="L15" s="1389" t="s">
        <v>23</v>
      </c>
      <c r="M15" s="1390">
        <f>ROUND(I15*K15/1,0)</f>
        <v>6186</v>
      </c>
    </row>
    <row r="16" spans="1:17" s="1381" customFormat="1" ht="107.25" hidden="1" customHeight="1">
      <c r="A16" s="1375">
        <v>3</v>
      </c>
      <c r="B16" s="1376" t="s">
        <v>1063</v>
      </c>
      <c r="C16" s="1376"/>
      <c r="D16" s="1376"/>
      <c r="E16" s="1376"/>
      <c r="F16" s="1376"/>
      <c r="G16" s="1376"/>
      <c r="H16" s="1376"/>
      <c r="I16" s="1377"/>
      <c r="J16" s="1378"/>
      <c r="K16" s="1375"/>
      <c r="L16" s="1375"/>
      <c r="M16" s="1379"/>
      <c r="N16" s="1380"/>
      <c r="O16" s="1380"/>
    </row>
    <row r="17" spans="1:17" s="1348" customFormat="1" hidden="1">
      <c r="A17" s="1336"/>
      <c r="B17" s="1337" t="s">
        <v>1064</v>
      </c>
      <c r="C17" s="1338">
        <v>1</v>
      </c>
      <c r="D17" s="1339" t="s">
        <v>46</v>
      </c>
      <c r="E17" s="1340">
        <v>2</v>
      </c>
      <c r="F17" s="1341">
        <v>0</v>
      </c>
      <c r="G17" s="1341">
        <v>0</v>
      </c>
      <c r="H17" s="1342">
        <v>0</v>
      </c>
      <c r="I17" s="1457">
        <f>ROUND(IF(AND(F17:H17),C17*E17*F17*G17*H17,IF(AND(F17,G17),C17*E17*F17*G17,IF(AND(F17,H17),C17*E17*F17*H17,IF(AND(G17,H17),C17*E17*G17*H17,IF(F17,C17*E17*F17,IF(G17,C17*E17*G17,IF(H17,C17*E17*H17,C17*E17))))))),2)</f>
        <v>2</v>
      </c>
      <c r="J17" s="1344" t="s">
        <v>60</v>
      </c>
      <c r="K17" s="1345"/>
      <c r="L17" s="1336"/>
      <c r="M17" s="1346"/>
      <c r="N17" s="1347"/>
      <c r="Q17" s="1347"/>
    </row>
    <row r="18" spans="1:17" s="1348" customFormat="1" hidden="1">
      <c r="A18" s="1336"/>
      <c r="B18" s="1337"/>
      <c r="C18" s="1338"/>
      <c r="D18" s="1339"/>
      <c r="E18" s="1340"/>
      <c r="F18" s="1341"/>
      <c r="G18" s="1341"/>
      <c r="H18" s="1342"/>
      <c r="I18" s="1457"/>
      <c r="J18" s="1344"/>
      <c r="K18" s="1345"/>
      <c r="L18" s="1336"/>
      <c r="M18" s="1346"/>
      <c r="N18" s="1347"/>
      <c r="Q18" s="1347"/>
    </row>
    <row r="19" spans="1:17" s="1391" customFormat="1" hidden="1">
      <c r="A19" s="1382"/>
      <c r="B19" s="1382"/>
      <c r="C19" s="1383"/>
      <c r="D19" s="1384"/>
      <c r="E19" s="1385"/>
      <c r="F19" s="1382"/>
      <c r="G19" s="1382"/>
      <c r="H19" s="1382"/>
      <c r="I19" s="1458"/>
      <c r="J19" s="1344" t="s">
        <v>60</v>
      </c>
      <c r="K19" s="1388">
        <f>'Data Road safety'!G184</f>
        <v>2623.8420000000001</v>
      </c>
      <c r="L19" s="1389" t="s">
        <v>86</v>
      </c>
      <c r="M19" s="1390">
        <f>ROUND(I19*K19/1,0)</f>
        <v>0</v>
      </c>
    </row>
    <row r="20" spans="1:17" s="1381" customFormat="1" ht="150" hidden="1" customHeight="1">
      <c r="A20" s="1375">
        <v>4</v>
      </c>
      <c r="B20" s="1376" t="s">
        <v>1060</v>
      </c>
      <c r="C20" s="1376"/>
      <c r="D20" s="1376"/>
      <c r="E20" s="1376"/>
      <c r="F20" s="1376"/>
      <c r="G20" s="1376"/>
      <c r="H20" s="1376"/>
      <c r="I20" s="1377"/>
      <c r="J20" s="1378"/>
      <c r="K20" s="1375"/>
      <c r="L20" s="1375"/>
      <c r="M20" s="1379"/>
      <c r="N20" s="1380"/>
      <c r="O20" s="1380"/>
    </row>
    <row r="21" spans="1:17" s="1348" customFormat="1" hidden="1">
      <c r="A21" s="1336"/>
      <c r="B21" s="1337" t="s">
        <v>1062</v>
      </c>
      <c r="C21" s="1338">
        <v>1</v>
      </c>
      <c r="D21" s="1339" t="s">
        <v>46</v>
      </c>
      <c r="E21" s="1340">
        <v>1</v>
      </c>
      <c r="F21" s="1341">
        <v>1.5</v>
      </c>
      <c r="G21" s="1341">
        <v>0</v>
      </c>
      <c r="H21" s="1342">
        <v>1.2</v>
      </c>
      <c r="I21" s="1343">
        <f>ROUND(IF(AND(F21:H21),C21*E21*F21*G21*H21,IF(AND(F21,G21),C21*E21*F21*G21,IF(AND(F21,H21),C21*E21*F21*H21,IF(AND(G21,H21),C21*E21*G21*H21,IF(F21,C21*E21*F21,IF(G21,C21*E21*G21,IF(H21,C21*E21*H21,C21*E21))))))),2)</f>
        <v>1.8</v>
      </c>
      <c r="J21" s="1344" t="s">
        <v>84</v>
      </c>
      <c r="K21" s="1345"/>
      <c r="L21" s="1336"/>
      <c r="M21" s="1346"/>
      <c r="N21" s="1347"/>
      <c r="Q21" s="1347"/>
    </row>
    <row r="22" spans="1:17" s="1348" customFormat="1" hidden="1">
      <c r="A22" s="1336"/>
      <c r="B22" s="1337"/>
      <c r="C22" s="1338"/>
      <c r="D22" s="1339"/>
      <c r="E22" s="1340"/>
      <c r="F22" s="1341"/>
      <c r="G22" s="1341"/>
      <c r="H22" s="1342"/>
      <c r="I22" s="1343"/>
      <c r="J22" s="1344"/>
      <c r="K22" s="1345"/>
      <c r="L22" s="1336"/>
      <c r="M22" s="1346"/>
      <c r="N22" s="1347"/>
      <c r="Q22" s="1347"/>
    </row>
    <row r="23" spans="1:17" s="1391" customFormat="1" hidden="1">
      <c r="A23" s="1382"/>
      <c r="B23" s="1382"/>
      <c r="C23" s="1383"/>
      <c r="D23" s="1384"/>
      <c r="E23" s="1385"/>
      <c r="F23" s="1382"/>
      <c r="G23" s="1382"/>
      <c r="H23" s="1382"/>
      <c r="I23" s="1386"/>
      <c r="J23" s="1344" t="s">
        <v>84</v>
      </c>
      <c r="K23" s="1388">
        <f>'Data Road safety'!G205</f>
        <v>2222.59</v>
      </c>
      <c r="L23" s="1389" t="s">
        <v>86</v>
      </c>
      <c r="M23" s="1390">
        <f>ROUND(I23*K23/1,0)</f>
        <v>0</v>
      </c>
    </row>
    <row r="24" spans="1:17" s="1381" customFormat="1" ht="123.75" hidden="1" customHeight="1">
      <c r="A24" s="1375">
        <v>5</v>
      </c>
      <c r="B24" s="1376" t="s">
        <v>1059</v>
      </c>
      <c r="C24" s="1376"/>
      <c r="D24" s="1376"/>
      <c r="E24" s="1376"/>
      <c r="F24" s="1376"/>
      <c r="G24" s="1376"/>
      <c r="H24" s="1376"/>
      <c r="I24" s="1377"/>
      <c r="J24" s="1378"/>
      <c r="K24" s="1375"/>
      <c r="L24" s="1375"/>
      <c r="M24" s="1379"/>
      <c r="N24" s="1380"/>
      <c r="O24" s="1380"/>
    </row>
    <row r="25" spans="1:17" s="1348" customFormat="1" hidden="1">
      <c r="A25" s="1336"/>
      <c r="B25" s="1337" t="s">
        <v>1061</v>
      </c>
      <c r="C25" s="1338">
        <v>2</v>
      </c>
      <c r="D25" s="1339" t="s">
        <v>46</v>
      </c>
      <c r="E25" s="1340">
        <v>1</v>
      </c>
      <c r="F25" s="1341">
        <v>0.9</v>
      </c>
      <c r="G25" s="1341">
        <v>0</v>
      </c>
      <c r="H25" s="1342">
        <v>0.6</v>
      </c>
      <c r="I25" s="1343">
        <f>ROUND(IF(AND(F25:H25),C25*E25*F25*G25*H25,IF(AND(F25,G25),C25*E25*F25*G25,IF(AND(F25,H25),C25*E25*F25*H25,IF(AND(G25,H25),C25*E25*G25*H25,IF(F25,C25*E25*F25,IF(G25,C25*E25*G25,IF(H25,C25*E25*H25,C25*E25))))))),2)</f>
        <v>1.08</v>
      </c>
      <c r="J25" s="1344" t="s">
        <v>84</v>
      </c>
      <c r="K25" s="1345"/>
      <c r="L25" s="1336"/>
      <c r="M25" s="1346"/>
      <c r="N25" s="1347"/>
      <c r="Q25" s="1347"/>
    </row>
    <row r="26" spans="1:17" s="1348" customFormat="1" hidden="1">
      <c r="A26" s="1336"/>
      <c r="B26" s="1337"/>
      <c r="C26" s="1338"/>
      <c r="D26" s="1339"/>
      <c r="E26" s="1340"/>
      <c r="F26" s="1341"/>
      <c r="G26" s="1341"/>
      <c r="H26" s="1342"/>
      <c r="I26" s="1343"/>
      <c r="J26" s="1344"/>
      <c r="K26" s="1345"/>
      <c r="L26" s="1336"/>
      <c r="M26" s="1346"/>
      <c r="N26" s="1347"/>
      <c r="Q26" s="1347"/>
    </row>
    <row r="27" spans="1:17" s="1391" customFormat="1" hidden="1">
      <c r="A27" s="1382"/>
      <c r="B27" s="1382"/>
      <c r="C27" s="1383"/>
      <c r="D27" s="1384"/>
      <c r="E27" s="1385"/>
      <c r="F27" s="1382"/>
      <c r="G27" s="1382"/>
      <c r="H27" s="1382"/>
      <c r="I27" s="1386"/>
      <c r="J27" s="1344" t="s">
        <v>84</v>
      </c>
      <c r="K27" s="1388">
        <f>'Data Road safety'!G227</f>
        <v>2222.6556666666665</v>
      </c>
      <c r="L27" s="1389" t="s">
        <v>86</v>
      </c>
      <c r="M27" s="1390">
        <f>ROUND(I27*K27/1,0)</f>
        <v>0</v>
      </c>
    </row>
    <row r="28" spans="1:17" s="1381" customFormat="1" ht="141" customHeight="1">
      <c r="A28" s="1375">
        <v>3</v>
      </c>
      <c r="B28" s="1376" t="s">
        <v>1058</v>
      </c>
      <c r="C28" s="1376"/>
      <c r="D28" s="1376"/>
      <c r="E28" s="1376"/>
      <c r="F28" s="1376"/>
      <c r="G28" s="1376"/>
      <c r="H28" s="1376"/>
      <c r="I28" s="1377"/>
      <c r="J28" s="1378"/>
      <c r="K28" s="1375"/>
      <c r="L28" s="1375"/>
      <c r="M28" s="1379"/>
      <c r="N28" s="1380"/>
      <c r="O28" s="1380"/>
    </row>
    <row r="29" spans="1:17" s="1348" customFormat="1">
      <c r="A29" s="1336"/>
      <c r="B29" s="1337"/>
      <c r="C29" s="1338">
        <v>2</v>
      </c>
      <c r="D29" s="1339" t="s">
        <v>46</v>
      </c>
      <c r="E29" s="1340">
        <v>1</v>
      </c>
      <c r="F29" s="1341">
        <v>1680</v>
      </c>
      <c r="G29" s="1341">
        <v>0</v>
      </c>
      <c r="H29" s="1342">
        <v>0.1</v>
      </c>
      <c r="I29" s="1343">
        <f>ROUND(IF(AND(F29:H29),C29*E29*F29*G29*H29,IF(AND(F29,G29),C29*E29*F29*G29,IF(AND(F29,H29),C29*E29*F29*H29,IF(AND(G29,H29),C29*E29*G29*H29,IF(F29,C29*E29*F29,IF(G29,C29*E29*G29,IF(H29,C29*E29*H29,C29*E29))))))),2)</f>
        <v>336</v>
      </c>
      <c r="J29" s="1344" t="s">
        <v>84</v>
      </c>
      <c r="K29" s="1345"/>
      <c r="L29" s="1336"/>
      <c r="M29" s="1346"/>
      <c r="N29" s="1347"/>
      <c r="Q29" s="1347"/>
    </row>
    <row r="30" spans="1:17" s="1348" customFormat="1">
      <c r="A30" s="1336"/>
      <c r="B30" s="1337"/>
      <c r="C30" s="1338"/>
      <c r="D30" s="1339"/>
      <c r="E30" s="1340"/>
      <c r="F30" s="1341"/>
      <c r="G30" s="1341"/>
      <c r="H30" s="1342"/>
      <c r="I30" s="1343"/>
      <c r="J30" s="1344"/>
      <c r="K30" s="1345"/>
      <c r="L30" s="1336"/>
      <c r="M30" s="1346"/>
      <c r="N30" s="1347"/>
      <c r="Q30" s="1347"/>
    </row>
    <row r="31" spans="1:17" s="1391" customFormat="1">
      <c r="A31" s="1382"/>
      <c r="B31" s="1382"/>
      <c r="C31" s="1383"/>
      <c r="D31" s="1384"/>
      <c r="E31" s="1385"/>
      <c r="F31" s="1382"/>
      <c r="G31" s="1382"/>
      <c r="H31" s="1382"/>
      <c r="I31" s="1386">
        <f>SUM(I29:I30)</f>
        <v>336</v>
      </c>
      <c r="J31" s="1344" t="s">
        <v>84</v>
      </c>
      <c r="K31" s="1388">
        <f>'Data Road safety'!G232</f>
        <v>636.24</v>
      </c>
      <c r="L31" s="1389" t="s">
        <v>86</v>
      </c>
      <c r="M31" s="1390">
        <f>ROUND(I31*K31/1,0)</f>
        <v>213777</v>
      </c>
    </row>
    <row r="32" spans="1:17" s="1391" customFormat="1">
      <c r="A32" s="1382"/>
      <c r="B32" s="1382"/>
      <c r="C32" s="1383"/>
      <c r="D32" s="1384"/>
      <c r="E32" s="1385"/>
      <c r="F32" s="1382"/>
      <c r="G32" s="1382"/>
      <c r="H32" s="1382"/>
      <c r="I32" s="1386"/>
      <c r="J32" s="1344"/>
      <c r="K32" s="1388"/>
      <c r="L32" s="1440"/>
      <c r="M32" s="1390"/>
    </row>
    <row r="33" spans="1:13">
      <c r="A33" s="1399"/>
      <c r="B33" s="1441" t="s">
        <v>4</v>
      </c>
      <c r="C33" s="1442"/>
      <c r="D33" s="1442"/>
      <c r="E33" s="1442"/>
      <c r="F33" s="1442"/>
      <c r="G33" s="1442"/>
      <c r="H33" s="1443"/>
      <c r="I33" s="1437"/>
      <c r="J33" s="1444"/>
      <c r="K33" s="1439"/>
      <c r="L33" s="1445"/>
      <c r="M33" s="1446">
        <f>SUM(M8:M32)</f>
        <v>229409</v>
      </c>
    </row>
    <row r="34" spans="1:13">
      <c r="A34" s="1447"/>
      <c r="B34" s="1448"/>
      <c r="C34" s="1449"/>
      <c r="D34" s="1448"/>
      <c r="E34" s="1450"/>
      <c r="F34" s="1448"/>
      <c r="G34" s="1448"/>
      <c r="H34" s="1448"/>
      <c r="I34" s="1451"/>
      <c r="J34" s="1451"/>
      <c r="K34" s="1452"/>
      <c r="L34" s="1452"/>
      <c r="M34" s="1451"/>
    </row>
    <row r="35" spans="1:13">
      <c r="A35" s="1447"/>
      <c r="B35" s="1448"/>
      <c r="C35" s="1449"/>
      <c r="D35" s="1448"/>
      <c r="E35" s="1450"/>
      <c r="F35" s="1448"/>
      <c r="G35" s="1448"/>
      <c r="H35" s="1448"/>
      <c r="I35" s="1451"/>
      <c r="J35" s="1451"/>
      <c r="K35" s="1452"/>
      <c r="L35" s="1452"/>
      <c r="M35" s="1451"/>
    </row>
    <row r="36" spans="1:13">
      <c r="A36" s="1447"/>
      <c r="B36" s="1448"/>
      <c r="C36" s="1449"/>
      <c r="D36" s="1448"/>
      <c r="E36" s="1450"/>
      <c r="F36" s="1448"/>
      <c r="G36" s="1448"/>
      <c r="H36" s="1448"/>
      <c r="I36" s="1451"/>
      <c r="J36" s="1451"/>
      <c r="K36" s="1452"/>
      <c r="L36" s="1452"/>
      <c r="M36" s="1451"/>
    </row>
    <row r="37" spans="1:13">
      <c r="A37" s="1447"/>
      <c r="B37" s="1448"/>
      <c r="C37" s="1449"/>
      <c r="D37" s="1448"/>
      <c r="E37" s="1450"/>
      <c r="F37" s="1448"/>
      <c r="G37" s="1448"/>
      <c r="H37" s="1448"/>
      <c r="I37" s="1451"/>
      <c r="J37" s="1451"/>
      <c r="K37" s="1452"/>
      <c r="L37" s="1452"/>
      <c r="M37" s="1451"/>
    </row>
    <row r="38" spans="1:13">
      <c r="A38" s="1447"/>
      <c r="B38" s="1448"/>
      <c r="C38" s="1449"/>
      <c r="D38" s="1448"/>
      <c r="E38" s="1450"/>
      <c r="F38" s="1448"/>
      <c r="G38" s="1453" t="str">
        <f>'lead 2025-26'!$G$37</f>
        <v>Deputy Executive Engineer</v>
      </c>
      <c r="H38" s="1448"/>
      <c r="I38" s="1451"/>
      <c r="J38" s="1451"/>
      <c r="K38" s="1452"/>
      <c r="L38" s="1454" t="str">
        <f>'lead 2025-26'!J37</f>
        <v>Assistant   Engineer</v>
      </c>
      <c r="M38" s="1451"/>
    </row>
    <row r="39" spans="1:13">
      <c r="A39" s="1447"/>
      <c r="B39" s="1448"/>
      <c r="C39" s="1449"/>
      <c r="D39" s="1448"/>
      <c r="E39" s="1450"/>
      <c r="F39" s="1448"/>
      <c r="G39" s="1453" t="str">
        <f>'lead 2025-26'!$G$38</f>
        <v>PRI Sub Division: Kanigiri</v>
      </c>
      <c r="H39" s="1448"/>
      <c r="I39" s="1451"/>
      <c r="J39" s="1451"/>
      <c r="K39" s="1452"/>
      <c r="L39" s="1454" t="str">
        <f>'lead 2025-26'!J38</f>
        <v>Mandal Praja Parishad</v>
      </c>
      <c r="M39" s="1451"/>
    </row>
    <row r="40" spans="1:13">
      <c r="A40" s="1447"/>
      <c r="B40" s="1448"/>
      <c r="C40" s="1449"/>
      <c r="D40" s="1448"/>
      <c r="E40" s="1450"/>
      <c r="F40" s="1448"/>
      <c r="G40" s="1448"/>
      <c r="H40" s="1448"/>
      <c r="I40" s="1451"/>
      <c r="J40" s="1451"/>
      <c r="K40" s="1452"/>
      <c r="L40" s="1454" t="str">
        <f>'lead 2025-26'!J39</f>
        <v>Pamuru</v>
      </c>
      <c r="M40" s="1451"/>
    </row>
  </sheetData>
  <mergeCells count="23">
    <mergeCell ref="B33:H33"/>
    <mergeCell ref="B12:H12"/>
    <mergeCell ref="B28:H28"/>
    <mergeCell ref="B24:H24"/>
    <mergeCell ref="B20:H20"/>
    <mergeCell ref="B16:H16"/>
    <mergeCell ref="L5:L6"/>
    <mergeCell ref="M5:M6"/>
    <mergeCell ref="C7:E7"/>
    <mergeCell ref="I7:J7"/>
    <mergeCell ref="B8:H8"/>
    <mergeCell ref="K5:K6"/>
    <mergeCell ref="A5:A6"/>
    <mergeCell ref="B5:B6"/>
    <mergeCell ref="C5:E6"/>
    <mergeCell ref="F5:H5"/>
    <mergeCell ref="I5:J6"/>
    <mergeCell ref="K4:L4"/>
    <mergeCell ref="A1:M1"/>
    <mergeCell ref="A2:B2"/>
    <mergeCell ref="C2:M2"/>
    <mergeCell ref="A3:B3"/>
    <mergeCell ref="C3:M3"/>
  </mergeCells>
  <printOptions horizontalCentered="1"/>
  <pageMargins left="0.23622047244094499" right="0.15748031496063" top="0.16" bottom="0.18" header="0.38" footer="0.16"/>
  <pageSetup paperSize="9" orientation="portrait" errors="blank"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F0"/>
  </sheetPr>
  <dimension ref="A1:P181"/>
  <sheetViews>
    <sheetView defaultGridColor="0" view="pageBreakPreview" topLeftCell="A79" colorId="22" zoomScale="115" zoomScaleSheetLayoutView="115" workbookViewId="0">
      <selection activeCell="C79" sqref="C79"/>
    </sheetView>
  </sheetViews>
  <sheetFormatPr defaultRowHeight="12.75"/>
  <cols>
    <col min="1" max="1" width="5" style="110" customWidth="1"/>
    <col min="2" max="2" width="16.28515625" style="110" customWidth="1"/>
    <col min="3" max="3" width="6.7109375" style="110" customWidth="1"/>
    <col min="4" max="4" width="8.140625" style="110" customWidth="1"/>
    <col min="5" max="5" width="3.7109375" style="110" customWidth="1"/>
    <col min="6" max="6" width="7.5703125" style="130" customWidth="1"/>
    <col min="7" max="7" width="3.5703125" style="131" customWidth="1"/>
    <col min="8" max="8" width="11.7109375" style="295" customWidth="1"/>
    <col min="9" max="9" width="9.140625" style="296" customWidth="1"/>
    <col min="10" max="10" width="9.42578125" style="296" customWidth="1"/>
    <col min="11" max="11" width="9.140625" style="296" customWidth="1"/>
    <col min="12" max="14" width="11.140625" style="296" customWidth="1"/>
    <col min="15" max="15" width="7.85546875" style="295" customWidth="1"/>
    <col min="16" max="16" width="9.7109375" style="110" bestFit="1" customWidth="1"/>
    <col min="17" max="260" width="9.140625" style="110"/>
    <col min="261" max="261" width="5" style="110" customWidth="1"/>
    <col min="262" max="262" width="21.85546875" style="110" customWidth="1"/>
    <col min="263" max="263" width="6.7109375" style="110" customWidth="1"/>
    <col min="264" max="264" width="9.5703125" style="110" customWidth="1"/>
    <col min="265" max="265" width="3.7109375" style="110" customWidth="1"/>
    <col min="266" max="266" width="18" style="110" customWidth="1"/>
    <col min="267" max="267" width="3.5703125" style="110" customWidth="1"/>
    <col min="268" max="268" width="11.7109375" style="110" customWidth="1"/>
    <col min="269" max="269" width="10.7109375" style="110" customWidth="1"/>
    <col min="270" max="270" width="11.140625" style="110" customWidth="1"/>
    <col min="271" max="271" width="10.5703125" style="110" customWidth="1"/>
    <col min="272" max="272" width="9.7109375" style="110" bestFit="1" customWidth="1"/>
    <col min="273" max="516" width="9.140625" style="110"/>
    <col min="517" max="517" width="5" style="110" customWidth="1"/>
    <col min="518" max="518" width="21.85546875" style="110" customWidth="1"/>
    <col min="519" max="519" width="6.7109375" style="110" customWidth="1"/>
    <col min="520" max="520" width="9.5703125" style="110" customWidth="1"/>
    <col min="521" max="521" width="3.7109375" style="110" customWidth="1"/>
    <col min="522" max="522" width="18" style="110" customWidth="1"/>
    <col min="523" max="523" width="3.5703125" style="110" customWidth="1"/>
    <col min="524" max="524" width="11.7109375" style="110" customWidth="1"/>
    <col min="525" max="525" width="10.7109375" style="110" customWidth="1"/>
    <col min="526" max="526" width="11.140625" style="110" customWidth="1"/>
    <col min="527" max="527" width="10.5703125" style="110" customWidth="1"/>
    <col min="528" max="528" width="9.7109375" style="110" bestFit="1" customWidth="1"/>
    <col min="529" max="772" width="9.140625" style="110"/>
    <col min="773" max="773" width="5" style="110" customWidth="1"/>
    <col min="774" max="774" width="21.85546875" style="110" customWidth="1"/>
    <col min="775" max="775" width="6.7109375" style="110" customWidth="1"/>
    <col min="776" max="776" width="9.5703125" style="110" customWidth="1"/>
    <col min="777" max="777" width="3.7109375" style="110" customWidth="1"/>
    <col min="778" max="778" width="18" style="110" customWidth="1"/>
    <col min="779" max="779" width="3.5703125" style="110" customWidth="1"/>
    <col min="780" max="780" width="11.7109375" style="110" customWidth="1"/>
    <col min="781" max="781" width="10.7109375" style="110" customWidth="1"/>
    <col min="782" max="782" width="11.140625" style="110" customWidth="1"/>
    <col min="783" max="783" width="10.5703125" style="110" customWidth="1"/>
    <col min="784" max="784" width="9.7109375" style="110" bestFit="1" customWidth="1"/>
    <col min="785" max="1028" width="9.140625" style="110"/>
    <col min="1029" max="1029" width="5" style="110" customWidth="1"/>
    <col min="1030" max="1030" width="21.85546875" style="110" customWidth="1"/>
    <col min="1031" max="1031" width="6.7109375" style="110" customWidth="1"/>
    <col min="1032" max="1032" width="9.5703125" style="110" customWidth="1"/>
    <col min="1033" max="1033" width="3.7109375" style="110" customWidth="1"/>
    <col min="1034" max="1034" width="18" style="110" customWidth="1"/>
    <col min="1035" max="1035" width="3.5703125" style="110" customWidth="1"/>
    <col min="1036" max="1036" width="11.7109375" style="110" customWidth="1"/>
    <col min="1037" max="1037" width="10.7109375" style="110" customWidth="1"/>
    <col min="1038" max="1038" width="11.140625" style="110" customWidth="1"/>
    <col min="1039" max="1039" width="10.5703125" style="110" customWidth="1"/>
    <col min="1040" max="1040" width="9.7109375" style="110" bestFit="1" customWidth="1"/>
    <col min="1041" max="1284" width="9.140625" style="110"/>
    <col min="1285" max="1285" width="5" style="110" customWidth="1"/>
    <col min="1286" max="1286" width="21.85546875" style="110" customWidth="1"/>
    <col min="1287" max="1287" width="6.7109375" style="110" customWidth="1"/>
    <col min="1288" max="1288" width="9.5703125" style="110" customWidth="1"/>
    <col min="1289" max="1289" width="3.7109375" style="110" customWidth="1"/>
    <col min="1290" max="1290" width="18" style="110" customWidth="1"/>
    <col min="1291" max="1291" width="3.5703125" style="110" customWidth="1"/>
    <col min="1292" max="1292" width="11.7109375" style="110" customWidth="1"/>
    <col min="1293" max="1293" width="10.7109375" style="110" customWidth="1"/>
    <col min="1294" max="1294" width="11.140625" style="110" customWidth="1"/>
    <col min="1295" max="1295" width="10.5703125" style="110" customWidth="1"/>
    <col min="1296" max="1296" width="9.7109375" style="110" bestFit="1" customWidth="1"/>
    <col min="1297" max="1540" width="9.140625" style="110"/>
    <col min="1541" max="1541" width="5" style="110" customWidth="1"/>
    <col min="1542" max="1542" width="21.85546875" style="110" customWidth="1"/>
    <col min="1543" max="1543" width="6.7109375" style="110" customWidth="1"/>
    <col min="1544" max="1544" width="9.5703125" style="110" customWidth="1"/>
    <col min="1545" max="1545" width="3.7109375" style="110" customWidth="1"/>
    <col min="1546" max="1546" width="18" style="110" customWidth="1"/>
    <col min="1547" max="1547" width="3.5703125" style="110" customWidth="1"/>
    <col min="1548" max="1548" width="11.7109375" style="110" customWidth="1"/>
    <col min="1549" max="1549" width="10.7109375" style="110" customWidth="1"/>
    <col min="1550" max="1550" width="11.140625" style="110" customWidth="1"/>
    <col min="1551" max="1551" width="10.5703125" style="110" customWidth="1"/>
    <col min="1552" max="1552" width="9.7109375" style="110" bestFit="1" customWidth="1"/>
    <col min="1553" max="1796" width="9.140625" style="110"/>
    <col min="1797" max="1797" width="5" style="110" customWidth="1"/>
    <col min="1798" max="1798" width="21.85546875" style="110" customWidth="1"/>
    <col min="1799" max="1799" width="6.7109375" style="110" customWidth="1"/>
    <col min="1800" max="1800" width="9.5703125" style="110" customWidth="1"/>
    <col min="1801" max="1801" width="3.7109375" style="110" customWidth="1"/>
    <col min="1802" max="1802" width="18" style="110" customWidth="1"/>
    <col min="1803" max="1803" width="3.5703125" style="110" customWidth="1"/>
    <col min="1804" max="1804" width="11.7109375" style="110" customWidth="1"/>
    <col min="1805" max="1805" width="10.7109375" style="110" customWidth="1"/>
    <col min="1806" max="1806" width="11.140625" style="110" customWidth="1"/>
    <col min="1807" max="1807" width="10.5703125" style="110" customWidth="1"/>
    <col min="1808" max="1808" width="9.7109375" style="110" bestFit="1" customWidth="1"/>
    <col min="1809" max="2052" width="9.140625" style="110"/>
    <col min="2053" max="2053" width="5" style="110" customWidth="1"/>
    <col min="2054" max="2054" width="21.85546875" style="110" customWidth="1"/>
    <col min="2055" max="2055" width="6.7109375" style="110" customWidth="1"/>
    <col min="2056" max="2056" width="9.5703125" style="110" customWidth="1"/>
    <col min="2057" max="2057" width="3.7109375" style="110" customWidth="1"/>
    <col min="2058" max="2058" width="18" style="110" customWidth="1"/>
    <col min="2059" max="2059" width="3.5703125" style="110" customWidth="1"/>
    <col min="2060" max="2060" width="11.7109375" style="110" customWidth="1"/>
    <col min="2061" max="2061" width="10.7109375" style="110" customWidth="1"/>
    <col min="2062" max="2062" width="11.140625" style="110" customWidth="1"/>
    <col min="2063" max="2063" width="10.5703125" style="110" customWidth="1"/>
    <col min="2064" max="2064" width="9.7109375" style="110" bestFit="1" customWidth="1"/>
    <col min="2065" max="2308" width="9.140625" style="110"/>
    <col min="2309" max="2309" width="5" style="110" customWidth="1"/>
    <col min="2310" max="2310" width="21.85546875" style="110" customWidth="1"/>
    <col min="2311" max="2311" width="6.7109375" style="110" customWidth="1"/>
    <col min="2312" max="2312" width="9.5703125" style="110" customWidth="1"/>
    <col min="2313" max="2313" width="3.7109375" style="110" customWidth="1"/>
    <col min="2314" max="2314" width="18" style="110" customWidth="1"/>
    <col min="2315" max="2315" width="3.5703125" style="110" customWidth="1"/>
    <col min="2316" max="2316" width="11.7109375" style="110" customWidth="1"/>
    <col min="2317" max="2317" width="10.7109375" style="110" customWidth="1"/>
    <col min="2318" max="2318" width="11.140625" style="110" customWidth="1"/>
    <col min="2319" max="2319" width="10.5703125" style="110" customWidth="1"/>
    <col min="2320" max="2320" width="9.7109375" style="110" bestFit="1" customWidth="1"/>
    <col min="2321" max="2564" width="9.140625" style="110"/>
    <col min="2565" max="2565" width="5" style="110" customWidth="1"/>
    <col min="2566" max="2566" width="21.85546875" style="110" customWidth="1"/>
    <col min="2567" max="2567" width="6.7109375" style="110" customWidth="1"/>
    <col min="2568" max="2568" width="9.5703125" style="110" customWidth="1"/>
    <col min="2569" max="2569" width="3.7109375" style="110" customWidth="1"/>
    <col min="2570" max="2570" width="18" style="110" customWidth="1"/>
    <col min="2571" max="2571" width="3.5703125" style="110" customWidth="1"/>
    <col min="2572" max="2572" width="11.7109375" style="110" customWidth="1"/>
    <col min="2573" max="2573" width="10.7109375" style="110" customWidth="1"/>
    <col min="2574" max="2574" width="11.140625" style="110" customWidth="1"/>
    <col min="2575" max="2575" width="10.5703125" style="110" customWidth="1"/>
    <col min="2576" max="2576" width="9.7109375" style="110" bestFit="1" customWidth="1"/>
    <col min="2577" max="2820" width="9.140625" style="110"/>
    <col min="2821" max="2821" width="5" style="110" customWidth="1"/>
    <col min="2822" max="2822" width="21.85546875" style="110" customWidth="1"/>
    <col min="2823" max="2823" width="6.7109375" style="110" customWidth="1"/>
    <col min="2824" max="2824" width="9.5703125" style="110" customWidth="1"/>
    <col min="2825" max="2825" width="3.7109375" style="110" customWidth="1"/>
    <col min="2826" max="2826" width="18" style="110" customWidth="1"/>
    <col min="2827" max="2827" width="3.5703125" style="110" customWidth="1"/>
    <col min="2828" max="2828" width="11.7109375" style="110" customWidth="1"/>
    <col min="2829" max="2829" width="10.7109375" style="110" customWidth="1"/>
    <col min="2830" max="2830" width="11.140625" style="110" customWidth="1"/>
    <col min="2831" max="2831" width="10.5703125" style="110" customWidth="1"/>
    <col min="2832" max="2832" width="9.7109375" style="110" bestFit="1" customWidth="1"/>
    <col min="2833" max="3076" width="9.140625" style="110"/>
    <col min="3077" max="3077" width="5" style="110" customWidth="1"/>
    <col min="3078" max="3078" width="21.85546875" style="110" customWidth="1"/>
    <col min="3079" max="3079" width="6.7109375" style="110" customWidth="1"/>
    <col min="3080" max="3080" width="9.5703125" style="110" customWidth="1"/>
    <col min="3081" max="3081" width="3.7109375" style="110" customWidth="1"/>
    <col min="3082" max="3082" width="18" style="110" customWidth="1"/>
    <col min="3083" max="3083" width="3.5703125" style="110" customWidth="1"/>
    <col min="3084" max="3084" width="11.7109375" style="110" customWidth="1"/>
    <col min="3085" max="3085" width="10.7109375" style="110" customWidth="1"/>
    <col min="3086" max="3086" width="11.140625" style="110" customWidth="1"/>
    <col min="3087" max="3087" width="10.5703125" style="110" customWidth="1"/>
    <col min="3088" max="3088" width="9.7109375" style="110" bestFit="1" customWidth="1"/>
    <col min="3089" max="3332" width="9.140625" style="110"/>
    <col min="3333" max="3333" width="5" style="110" customWidth="1"/>
    <col min="3334" max="3334" width="21.85546875" style="110" customWidth="1"/>
    <col min="3335" max="3335" width="6.7109375" style="110" customWidth="1"/>
    <col min="3336" max="3336" width="9.5703125" style="110" customWidth="1"/>
    <col min="3337" max="3337" width="3.7109375" style="110" customWidth="1"/>
    <col min="3338" max="3338" width="18" style="110" customWidth="1"/>
    <col min="3339" max="3339" width="3.5703125" style="110" customWidth="1"/>
    <col min="3340" max="3340" width="11.7109375" style="110" customWidth="1"/>
    <col min="3341" max="3341" width="10.7109375" style="110" customWidth="1"/>
    <col min="3342" max="3342" width="11.140625" style="110" customWidth="1"/>
    <col min="3343" max="3343" width="10.5703125" style="110" customWidth="1"/>
    <col min="3344" max="3344" width="9.7109375" style="110" bestFit="1" customWidth="1"/>
    <col min="3345" max="3588" width="9.140625" style="110"/>
    <col min="3589" max="3589" width="5" style="110" customWidth="1"/>
    <col min="3590" max="3590" width="21.85546875" style="110" customWidth="1"/>
    <col min="3591" max="3591" width="6.7109375" style="110" customWidth="1"/>
    <col min="3592" max="3592" width="9.5703125" style="110" customWidth="1"/>
    <col min="3593" max="3593" width="3.7109375" style="110" customWidth="1"/>
    <col min="3594" max="3594" width="18" style="110" customWidth="1"/>
    <col min="3595" max="3595" width="3.5703125" style="110" customWidth="1"/>
    <col min="3596" max="3596" width="11.7109375" style="110" customWidth="1"/>
    <col min="3597" max="3597" width="10.7109375" style="110" customWidth="1"/>
    <col min="3598" max="3598" width="11.140625" style="110" customWidth="1"/>
    <col min="3599" max="3599" width="10.5703125" style="110" customWidth="1"/>
    <col min="3600" max="3600" width="9.7109375" style="110" bestFit="1" customWidth="1"/>
    <col min="3601" max="3844" width="9.140625" style="110"/>
    <col min="3845" max="3845" width="5" style="110" customWidth="1"/>
    <col min="3846" max="3846" width="21.85546875" style="110" customWidth="1"/>
    <col min="3847" max="3847" width="6.7109375" style="110" customWidth="1"/>
    <col min="3848" max="3848" width="9.5703125" style="110" customWidth="1"/>
    <col min="3849" max="3849" width="3.7109375" style="110" customWidth="1"/>
    <col min="3850" max="3850" width="18" style="110" customWidth="1"/>
    <col min="3851" max="3851" width="3.5703125" style="110" customWidth="1"/>
    <col min="3852" max="3852" width="11.7109375" style="110" customWidth="1"/>
    <col min="3853" max="3853" width="10.7109375" style="110" customWidth="1"/>
    <col min="3854" max="3854" width="11.140625" style="110" customWidth="1"/>
    <col min="3855" max="3855" width="10.5703125" style="110" customWidth="1"/>
    <col min="3856" max="3856" width="9.7109375" style="110" bestFit="1" customWidth="1"/>
    <col min="3857" max="4100" width="9.140625" style="110"/>
    <col min="4101" max="4101" width="5" style="110" customWidth="1"/>
    <col min="4102" max="4102" width="21.85546875" style="110" customWidth="1"/>
    <col min="4103" max="4103" width="6.7109375" style="110" customWidth="1"/>
    <col min="4104" max="4104" width="9.5703125" style="110" customWidth="1"/>
    <col min="4105" max="4105" width="3.7109375" style="110" customWidth="1"/>
    <col min="4106" max="4106" width="18" style="110" customWidth="1"/>
    <col min="4107" max="4107" width="3.5703125" style="110" customWidth="1"/>
    <col min="4108" max="4108" width="11.7109375" style="110" customWidth="1"/>
    <col min="4109" max="4109" width="10.7109375" style="110" customWidth="1"/>
    <col min="4110" max="4110" width="11.140625" style="110" customWidth="1"/>
    <col min="4111" max="4111" width="10.5703125" style="110" customWidth="1"/>
    <col min="4112" max="4112" width="9.7109375" style="110" bestFit="1" customWidth="1"/>
    <col min="4113" max="4356" width="9.140625" style="110"/>
    <col min="4357" max="4357" width="5" style="110" customWidth="1"/>
    <col min="4358" max="4358" width="21.85546875" style="110" customWidth="1"/>
    <col min="4359" max="4359" width="6.7109375" style="110" customWidth="1"/>
    <col min="4360" max="4360" width="9.5703125" style="110" customWidth="1"/>
    <col min="4361" max="4361" width="3.7109375" style="110" customWidth="1"/>
    <col min="4362" max="4362" width="18" style="110" customWidth="1"/>
    <col min="4363" max="4363" width="3.5703125" style="110" customWidth="1"/>
    <col min="4364" max="4364" width="11.7109375" style="110" customWidth="1"/>
    <col min="4365" max="4365" width="10.7109375" style="110" customWidth="1"/>
    <col min="4366" max="4366" width="11.140625" style="110" customWidth="1"/>
    <col min="4367" max="4367" width="10.5703125" style="110" customWidth="1"/>
    <col min="4368" max="4368" width="9.7109375" style="110" bestFit="1" customWidth="1"/>
    <col min="4369" max="4612" width="9.140625" style="110"/>
    <col min="4613" max="4613" width="5" style="110" customWidth="1"/>
    <col min="4614" max="4614" width="21.85546875" style="110" customWidth="1"/>
    <col min="4615" max="4615" width="6.7109375" style="110" customWidth="1"/>
    <col min="4616" max="4616" width="9.5703125" style="110" customWidth="1"/>
    <col min="4617" max="4617" width="3.7109375" style="110" customWidth="1"/>
    <col min="4618" max="4618" width="18" style="110" customWidth="1"/>
    <col min="4619" max="4619" width="3.5703125" style="110" customWidth="1"/>
    <col min="4620" max="4620" width="11.7109375" style="110" customWidth="1"/>
    <col min="4621" max="4621" width="10.7109375" style="110" customWidth="1"/>
    <col min="4622" max="4622" width="11.140625" style="110" customWidth="1"/>
    <col min="4623" max="4623" width="10.5703125" style="110" customWidth="1"/>
    <col min="4624" max="4624" width="9.7109375" style="110" bestFit="1" customWidth="1"/>
    <col min="4625" max="4868" width="9.140625" style="110"/>
    <col min="4869" max="4869" width="5" style="110" customWidth="1"/>
    <col min="4870" max="4870" width="21.85546875" style="110" customWidth="1"/>
    <col min="4871" max="4871" width="6.7109375" style="110" customWidth="1"/>
    <col min="4872" max="4872" width="9.5703125" style="110" customWidth="1"/>
    <col min="4873" max="4873" width="3.7109375" style="110" customWidth="1"/>
    <col min="4874" max="4874" width="18" style="110" customWidth="1"/>
    <col min="4875" max="4875" width="3.5703125" style="110" customWidth="1"/>
    <col min="4876" max="4876" width="11.7109375" style="110" customWidth="1"/>
    <col min="4877" max="4877" width="10.7109375" style="110" customWidth="1"/>
    <col min="4878" max="4878" width="11.140625" style="110" customWidth="1"/>
    <col min="4879" max="4879" width="10.5703125" style="110" customWidth="1"/>
    <col min="4880" max="4880" width="9.7109375" style="110" bestFit="1" customWidth="1"/>
    <col min="4881" max="5124" width="9.140625" style="110"/>
    <col min="5125" max="5125" width="5" style="110" customWidth="1"/>
    <col min="5126" max="5126" width="21.85546875" style="110" customWidth="1"/>
    <col min="5127" max="5127" width="6.7109375" style="110" customWidth="1"/>
    <col min="5128" max="5128" width="9.5703125" style="110" customWidth="1"/>
    <col min="5129" max="5129" width="3.7109375" style="110" customWidth="1"/>
    <col min="5130" max="5130" width="18" style="110" customWidth="1"/>
    <col min="5131" max="5131" width="3.5703125" style="110" customWidth="1"/>
    <col min="5132" max="5132" width="11.7109375" style="110" customWidth="1"/>
    <col min="5133" max="5133" width="10.7109375" style="110" customWidth="1"/>
    <col min="5134" max="5134" width="11.140625" style="110" customWidth="1"/>
    <col min="5135" max="5135" width="10.5703125" style="110" customWidth="1"/>
    <col min="5136" max="5136" width="9.7109375" style="110" bestFit="1" customWidth="1"/>
    <col min="5137" max="5380" width="9.140625" style="110"/>
    <col min="5381" max="5381" width="5" style="110" customWidth="1"/>
    <col min="5382" max="5382" width="21.85546875" style="110" customWidth="1"/>
    <col min="5383" max="5383" width="6.7109375" style="110" customWidth="1"/>
    <col min="5384" max="5384" width="9.5703125" style="110" customWidth="1"/>
    <col min="5385" max="5385" width="3.7109375" style="110" customWidth="1"/>
    <col min="5386" max="5386" width="18" style="110" customWidth="1"/>
    <col min="5387" max="5387" width="3.5703125" style="110" customWidth="1"/>
    <col min="5388" max="5388" width="11.7109375" style="110" customWidth="1"/>
    <col min="5389" max="5389" width="10.7109375" style="110" customWidth="1"/>
    <col min="5390" max="5390" width="11.140625" style="110" customWidth="1"/>
    <col min="5391" max="5391" width="10.5703125" style="110" customWidth="1"/>
    <col min="5392" max="5392" width="9.7109375" style="110" bestFit="1" customWidth="1"/>
    <col min="5393" max="5636" width="9.140625" style="110"/>
    <col min="5637" max="5637" width="5" style="110" customWidth="1"/>
    <col min="5638" max="5638" width="21.85546875" style="110" customWidth="1"/>
    <col min="5639" max="5639" width="6.7109375" style="110" customWidth="1"/>
    <col min="5640" max="5640" width="9.5703125" style="110" customWidth="1"/>
    <col min="5641" max="5641" width="3.7109375" style="110" customWidth="1"/>
    <col min="5642" max="5642" width="18" style="110" customWidth="1"/>
    <col min="5643" max="5643" width="3.5703125" style="110" customWidth="1"/>
    <col min="5644" max="5644" width="11.7109375" style="110" customWidth="1"/>
    <col min="5645" max="5645" width="10.7109375" style="110" customWidth="1"/>
    <col min="5646" max="5646" width="11.140625" style="110" customWidth="1"/>
    <col min="5647" max="5647" width="10.5703125" style="110" customWidth="1"/>
    <col min="5648" max="5648" width="9.7109375" style="110" bestFit="1" customWidth="1"/>
    <col min="5649" max="5892" width="9.140625" style="110"/>
    <col min="5893" max="5893" width="5" style="110" customWidth="1"/>
    <col min="5894" max="5894" width="21.85546875" style="110" customWidth="1"/>
    <col min="5895" max="5895" width="6.7109375" style="110" customWidth="1"/>
    <col min="5896" max="5896" width="9.5703125" style="110" customWidth="1"/>
    <col min="5897" max="5897" width="3.7109375" style="110" customWidth="1"/>
    <col min="5898" max="5898" width="18" style="110" customWidth="1"/>
    <col min="5899" max="5899" width="3.5703125" style="110" customWidth="1"/>
    <col min="5900" max="5900" width="11.7109375" style="110" customWidth="1"/>
    <col min="5901" max="5901" width="10.7109375" style="110" customWidth="1"/>
    <col min="5902" max="5902" width="11.140625" style="110" customWidth="1"/>
    <col min="5903" max="5903" width="10.5703125" style="110" customWidth="1"/>
    <col min="5904" max="5904" width="9.7109375" style="110" bestFit="1" customWidth="1"/>
    <col min="5905" max="6148" width="9.140625" style="110"/>
    <col min="6149" max="6149" width="5" style="110" customWidth="1"/>
    <col min="6150" max="6150" width="21.85546875" style="110" customWidth="1"/>
    <col min="6151" max="6151" width="6.7109375" style="110" customWidth="1"/>
    <col min="6152" max="6152" width="9.5703125" style="110" customWidth="1"/>
    <col min="6153" max="6153" width="3.7109375" style="110" customWidth="1"/>
    <col min="6154" max="6154" width="18" style="110" customWidth="1"/>
    <col min="6155" max="6155" width="3.5703125" style="110" customWidth="1"/>
    <col min="6156" max="6156" width="11.7109375" style="110" customWidth="1"/>
    <col min="6157" max="6157" width="10.7109375" style="110" customWidth="1"/>
    <col min="6158" max="6158" width="11.140625" style="110" customWidth="1"/>
    <col min="6159" max="6159" width="10.5703125" style="110" customWidth="1"/>
    <col min="6160" max="6160" width="9.7109375" style="110" bestFit="1" customWidth="1"/>
    <col min="6161" max="6404" width="9.140625" style="110"/>
    <col min="6405" max="6405" width="5" style="110" customWidth="1"/>
    <col min="6406" max="6406" width="21.85546875" style="110" customWidth="1"/>
    <col min="6407" max="6407" width="6.7109375" style="110" customWidth="1"/>
    <col min="6408" max="6408" width="9.5703125" style="110" customWidth="1"/>
    <col min="6409" max="6409" width="3.7109375" style="110" customWidth="1"/>
    <col min="6410" max="6410" width="18" style="110" customWidth="1"/>
    <col min="6411" max="6411" width="3.5703125" style="110" customWidth="1"/>
    <col min="6412" max="6412" width="11.7109375" style="110" customWidth="1"/>
    <col min="6413" max="6413" width="10.7109375" style="110" customWidth="1"/>
    <col min="6414" max="6414" width="11.140625" style="110" customWidth="1"/>
    <col min="6415" max="6415" width="10.5703125" style="110" customWidth="1"/>
    <col min="6416" max="6416" width="9.7109375" style="110" bestFit="1" customWidth="1"/>
    <col min="6417" max="6660" width="9.140625" style="110"/>
    <col min="6661" max="6661" width="5" style="110" customWidth="1"/>
    <col min="6662" max="6662" width="21.85546875" style="110" customWidth="1"/>
    <col min="6663" max="6663" width="6.7109375" style="110" customWidth="1"/>
    <col min="6664" max="6664" width="9.5703125" style="110" customWidth="1"/>
    <col min="6665" max="6665" width="3.7109375" style="110" customWidth="1"/>
    <col min="6666" max="6666" width="18" style="110" customWidth="1"/>
    <col min="6667" max="6667" width="3.5703125" style="110" customWidth="1"/>
    <col min="6668" max="6668" width="11.7109375" style="110" customWidth="1"/>
    <col min="6669" max="6669" width="10.7109375" style="110" customWidth="1"/>
    <col min="6670" max="6670" width="11.140625" style="110" customWidth="1"/>
    <col min="6671" max="6671" width="10.5703125" style="110" customWidth="1"/>
    <col min="6672" max="6672" width="9.7109375" style="110" bestFit="1" customWidth="1"/>
    <col min="6673" max="6916" width="9.140625" style="110"/>
    <col min="6917" max="6917" width="5" style="110" customWidth="1"/>
    <col min="6918" max="6918" width="21.85546875" style="110" customWidth="1"/>
    <col min="6919" max="6919" width="6.7109375" style="110" customWidth="1"/>
    <col min="6920" max="6920" width="9.5703125" style="110" customWidth="1"/>
    <col min="6921" max="6921" width="3.7109375" style="110" customWidth="1"/>
    <col min="6922" max="6922" width="18" style="110" customWidth="1"/>
    <col min="6923" max="6923" width="3.5703125" style="110" customWidth="1"/>
    <col min="6924" max="6924" width="11.7109375" style="110" customWidth="1"/>
    <col min="6925" max="6925" width="10.7109375" style="110" customWidth="1"/>
    <col min="6926" max="6926" width="11.140625" style="110" customWidth="1"/>
    <col min="6927" max="6927" width="10.5703125" style="110" customWidth="1"/>
    <col min="6928" max="6928" width="9.7109375" style="110" bestFit="1" customWidth="1"/>
    <col min="6929" max="7172" width="9.140625" style="110"/>
    <col min="7173" max="7173" width="5" style="110" customWidth="1"/>
    <col min="7174" max="7174" width="21.85546875" style="110" customWidth="1"/>
    <col min="7175" max="7175" width="6.7109375" style="110" customWidth="1"/>
    <col min="7176" max="7176" width="9.5703125" style="110" customWidth="1"/>
    <col min="7177" max="7177" width="3.7109375" style="110" customWidth="1"/>
    <col min="7178" max="7178" width="18" style="110" customWidth="1"/>
    <col min="7179" max="7179" width="3.5703125" style="110" customWidth="1"/>
    <col min="7180" max="7180" width="11.7109375" style="110" customWidth="1"/>
    <col min="7181" max="7181" width="10.7109375" style="110" customWidth="1"/>
    <col min="7182" max="7182" width="11.140625" style="110" customWidth="1"/>
    <col min="7183" max="7183" width="10.5703125" style="110" customWidth="1"/>
    <col min="7184" max="7184" width="9.7109375" style="110" bestFit="1" customWidth="1"/>
    <col min="7185" max="7428" width="9.140625" style="110"/>
    <col min="7429" max="7429" width="5" style="110" customWidth="1"/>
    <col min="7430" max="7430" width="21.85546875" style="110" customWidth="1"/>
    <col min="7431" max="7431" width="6.7109375" style="110" customWidth="1"/>
    <col min="7432" max="7432" width="9.5703125" style="110" customWidth="1"/>
    <col min="7433" max="7433" width="3.7109375" style="110" customWidth="1"/>
    <col min="7434" max="7434" width="18" style="110" customWidth="1"/>
    <col min="7435" max="7435" width="3.5703125" style="110" customWidth="1"/>
    <col min="7436" max="7436" width="11.7109375" style="110" customWidth="1"/>
    <col min="7437" max="7437" width="10.7109375" style="110" customWidth="1"/>
    <col min="7438" max="7438" width="11.140625" style="110" customWidth="1"/>
    <col min="7439" max="7439" width="10.5703125" style="110" customWidth="1"/>
    <col min="7440" max="7440" width="9.7109375" style="110" bestFit="1" customWidth="1"/>
    <col min="7441" max="7684" width="9.140625" style="110"/>
    <col min="7685" max="7685" width="5" style="110" customWidth="1"/>
    <col min="7686" max="7686" width="21.85546875" style="110" customWidth="1"/>
    <col min="7687" max="7687" width="6.7109375" style="110" customWidth="1"/>
    <col min="7688" max="7688" width="9.5703125" style="110" customWidth="1"/>
    <col min="7689" max="7689" width="3.7109375" style="110" customWidth="1"/>
    <col min="7690" max="7690" width="18" style="110" customWidth="1"/>
    <col min="7691" max="7691" width="3.5703125" style="110" customWidth="1"/>
    <col min="7692" max="7692" width="11.7109375" style="110" customWidth="1"/>
    <col min="7693" max="7693" width="10.7109375" style="110" customWidth="1"/>
    <col min="7694" max="7694" width="11.140625" style="110" customWidth="1"/>
    <col min="7695" max="7695" width="10.5703125" style="110" customWidth="1"/>
    <col min="7696" max="7696" width="9.7109375" style="110" bestFit="1" customWidth="1"/>
    <col min="7697" max="7940" width="9.140625" style="110"/>
    <col min="7941" max="7941" width="5" style="110" customWidth="1"/>
    <col min="7942" max="7942" width="21.85546875" style="110" customWidth="1"/>
    <col min="7943" max="7943" width="6.7109375" style="110" customWidth="1"/>
    <col min="7944" max="7944" width="9.5703125" style="110" customWidth="1"/>
    <col min="7945" max="7945" width="3.7109375" style="110" customWidth="1"/>
    <col min="7946" max="7946" width="18" style="110" customWidth="1"/>
    <col min="7947" max="7947" width="3.5703125" style="110" customWidth="1"/>
    <col min="7948" max="7948" width="11.7109375" style="110" customWidth="1"/>
    <col min="7949" max="7949" width="10.7109375" style="110" customWidth="1"/>
    <col min="7950" max="7950" width="11.140625" style="110" customWidth="1"/>
    <col min="7951" max="7951" width="10.5703125" style="110" customWidth="1"/>
    <col min="7952" max="7952" width="9.7109375" style="110" bestFit="1" customWidth="1"/>
    <col min="7953" max="8196" width="9.140625" style="110"/>
    <col min="8197" max="8197" width="5" style="110" customWidth="1"/>
    <col min="8198" max="8198" width="21.85546875" style="110" customWidth="1"/>
    <col min="8199" max="8199" width="6.7109375" style="110" customWidth="1"/>
    <col min="8200" max="8200" width="9.5703125" style="110" customWidth="1"/>
    <col min="8201" max="8201" width="3.7109375" style="110" customWidth="1"/>
    <col min="8202" max="8202" width="18" style="110" customWidth="1"/>
    <col min="8203" max="8203" width="3.5703125" style="110" customWidth="1"/>
    <col min="8204" max="8204" width="11.7109375" style="110" customWidth="1"/>
    <col min="8205" max="8205" width="10.7109375" style="110" customWidth="1"/>
    <col min="8206" max="8206" width="11.140625" style="110" customWidth="1"/>
    <col min="8207" max="8207" width="10.5703125" style="110" customWidth="1"/>
    <col min="8208" max="8208" width="9.7109375" style="110" bestFit="1" customWidth="1"/>
    <col min="8209" max="8452" width="9.140625" style="110"/>
    <col min="8453" max="8453" width="5" style="110" customWidth="1"/>
    <col min="8454" max="8454" width="21.85546875" style="110" customWidth="1"/>
    <col min="8455" max="8455" width="6.7109375" style="110" customWidth="1"/>
    <col min="8456" max="8456" width="9.5703125" style="110" customWidth="1"/>
    <col min="8457" max="8457" width="3.7109375" style="110" customWidth="1"/>
    <col min="8458" max="8458" width="18" style="110" customWidth="1"/>
    <col min="8459" max="8459" width="3.5703125" style="110" customWidth="1"/>
    <col min="8460" max="8460" width="11.7109375" style="110" customWidth="1"/>
    <col min="8461" max="8461" width="10.7109375" style="110" customWidth="1"/>
    <col min="8462" max="8462" width="11.140625" style="110" customWidth="1"/>
    <col min="8463" max="8463" width="10.5703125" style="110" customWidth="1"/>
    <col min="8464" max="8464" width="9.7109375" style="110" bestFit="1" customWidth="1"/>
    <col min="8465" max="8708" width="9.140625" style="110"/>
    <col min="8709" max="8709" width="5" style="110" customWidth="1"/>
    <col min="8710" max="8710" width="21.85546875" style="110" customWidth="1"/>
    <col min="8711" max="8711" width="6.7109375" style="110" customWidth="1"/>
    <col min="8712" max="8712" width="9.5703125" style="110" customWidth="1"/>
    <col min="8713" max="8713" width="3.7109375" style="110" customWidth="1"/>
    <col min="8714" max="8714" width="18" style="110" customWidth="1"/>
    <col min="8715" max="8715" width="3.5703125" style="110" customWidth="1"/>
    <col min="8716" max="8716" width="11.7109375" style="110" customWidth="1"/>
    <col min="8717" max="8717" width="10.7109375" style="110" customWidth="1"/>
    <col min="8718" max="8718" width="11.140625" style="110" customWidth="1"/>
    <col min="8719" max="8719" width="10.5703125" style="110" customWidth="1"/>
    <col min="8720" max="8720" width="9.7109375" style="110" bestFit="1" customWidth="1"/>
    <col min="8721" max="8964" width="9.140625" style="110"/>
    <col min="8965" max="8965" width="5" style="110" customWidth="1"/>
    <col min="8966" max="8966" width="21.85546875" style="110" customWidth="1"/>
    <col min="8967" max="8967" width="6.7109375" style="110" customWidth="1"/>
    <col min="8968" max="8968" width="9.5703125" style="110" customWidth="1"/>
    <col min="8969" max="8969" width="3.7109375" style="110" customWidth="1"/>
    <col min="8970" max="8970" width="18" style="110" customWidth="1"/>
    <col min="8971" max="8971" width="3.5703125" style="110" customWidth="1"/>
    <col min="8972" max="8972" width="11.7109375" style="110" customWidth="1"/>
    <col min="8973" max="8973" width="10.7109375" style="110" customWidth="1"/>
    <col min="8974" max="8974" width="11.140625" style="110" customWidth="1"/>
    <col min="8975" max="8975" width="10.5703125" style="110" customWidth="1"/>
    <col min="8976" max="8976" width="9.7109375" style="110" bestFit="1" customWidth="1"/>
    <col min="8977" max="9220" width="9.140625" style="110"/>
    <col min="9221" max="9221" width="5" style="110" customWidth="1"/>
    <col min="9222" max="9222" width="21.85546875" style="110" customWidth="1"/>
    <col min="9223" max="9223" width="6.7109375" style="110" customWidth="1"/>
    <col min="9224" max="9224" width="9.5703125" style="110" customWidth="1"/>
    <col min="9225" max="9225" width="3.7109375" style="110" customWidth="1"/>
    <col min="9226" max="9226" width="18" style="110" customWidth="1"/>
    <col min="9227" max="9227" width="3.5703125" style="110" customWidth="1"/>
    <col min="9228" max="9228" width="11.7109375" style="110" customWidth="1"/>
    <col min="9229" max="9229" width="10.7109375" style="110" customWidth="1"/>
    <col min="9230" max="9230" width="11.140625" style="110" customWidth="1"/>
    <col min="9231" max="9231" width="10.5703125" style="110" customWidth="1"/>
    <col min="9232" max="9232" width="9.7109375" style="110" bestFit="1" customWidth="1"/>
    <col min="9233" max="9476" width="9.140625" style="110"/>
    <col min="9477" max="9477" width="5" style="110" customWidth="1"/>
    <col min="9478" max="9478" width="21.85546875" style="110" customWidth="1"/>
    <col min="9479" max="9479" width="6.7109375" style="110" customWidth="1"/>
    <col min="9480" max="9480" width="9.5703125" style="110" customWidth="1"/>
    <col min="9481" max="9481" width="3.7109375" style="110" customWidth="1"/>
    <col min="9482" max="9482" width="18" style="110" customWidth="1"/>
    <col min="9483" max="9483" width="3.5703125" style="110" customWidth="1"/>
    <col min="9484" max="9484" width="11.7109375" style="110" customWidth="1"/>
    <col min="9485" max="9485" width="10.7109375" style="110" customWidth="1"/>
    <col min="9486" max="9486" width="11.140625" style="110" customWidth="1"/>
    <col min="9487" max="9487" width="10.5703125" style="110" customWidth="1"/>
    <col min="9488" max="9488" width="9.7109375" style="110" bestFit="1" customWidth="1"/>
    <col min="9489" max="9732" width="9.140625" style="110"/>
    <col min="9733" max="9733" width="5" style="110" customWidth="1"/>
    <col min="9734" max="9734" width="21.85546875" style="110" customWidth="1"/>
    <col min="9735" max="9735" width="6.7109375" style="110" customWidth="1"/>
    <col min="9736" max="9736" width="9.5703125" style="110" customWidth="1"/>
    <col min="9737" max="9737" width="3.7109375" style="110" customWidth="1"/>
    <col min="9738" max="9738" width="18" style="110" customWidth="1"/>
    <col min="9739" max="9739" width="3.5703125" style="110" customWidth="1"/>
    <col min="9740" max="9740" width="11.7109375" style="110" customWidth="1"/>
    <col min="9741" max="9741" width="10.7109375" style="110" customWidth="1"/>
    <col min="9742" max="9742" width="11.140625" style="110" customWidth="1"/>
    <col min="9743" max="9743" width="10.5703125" style="110" customWidth="1"/>
    <col min="9744" max="9744" width="9.7109375" style="110" bestFit="1" customWidth="1"/>
    <col min="9745" max="9988" width="9.140625" style="110"/>
    <col min="9989" max="9989" width="5" style="110" customWidth="1"/>
    <col min="9990" max="9990" width="21.85546875" style="110" customWidth="1"/>
    <col min="9991" max="9991" width="6.7109375" style="110" customWidth="1"/>
    <col min="9992" max="9992" width="9.5703125" style="110" customWidth="1"/>
    <col min="9993" max="9993" width="3.7109375" style="110" customWidth="1"/>
    <col min="9994" max="9994" width="18" style="110" customWidth="1"/>
    <col min="9995" max="9995" width="3.5703125" style="110" customWidth="1"/>
    <col min="9996" max="9996" width="11.7109375" style="110" customWidth="1"/>
    <col min="9997" max="9997" width="10.7109375" style="110" customWidth="1"/>
    <col min="9998" max="9998" width="11.140625" style="110" customWidth="1"/>
    <col min="9999" max="9999" width="10.5703125" style="110" customWidth="1"/>
    <col min="10000" max="10000" width="9.7109375" style="110" bestFit="1" customWidth="1"/>
    <col min="10001" max="10244" width="9.140625" style="110"/>
    <col min="10245" max="10245" width="5" style="110" customWidth="1"/>
    <col min="10246" max="10246" width="21.85546875" style="110" customWidth="1"/>
    <col min="10247" max="10247" width="6.7109375" style="110" customWidth="1"/>
    <col min="10248" max="10248" width="9.5703125" style="110" customWidth="1"/>
    <col min="10249" max="10249" width="3.7109375" style="110" customWidth="1"/>
    <col min="10250" max="10250" width="18" style="110" customWidth="1"/>
    <col min="10251" max="10251" width="3.5703125" style="110" customWidth="1"/>
    <col min="10252" max="10252" width="11.7109375" style="110" customWidth="1"/>
    <col min="10253" max="10253" width="10.7109375" style="110" customWidth="1"/>
    <col min="10254" max="10254" width="11.140625" style="110" customWidth="1"/>
    <col min="10255" max="10255" width="10.5703125" style="110" customWidth="1"/>
    <col min="10256" max="10256" width="9.7109375" style="110" bestFit="1" customWidth="1"/>
    <col min="10257" max="10500" width="9.140625" style="110"/>
    <col min="10501" max="10501" width="5" style="110" customWidth="1"/>
    <col min="10502" max="10502" width="21.85546875" style="110" customWidth="1"/>
    <col min="10503" max="10503" width="6.7109375" style="110" customWidth="1"/>
    <col min="10504" max="10504" width="9.5703125" style="110" customWidth="1"/>
    <col min="10505" max="10505" width="3.7109375" style="110" customWidth="1"/>
    <col min="10506" max="10506" width="18" style="110" customWidth="1"/>
    <col min="10507" max="10507" width="3.5703125" style="110" customWidth="1"/>
    <col min="10508" max="10508" width="11.7109375" style="110" customWidth="1"/>
    <col min="10509" max="10509" width="10.7109375" style="110" customWidth="1"/>
    <col min="10510" max="10510" width="11.140625" style="110" customWidth="1"/>
    <col min="10511" max="10511" width="10.5703125" style="110" customWidth="1"/>
    <col min="10512" max="10512" width="9.7109375" style="110" bestFit="1" customWidth="1"/>
    <col min="10513" max="10756" width="9.140625" style="110"/>
    <col min="10757" max="10757" width="5" style="110" customWidth="1"/>
    <col min="10758" max="10758" width="21.85546875" style="110" customWidth="1"/>
    <col min="10759" max="10759" width="6.7109375" style="110" customWidth="1"/>
    <col min="10760" max="10760" width="9.5703125" style="110" customWidth="1"/>
    <col min="10761" max="10761" width="3.7109375" style="110" customWidth="1"/>
    <col min="10762" max="10762" width="18" style="110" customWidth="1"/>
    <col min="10763" max="10763" width="3.5703125" style="110" customWidth="1"/>
    <col min="10764" max="10764" width="11.7109375" style="110" customWidth="1"/>
    <col min="10765" max="10765" width="10.7109375" style="110" customWidth="1"/>
    <col min="10766" max="10766" width="11.140625" style="110" customWidth="1"/>
    <col min="10767" max="10767" width="10.5703125" style="110" customWidth="1"/>
    <col min="10768" max="10768" width="9.7109375" style="110" bestFit="1" customWidth="1"/>
    <col min="10769" max="11012" width="9.140625" style="110"/>
    <col min="11013" max="11013" width="5" style="110" customWidth="1"/>
    <col min="11014" max="11014" width="21.85546875" style="110" customWidth="1"/>
    <col min="11015" max="11015" width="6.7109375" style="110" customWidth="1"/>
    <col min="11016" max="11016" width="9.5703125" style="110" customWidth="1"/>
    <col min="11017" max="11017" width="3.7109375" style="110" customWidth="1"/>
    <col min="11018" max="11018" width="18" style="110" customWidth="1"/>
    <col min="11019" max="11019" width="3.5703125" style="110" customWidth="1"/>
    <col min="11020" max="11020" width="11.7109375" style="110" customWidth="1"/>
    <col min="11021" max="11021" width="10.7109375" style="110" customWidth="1"/>
    <col min="11022" max="11022" width="11.140625" style="110" customWidth="1"/>
    <col min="11023" max="11023" width="10.5703125" style="110" customWidth="1"/>
    <col min="11024" max="11024" width="9.7109375" style="110" bestFit="1" customWidth="1"/>
    <col min="11025" max="11268" width="9.140625" style="110"/>
    <col min="11269" max="11269" width="5" style="110" customWidth="1"/>
    <col min="11270" max="11270" width="21.85546875" style="110" customWidth="1"/>
    <col min="11271" max="11271" width="6.7109375" style="110" customWidth="1"/>
    <col min="11272" max="11272" width="9.5703125" style="110" customWidth="1"/>
    <col min="11273" max="11273" width="3.7109375" style="110" customWidth="1"/>
    <col min="11274" max="11274" width="18" style="110" customWidth="1"/>
    <col min="11275" max="11275" width="3.5703125" style="110" customWidth="1"/>
    <col min="11276" max="11276" width="11.7109375" style="110" customWidth="1"/>
    <col min="11277" max="11277" width="10.7109375" style="110" customWidth="1"/>
    <col min="11278" max="11278" width="11.140625" style="110" customWidth="1"/>
    <col min="11279" max="11279" width="10.5703125" style="110" customWidth="1"/>
    <col min="11280" max="11280" width="9.7109375" style="110" bestFit="1" customWidth="1"/>
    <col min="11281" max="11524" width="9.140625" style="110"/>
    <col min="11525" max="11525" width="5" style="110" customWidth="1"/>
    <col min="11526" max="11526" width="21.85546875" style="110" customWidth="1"/>
    <col min="11527" max="11527" width="6.7109375" style="110" customWidth="1"/>
    <col min="11528" max="11528" width="9.5703125" style="110" customWidth="1"/>
    <col min="11529" max="11529" width="3.7109375" style="110" customWidth="1"/>
    <col min="11530" max="11530" width="18" style="110" customWidth="1"/>
    <col min="11531" max="11531" width="3.5703125" style="110" customWidth="1"/>
    <col min="11532" max="11532" width="11.7109375" style="110" customWidth="1"/>
    <col min="11533" max="11533" width="10.7109375" style="110" customWidth="1"/>
    <col min="11534" max="11534" width="11.140625" style="110" customWidth="1"/>
    <col min="11535" max="11535" width="10.5703125" style="110" customWidth="1"/>
    <col min="11536" max="11536" width="9.7109375" style="110" bestFit="1" customWidth="1"/>
    <col min="11537" max="11780" width="9.140625" style="110"/>
    <col min="11781" max="11781" width="5" style="110" customWidth="1"/>
    <col min="11782" max="11782" width="21.85546875" style="110" customWidth="1"/>
    <col min="11783" max="11783" width="6.7109375" style="110" customWidth="1"/>
    <col min="11784" max="11784" width="9.5703125" style="110" customWidth="1"/>
    <col min="11785" max="11785" width="3.7109375" style="110" customWidth="1"/>
    <col min="11786" max="11786" width="18" style="110" customWidth="1"/>
    <col min="11787" max="11787" width="3.5703125" style="110" customWidth="1"/>
    <col min="11788" max="11788" width="11.7109375" style="110" customWidth="1"/>
    <col min="11789" max="11789" width="10.7109375" style="110" customWidth="1"/>
    <col min="11790" max="11790" width="11.140625" style="110" customWidth="1"/>
    <col min="11791" max="11791" width="10.5703125" style="110" customWidth="1"/>
    <col min="11792" max="11792" width="9.7109375" style="110" bestFit="1" customWidth="1"/>
    <col min="11793" max="12036" width="9.140625" style="110"/>
    <col min="12037" max="12037" width="5" style="110" customWidth="1"/>
    <col min="12038" max="12038" width="21.85546875" style="110" customWidth="1"/>
    <col min="12039" max="12039" width="6.7109375" style="110" customWidth="1"/>
    <col min="12040" max="12040" width="9.5703125" style="110" customWidth="1"/>
    <col min="12041" max="12041" width="3.7109375" style="110" customWidth="1"/>
    <col min="12042" max="12042" width="18" style="110" customWidth="1"/>
    <col min="12043" max="12043" width="3.5703125" style="110" customWidth="1"/>
    <col min="12044" max="12044" width="11.7109375" style="110" customWidth="1"/>
    <col min="12045" max="12045" width="10.7109375" style="110" customWidth="1"/>
    <col min="12046" max="12046" width="11.140625" style="110" customWidth="1"/>
    <col min="12047" max="12047" width="10.5703125" style="110" customWidth="1"/>
    <col min="12048" max="12048" width="9.7109375" style="110" bestFit="1" customWidth="1"/>
    <col min="12049" max="12292" width="9.140625" style="110"/>
    <col min="12293" max="12293" width="5" style="110" customWidth="1"/>
    <col min="12294" max="12294" width="21.85546875" style="110" customWidth="1"/>
    <col min="12295" max="12295" width="6.7109375" style="110" customWidth="1"/>
    <col min="12296" max="12296" width="9.5703125" style="110" customWidth="1"/>
    <col min="12297" max="12297" width="3.7109375" style="110" customWidth="1"/>
    <col min="12298" max="12298" width="18" style="110" customWidth="1"/>
    <col min="12299" max="12299" width="3.5703125" style="110" customWidth="1"/>
    <col min="12300" max="12300" width="11.7109375" style="110" customWidth="1"/>
    <col min="12301" max="12301" width="10.7109375" style="110" customWidth="1"/>
    <col min="12302" max="12302" width="11.140625" style="110" customWidth="1"/>
    <col min="12303" max="12303" width="10.5703125" style="110" customWidth="1"/>
    <col min="12304" max="12304" width="9.7109375" style="110" bestFit="1" customWidth="1"/>
    <col min="12305" max="12548" width="9.140625" style="110"/>
    <col min="12549" max="12549" width="5" style="110" customWidth="1"/>
    <col min="12550" max="12550" width="21.85546875" style="110" customWidth="1"/>
    <col min="12551" max="12551" width="6.7109375" style="110" customWidth="1"/>
    <col min="12552" max="12552" width="9.5703125" style="110" customWidth="1"/>
    <col min="12553" max="12553" width="3.7109375" style="110" customWidth="1"/>
    <col min="12554" max="12554" width="18" style="110" customWidth="1"/>
    <col min="12555" max="12555" width="3.5703125" style="110" customWidth="1"/>
    <col min="12556" max="12556" width="11.7109375" style="110" customWidth="1"/>
    <col min="12557" max="12557" width="10.7109375" style="110" customWidth="1"/>
    <col min="12558" max="12558" width="11.140625" style="110" customWidth="1"/>
    <col min="12559" max="12559" width="10.5703125" style="110" customWidth="1"/>
    <col min="12560" max="12560" width="9.7109375" style="110" bestFit="1" customWidth="1"/>
    <col min="12561" max="12804" width="9.140625" style="110"/>
    <col min="12805" max="12805" width="5" style="110" customWidth="1"/>
    <col min="12806" max="12806" width="21.85546875" style="110" customWidth="1"/>
    <col min="12807" max="12807" width="6.7109375" style="110" customWidth="1"/>
    <col min="12808" max="12808" width="9.5703125" style="110" customWidth="1"/>
    <col min="12809" max="12809" width="3.7109375" style="110" customWidth="1"/>
    <col min="12810" max="12810" width="18" style="110" customWidth="1"/>
    <col min="12811" max="12811" width="3.5703125" style="110" customWidth="1"/>
    <col min="12812" max="12812" width="11.7109375" style="110" customWidth="1"/>
    <col min="12813" max="12813" width="10.7109375" style="110" customWidth="1"/>
    <col min="12814" max="12814" width="11.140625" style="110" customWidth="1"/>
    <col min="12815" max="12815" width="10.5703125" style="110" customWidth="1"/>
    <col min="12816" max="12816" width="9.7109375" style="110" bestFit="1" customWidth="1"/>
    <col min="12817" max="13060" width="9.140625" style="110"/>
    <col min="13061" max="13061" width="5" style="110" customWidth="1"/>
    <col min="13062" max="13062" width="21.85546875" style="110" customWidth="1"/>
    <col min="13063" max="13063" width="6.7109375" style="110" customWidth="1"/>
    <col min="13064" max="13064" width="9.5703125" style="110" customWidth="1"/>
    <col min="13065" max="13065" width="3.7109375" style="110" customWidth="1"/>
    <col min="13066" max="13066" width="18" style="110" customWidth="1"/>
    <col min="13067" max="13067" width="3.5703125" style="110" customWidth="1"/>
    <col min="13068" max="13068" width="11.7109375" style="110" customWidth="1"/>
    <col min="13069" max="13069" width="10.7109375" style="110" customWidth="1"/>
    <col min="13070" max="13070" width="11.140625" style="110" customWidth="1"/>
    <col min="13071" max="13071" width="10.5703125" style="110" customWidth="1"/>
    <col min="13072" max="13072" width="9.7109375" style="110" bestFit="1" customWidth="1"/>
    <col min="13073" max="13316" width="9.140625" style="110"/>
    <col min="13317" max="13317" width="5" style="110" customWidth="1"/>
    <col min="13318" max="13318" width="21.85546875" style="110" customWidth="1"/>
    <col min="13319" max="13319" width="6.7109375" style="110" customWidth="1"/>
    <col min="13320" max="13320" width="9.5703125" style="110" customWidth="1"/>
    <col min="13321" max="13321" width="3.7109375" style="110" customWidth="1"/>
    <col min="13322" max="13322" width="18" style="110" customWidth="1"/>
    <col min="13323" max="13323" width="3.5703125" style="110" customWidth="1"/>
    <col min="13324" max="13324" width="11.7109375" style="110" customWidth="1"/>
    <col min="13325" max="13325" width="10.7109375" style="110" customWidth="1"/>
    <col min="13326" max="13326" width="11.140625" style="110" customWidth="1"/>
    <col min="13327" max="13327" width="10.5703125" style="110" customWidth="1"/>
    <col min="13328" max="13328" width="9.7109375" style="110" bestFit="1" customWidth="1"/>
    <col min="13329" max="13572" width="9.140625" style="110"/>
    <col min="13573" max="13573" width="5" style="110" customWidth="1"/>
    <col min="13574" max="13574" width="21.85546875" style="110" customWidth="1"/>
    <col min="13575" max="13575" width="6.7109375" style="110" customWidth="1"/>
    <col min="13576" max="13576" width="9.5703125" style="110" customWidth="1"/>
    <col min="13577" max="13577" width="3.7109375" style="110" customWidth="1"/>
    <col min="13578" max="13578" width="18" style="110" customWidth="1"/>
    <col min="13579" max="13579" width="3.5703125" style="110" customWidth="1"/>
    <col min="13580" max="13580" width="11.7109375" style="110" customWidth="1"/>
    <col min="13581" max="13581" width="10.7109375" style="110" customWidth="1"/>
    <col min="13582" max="13582" width="11.140625" style="110" customWidth="1"/>
    <col min="13583" max="13583" width="10.5703125" style="110" customWidth="1"/>
    <col min="13584" max="13584" width="9.7109375" style="110" bestFit="1" customWidth="1"/>
    <col min="13585" max="13828" width="9.140625" style="110"/>
    <col min="13829" max="13829" width="5" style="110" customWidth="1"/>
    <col min="13830" max="13830" width="21.85546875" style="110" customWidth="1"/>
    <col min="13831" max="13831" width="6.7109375" style="110" customWidth="1"/>
    <col min="13832" max="13832" width="9.5703125" style="110" customWidth="1"/>
    <col min="13833" max="13833" width="3.7109375" style="110" customWidth="1"/>
    <col min="13834" max="13834" width="18" style="110" customWidth="1"/>
    <col min="13835" max="13835" width="3.5703125" style="110" customWidth="1"/>
    <col min="13836" max="13836" width="11.7109375" style="110" customWidth="1"/>
    <col min="13837" max="13837" width="10.7109375" style="110" customWidth="1"/>
    <col min="13838" max="13838" width="11.140625" style="110" customWidth="1"/>
    <col min="13839" max="13839" width="10.5703125" style="110" customWidth="1"/>
    <col min="13840" max="13840" width="9.7109375" style="110" bestFit="1" customWidth="1"/>
    <col min="13841" max="14084" width="9.140625" style="110"/>
    <col min="14085" max="14085" width="5" style="110" customWidth="1"/>
    <col min="14086" max="14086" width="21.85546875" style="110" customWidth="1"/>
    <col min="14087" max="14087" width="6.7109375" style="110" customWidth="1"/>
    <col min="14088" max="14088" width="9.5703125" style="110" customWidth="1"/>
    <col min="14089" max="14089" width="3.7109375" style="110" customWidth="1"/>
    <col min="14090" max="14090" width="18" style="110" customWidth="1"/>
    <col min="14091" max="14091" width="3.5703125" style="110" customWidth="1"/>
    <col min="14092" max="14092" width="11.7109375" style="110" customWidth="1"/>
    <col min="14093" max="14093" width="10.7109375" style="110" customWidth="1"/>
    <col min="14094" max="14094" width="11.140625" style="110" customWidth="1"/>
    <col min="14095" max="14095" width="10.5703125" style="110" customWidth="1"/>
    <col min="14096" max="14096" width="9.7109375" style="110" bestFit="1" customWidth="1"/>
    <col min="14097" max="14340" width="9.140625" style="110"/>
    <col min="14341" max="14341" width="5" style="110" customWidth="1"/>
    <col min="14342" max="14342" width="21.85546875" style="110" customWidth="1"/>
    <col min="14343" max="14343" width="6.7109375" style="110" customWidth="1"/>
    <col min="14344" max="14344" width="9.5703125" style="110" customWidth="1"/>
    <col min="14345" max="14345" width="3.7109375" style="110" customWidth="1"/>
    <col min="14346" max="14346" width="18" style="110" customWidth="1"/>
    <col min="14347" max="14347" width="3.5703125" style="110" customWidth="1"/>
    <col min="14348" max="14348" width="11.7109375" style="110" customWidth="1"/>
    <col min="14349" max="14349" width="10.7109375" style="110" customWidth="1"/>
    <col min="14350" max="14350" width="11.140625" style="110" customWidth="1"/>
    <col min="14351" max="14351" width="10.5703125" style="110" customWidth="1"/>
    <col min="14352" max="14352" width="9.7109375" style="110" bestFit="1" customWidth="1"/>
    <col min="14353" max="14596" width="9.140625" style="110"/>
    <col min="14597" max="14597" width="5" style="110" customWidth="1"/>
    <col min="14598" max="14598" width="21.85546875" style="110" customWidth="1"/>
    <col min="14599" max="14599" width="6.7109375" style="110" customWidth="1"/>
    <col min="14600" max="14600" width="9.5703125" style="110" customWidth="1"/>
    <col min="14601" max="14601" width="3.7109375" style="110" customWidth="1"/>
    <col min="14602" max="14602" width="18" style="110" customWidth="1"/>
    <col min="14603" max="14603" width="3.5703125" style="110" customWidth="1"/>
    <col min="14604" max="14604" width="11.7109375" style="110" customWidth="1"/>
    <col min="14605" max="14605" width="10.7109375" style="110" customWidth="1"/>
    <col min="14606" max="14606" width="11.140625" style="110" customWidth="1"/>
    <col min="14607" max="14607" width="10.5703125" style="110" customWidth="1"/>
    <col min="14608" max="14608" width="9.7109375" style="110" bestFit="1" customWidth="1"/>
    <col min="14609" max="14852" width="9.140625" style="110"/>
    <col min="14853" max="14853" width="5" style="110" customWidth="1"/>
    <col min="14854" max="14854" width="21.85546875" style="110" customWidth="1"/>
    <col min="14855" max="14855" width="6.7109375" style="110" customWidth="1"/>
    <col min="14856" max="14856" width="9.5703125" style="110" customWidth="1"/>
    <col min="14857" max="14857" width="3.7109375" style="110" customWidth="1"/>
    <col min="14858" max="14858" width="18" style="110" customWidth="1"/>
    <col min="14859" max="14859" width="3.5703125" style="110" customWidth="1"/>
    <col min="14860" max="14860" width="11.7109375" style="110" customWidth="1"/>
    <col min="14861" max="14861" width="10.7109375" style="110" customWidth="1"/>
    <col min="14862" max="14862" width="11.140625" style="110" customWidth="1"/>
    <col min="14863" max="14863" width="10.5703125" style="110" customWidth="1"/>
    <col min="14864" max="14864" width="9.7109375" style="110" bestFit="1" customWidth="1"/>
    <col min="14865" max="15108" width="9.140625" style="110"/>
    <col min="15109" max="15109" width="5" style="110" customWidth="1"/>
    <col min="15110" max="15110" width="21.85546875" style="110" customWidth="1"/>
    <col min="15111" max="15111" width="6.7109375" style="110" customWidth="1"/>
    <col min="15112" max="15112" width="9.5703125" style="110" customWidth="1"/>
    <col min="15113" max="15113" width="3.7109375" style="110" customWidth="1"/>
    <col min="15114" max="15114" width="18" style="110" customWidth="1"/>
    <col min="15115" max="15115" width="3.5703125" style="110" customWidth="1"/>
    <col min="15116" max="15116" width="11.7109375" style="110" customWidth="1"/>
    <col min="15117" max="15117" width="10.7109375" style="110" customWidth="1"/>
    <col min="15118" max="15118" width="11.140625" style="110" customWidth="1"/>
    <col min="15119" max="15119" width="10.5703125" style="110" customWidth="1"/>
    <col min="15120" max="15120" width="9.7109375" style="110" bestFit="1" customWidth="1"/>
    <col min="15121" max="15364" width="9.140625" style="110"/>
    <col min="15365" max="15365" width="5" style="110" customWidth="1"/>
    <col min="15366" max="15366" width="21.85546875" style="110" customWidth="1"/>
    <col min="15367" max="15367" width="6.7109375" style="110" customWidth="1"/>
    <col min="15368" max="15368" width="9.5703125" style="110" customWidth="1"/>
    <col min="15369" max="15369" width="3.7109375" style="110" customWidth="1"/>
    <col min="15370" max="15370" width="18" style="110" customWidth="1"/>
    <col min="15371" max="15371" width="3.5703125" style="110" customWidth="1"/>
    <col min="15372" max="15372" width="11.7109375" style="110" customWidth="1"/>
    <col min="15373" max="15373" width="10.7109375" style="110" customWidth="1"/>
    <col min="15374" max="15374" width="11.140625" style="110" customWidth="1"/>
    <col min="15375" max="15375" width="10.5703125" style="110" customWidth="1"/>
    <col min="15376" max="15376" width="9.7109375" style="110" bestFit="1" customWidth="1"/>
    <col min="15377" max="15620" width="9.140625" style="110"/>
    <col min="15621" max="15621" width="5" style="110" customWidth="1"/>
    <col min="15622" max="15622" width="21.85546875" style="110" customWidth="1"/>
    <col min="15623" max="15623" width="6.7109375" style="110" customWidth="1"/>
    <col min="15624" max="15624" width="9.5703125" style="110" customWidth="1"/>
    <col min="15625" max="15625" width="3.7109375" style="110" customWidth="1"/>
    <col min="15626" max="15626" width="18" style="110" customWidth="1"/>
    <col min="15627" max="15627" width="3.5703125" style="110" customWidth="1"/>
    <col min="15628" max="15628" width="11.7109375" style="110" customWidth="1"/>
    <col min="15629" max="15629" width="10.7109375" style="110" customWidth="1"/>
    <col min="15630" max="15630" width="11.140625" style="110" customWidth="1"/>
    <col min="15631" max="15631" width="10.5703125" style="110" customWidth="1"/>
    <col min="15632" max="15632" width="9.7109375" style="110" bestFit="1" customWidth="1"/>
    <col min="15633" max="15876" width="9.140625" style="110"/>
    <col min="15877" max="15877" width="5" style="110" customWidth="1"/>
    <col min="15878" max="15878" width="21.85546875" style="110" customWidth="1"/>
    <col min="15879" max="15879" width="6.7109375" style="110" customWidth="1"/>
    <col min="15880" max="15880" width="9.5703125" style="110" customWidth="1"/>
    <col min="15881" max="15881" width="3.7109375" style="110" customWidth="1"/>
    <col min="15882" max="15882" width="18" style="110" customWidth="1"/>
    <col min="15883" max="15883" width="3.5703125" style="110" customWidth="1"/>
    <col min="15884" max="15884" width="11.7109375" style="110" customWidth="1"/>
    <col min="15885" max="15885" width="10.7109375" style="110" customWidth="1"/>
    <col min="15886" max="15886" width="11.140625" style="110" customWidth="1"/>
    <col min="15887" max="15887" width="10.5703125" style="110" customWidth="1"/>
    <col min="15888" max="15888" width="9.7109375" style="110" bestFit="1" customWidth="1"/>
    <col min="15889" max="16132" width="9.140625" style="110"/>
    <col min="16133" max="16133" width="5" style="110" customWidth="1"/>
    <col min="16134" max="16134" width="21.85546875" style="110" customWidth="1"/>
    <col min="16135" max="16135" width="6.7109375" style="110" customWidth="1"/>
    <col min="16136" max="16136" width="9.5703125" style="110" customWidth="1"/>
    <col min="16137" max="16137" width="3.7109375" style="110" customWidth="1"/>
    <col min="16138" max="16138" width="18" style="110" customWidth="1"/>
    <col min="16139" max="16139" width="3.5703125" style="110" customWidth="1"/>
    <col min="16140" max="16140" width="11.7109375" style="110" customWidth="1"/>
    <col min="16141" max="16141" width="10.7109375" style="110" customWidth="1"/>
    <col min="16142" max="16142" width="11.140625" style="110" customWidth="1"/>
    <col min="16143" max="16143" width="10.5703125" style="110" customWidth="1"/>
    <col min="16144" max="16144" width="9.7109375" style="110" bestFit="1" customWidth="1"/>
    <col min="16145" max="16384" width="9.140625" style="110"/>
  </cols>
  <sheetData>
    <row r="1" spans="1:16" ht="21.75" customHeight="1">
      <c r="A1" s="1139" t="s">
        <v>136</v>
      </c>
      <c r="B1" s="1140"/>
      <c r="C1" s="1140"/>
      <c r="D1" s="1140"/>
      <c r="E1" s="1140"/>
      <c r="F1" s="1140"/>
      <c r="G1" s="1140"/>
      <c r="H1" s="1140"/>
      <c r="I1" s="1140"/>
      <c r="J1" s="1140"/>
      <c r="K1" s="1140"/>
      <c r="L1" s="1140"/>
      <c r="M1" s="1140"/>
      <c r="N1" s="1140"/>
      <c r="O1" s="1140"/>
    </row>
    <row r="2" spans="1:16" ht="55.5" customHeight="1">
      <c r="A2" s="1141" t="str">
        <f>'lead 2025-26'!B3&amp;'lead 2025-26'!C3</f>
        <v>Name of the work : Providing BT Surface to the road from Inimerla SC colony to National Highway at Nuchupoda in Inimerla GP of Pamuru Mandal.</v>
      </c>
      <c r="B2" s="1141"/>
      <c r="C2" s="1141"/>
      <c r="D2" s="1141"/>
      <c r="E2" s="1141"/>
      <c r="F2" s="1141"/>
      <c r="G2" s="1141"/>
      <c r="H2" s="1141"/>
      <c r="I2" s="1141"/>
      <c r="J2" s="1141"/>
      <c r="K2" s="1141"/>
      <c r="L2" s="1141"/>
      <c r="M2" s="1141"/>
      <c r="N2" s="1141"/>
      <c r="O2" s="1141"/>
    </row>
    <row r="3" spans="1:16" ht="21" customHeight="1">
      <c r="A3" s="111"/>
      <c r="B3" s="134"/>
      <c r="C3" s="133"/>
      <c r="D3" s="132"/>
      <c r="E3" s="111"/>
      <c r="F3" s="111"/>
      <c r="G3" s="112"/>
      <c r="J3" s="284"/>
      <c r="K3" s="343"/>
      <c r="L3" s="283" t="s">
        <v>93</v>
      </c>
      <c r="M3" s="1145" t="str">
        <f>'lead 2025-26'!K4</f>
        <v>140.00 Lakhs</v>
      </c>
      <c r="N3" s="1145"/>
      <c r="O3" s="284"/>
    </row>
    <row r="4" spans="1:16" s="115" customFormat="1" ht="36.75" customHeight="1">
      <c r="A4" s="113" t="s">
        <v>35</v>
      </c>
      <c r="B4" s="1142" t="s">
        <v>15</v>
      </c>
      <c r="C4" s="1143"/>
      <c r="D4" s="1143"/>
      <c r="E4" s="1143"/>
      <c r="F4" s="1144"/>
      <c r="G4" s="114"/>
      <c r="H4" s="285" t="s">
        <v>266</v>
      </c>
      <c r="I4" s="285" t="s">
        <v>61</v>
      </c>
      <c r="J4" s="285" t="s">
        <v>96</v>
      </c>
      <c r="K4" s="285" t="s">
        <v>433</v>
      </c>
      <c r="L4" s="285" t="s">
        <v>343</v>
      </c>
      <c r="M4" s="285" t="s">
        <v>344</v>
      </c>
      <c r="N4" s="285" t="s">
        <v>902</v>
      </c>
      <c r="O4" s="285" t="s">
        <v>34</v>
      </c>
    </row>
    <row r="5" spans="1:16" s="117" customFormat="1" ht="32.25" hidden="1" customHeight="1">
      <c r="A5" s="116">
        <v>5</v>
      </c>
      <c r="B5" s="118" t="s">
        <v>900</v>
      </c>
      <c r="C5" s="119" t="s">
        <v>266</v>
      </c>
      <c r="D5" s="120">
        <f>MAIN!I21</f>
        <v>0</v>
      </c>
      <c r="E5" s="121"/>
      <c r="F5" s="122"/>
      <c r="G5" s="123" t="s">
        <v>94</v>
      </c>
      <c r="H5" s="120">
        <f>D5</f>
        <v>0</v>
      </c>
      <c r="I5" s="120"/>
      <c r="J5" s="120"/>
      <c r="K5" s="120"/>
      <c r="L5" s="120"/>
      <c r="M5" s="120"/>
      <c r="N5" s="120"/>
      <c r="O5" s="120"/>
      <c r="P5" s="282"/>
    </row>
    <row r="6" spans="1:16" s="117" customFormat="1" ht="32.25" customHeight="1">
      <c r="A6" s="116">
        <v>1</v>
      </c>
      <c r="B6" s="118" t="s">
        <v>901</v>
      </c>
      <c r="C6" s="119" t="s">
        <v>266</v>
      </c>
      <c r="D6" s="120">
        <f>MAIN!I25</f>
        <v>3360</v>
      </c>
      <c r="E6" s="121"/>
      <c r="F6" s="122"/>
      <c r="G6" s="123" t="s">
        <v>94</v>
      </c>
      <c r="H6" s="120">
        <f>D6</f>
        <v>3360</v>
      </c>
      <c r="I6" s="120"/>
      <c r="J6" s="120"/>
      <c r="K6" s="120"/>
      <c r="L6" s="120"/>
      <c r="M6" s="120"/>
      <c r="N6" s="120"/>
      <c r="O6" s="120"/>
      <c r="P6" s="282"/>
    </row>
    <row r="7" spans="1:16" s="117" customFormat="1" ht="32.25" hidden="1" customHeight="1">
      <c r="A7" s="116">
        <v>2</v>
      </c>
      <c r="B7" s="118" t="s">
        <v>1193</v>
      </c>
      <c r="C7" s="119" t="s">
        <v>266</v>
      </c>
      <c r="D7" s="120">
        <f>MAIN!I43</f>
        <v>0</v>
      </c>
      <c r="E7" s="121"/>
      <c r="F7" s="122"/>
      <c r="G7" s="123" t="s">
        <v>94</v>
      </c>
      <c r="H7" s="120">
        <f>D7</f>
        <v>0</v>
      </c>
      <c r="I7" s="120"/>
      <c r="J7" s="120"/>
      <c r="K7" s="120"/>
      <c r="L7" s="120"/>
      <c r="M7" s="120"/>
      <c r="N7" s="120"/>
      <c r="O7" s="120"/>
    </row>
    <row r="8" spans="1:16" s="117" customFormat="1" ht="20.25" customHeight="1">
      <c r="A8" s="116">
        <v>2</v>
      </c>
      <c r="B8" s="118" t="s">
        <v>96</v>
      </c>
      <c r="C8" s="119" t="s">
        <v>50</v>
      </c>
      <c r="D8" s="120">
        <f>MAIN!I47</f>
        <v>672</v>
      </c>
      <c r="E8" s="121" t="s">
        <v>46</v>
      </c>
      <c r="F8" s="122">
        <v>1.2</v>
      </c>
      <c r="G8" s="123" t="s">
        <v>94</v>
      </c>
      <c r="H8" s="302"/>
      <c r="I8" s="120"/>
      <c r="J8" s="120">
        <f>ROUND((D8*1.2)/1*1,2)</f>
        <v>806.4</v>
      </c>
      <c r="K8" s="120"/>
      <c r="L8" s="120"/>
      <c r="M8" s="120"/>
      <c r="N8" s="120"/>
      <c r="O8" s="745"/>
    </row>
    <row r="9" spans="1:16" s="117" customFormat="1" ht="20.25" customHeight="1">
      <c r="A9" s="116">
        <v>3</v>
      </c>
      <c r="B9" s="118" t="s">
        <v>760</v>
      </c>
      <c r="C9" s="119" t="s">
        <v>50</v>
      </c>
      <c r="D9" s="120">
        <f>MAIN!I51</f>
        <v>945</v>
      </c>
      <c r="E9" s="121" t="s">
        <v>46</v>
      </c>
      <c r="F9" s="122">
        <v>1.33</v>
      </c>
      <c r="G9" s="123" t="s">
        <v>94</v>
      </c>
      <c r="H9" s="302"/>
      <c r="I9" s="120"/>
      <c r="J9" s="120"/>
      <c r="K9" s="120"/>
      <c r="L9" s="120"/>
      <c r="M9" s="120"/>
      <c r="N9" s="120">
        <f>ROUND((D9*1.33)/1*1,2)</f>
        <v>1256.8499999999999</v>
      </c>
      <c r="O9" s="745"/>
    </row>
    <row r="10" spans="1:16" s="117" customFormat="1" ht="20.25" hidden="1" customHeight="1">
      <c r="A10" s="116">
        <v>5</v>
      </c>
      <c r="B10" s="118" t="s">
        <v>1186</v>
      </c>
      <c r="C10" s="119" t="s">
        <v>50</v>
      </c>
      <c r="D10" s="120">
        <f>MAIN!I69</f>
        <v>0</v>
      </c>
      <c r="E10" s="121" t="s">
        <v>46</v>
      </c>
      <c r="F10" s="122">
        <v>1.42</v>
      </c>
      <c r="G10" s="123" t="s">
        <v>94</v>
      </c>
      <c r="H10" s="302"/>
      <c r="I10" s="120"/>
      <c r="J10" s="120"/>
      <c r="K10" s="120"/>
      <c r="L10" s="120"/>
      <c r="M10" s="120"/>
      <c r="N10" s="120">
        <f>ROUND((D10*F10)/1*1,2)</f>
        <v>0</v>
      </c>
      <c r="O10" s="745"/>
    </row>
    <row r="11" spans="1:16" s="117" customFormat="1" ht="20.25" customHeight="1">
      <c r="A11" s="116">
        <v>4</v>
      </c>
      <c r="B11" s="118" t="s">
        <v>761</v>
      </c>
      <c r="C11" s="119" t="s">
        <v>50</v>
      </c>
      <c r="D11" s="120">
        <f>MAIN!I73</f>
        <v>157.5</v>
      </c>
      <c r="E11" s="121" t="s">
        <v>46</v>
      </c>
      <c r="F11" s="122">
        <f>285/195</f>
        <v>1.4615384615384615</v>
      </c>
      <c r="G11" s="123" t="s">
        <v>94</v>
      </c>
      <c r="H11" s="302"/>
      <c r="I11" s="120"/>
      <c r="J11" s="120"/>
      <c r="K11" s="120"/>
      <c r="L11" s="120"/>
      <c r="M11" s="120"/>
      <c r="N11" s="120">
        <f>ROUND((D11*1.46)/1*1,2)</f>
        <v>229.95</v>
      </c>
      <c r="O11" s="745"/>
    </row>
    <row r="12" spans="1:16" s="117" customFormat="1" ht="32.25" customHeight="1">
      <c r="A12" s="116">
        <v>5</v>
      </c>
      <c r="B12" s="118" t="s">
        <v>903</v>
      </c>
      <c r="C12" s="119" t="s">
        <v>266</v>
      </c>
      <c r="D12" s="120">
        <f>MAIN!I77</f>
        <v>907.2</v>
      </c>
      <c r="E12" s="121"/>
      <c r="F12" s="122"/>
      <c r="G12" s="123" t="s">
        <v>94</v>
      </c>
      <c r="H12" s="120">
        <f>D12</f>
        <v>907.2</v>
      </c>
      <c r="I12" s="120"/>
      <c r="J12" s="120"/>
      <c r="K12" s="120"/>
      <c r="L12" s="120"/>
      <c r="M12" s="120"/>
      <c r="N12" s="120"/>
      <c r="O12" s="120"/>
    </row>
    <row r="13" spans="1:16" s="117" customFormat="1" ht="31.5" hidden="1" customHeight="1">
      <c r="A13" s="116">
        <v>8</v>
      </c>
      <c r="B13" s="118" t="s">
        <v>104</v>
      </c>
      <c r="C13" s="119" t="s">
        <v>50</v>
      </c>
      <c r="D13" s="120">
        <f>MAIN!I81</f>
        <v>0</v>
      </c>
      <c r="E13" s="121" t="s">
        <v>46</v>
      </c>
      <c r="F13" s="330">
        <v>0.59399999999999997</v>
      </c>
      <c r="G13" s="123" t="s">
        <v>94</v>
      </c>
      <c r="H13" s="282"/>
      <c r="I13" s="120"/>
      <c r="J13" s="120"/>
      <c r="K13" s="120"/>
      <c r="L13" s="120">
        <f>ROUND(D13*F13,2)</f>
        <v>0</v>
      </c>
      <c r="M13" s="120"/>
      <c r="N13" s="120"/>
      <c r="O13" s="745">
        <f>ROUND(D13*330/1000,2)</f>
        <v>0</v>
      </c>
    </row>
    <row r="14" spans="1:16" s="117" customFormat="1" ht="20.25" hidden="1" customHeight="1">
      <c r="A14" s="116"/>
      <c r="B14" s="118"/>
      <c r="C14" s="119" t="s">
        <v>50</v>
      </c>
      <c r="D14" s="120">
        <f>D13</f>
        <v>0</v>
      </c>
      <c r="E14" s="121" t="s">
        <v>46</v>
      </c>
      <c r="F14" s="330">
        <v>0.30599999999999999</v>
      </c>
      <c r="G14" s="123"/>
      <c r="H14" s="282"/>
      <c r="I14" s="120"/>
      <c r="J14" s="120"/>
      <c r="K14" s="120"/>
      <c r="L14" s="120"/>
      <c r="M14" s="120">
        <f>ROUND(D14*F14,2)</f>
        <v>0</v>
      </c>
      <c r="N14" s="120"/>
      <c r="O14" s="745"/>
    </row>
    <row r="15" spans="1:16" s="117" customFormat="1" ht="20.25" hidden="1" customHeight="1">
      <c r="A15" s="116"/>
      <c r="B15" s="118"/>
      <c r="C15" s="119" t="s">
        <v>61</v>
      </c>
      <c r="D15" s="120">
        <f>D14</f>
        <v>0</v>
      </c>
      <c r="E15" s="121" t="s">
        <v>46</v>
      </c>
      <c r="F15" s="122">
        <v>0.45</v>
      </c>
      <c r="G15" s="123" t="s">
        <v>94</v>
      </c>
      <c r="H15" s="282"/>
      <c r="I15" s="120">
        <f>ROUND(D15*F15,2)</f>
        <v>0</v>
      </c>
      <c r="J15" s="120"/>
      <c r="K15" s="120"/>
      <c r="L15" s="120"/>
      <c r="M15" s="120"/>
      <c r="N15" s="120"/>
      <c r="O15" s="745"/>
    </row>
    <row r="16" spans="1:16" s="117" customFormat="1" ht="24" hidden="1" customHeight="1">
      <c r="A16" s="116"/>
      <c r="B16" s="118" t="s">
        <v>904</v>
      </c>
      <c r="C16" s="119"/>
      <c r="D16" s="120"/>
      <c r="E16" s="121"/>
      <c r="F16" s="122"/>
      <c r="G16" s="123"/>
      <c r="H16" s="120"/>
      <c r="I16" s="120"/>
      <c r="J16" s="120"/>
      <c r="K16" s="120"/>
      <c r="L16" s="120"/>
      <c r="M16" s="120"/>
      <c r="N16" s="120"/>
      <c r="O16" s="120"/>
    </row>
    <row r="17" spans="1:16" s="117" customFormat="1" ht="32.25" hidden="1" customHeight="1">
      <c r="A17" s="116">
        <v>9</v>
      </c>
      <c r="B17" s="118" t="s">
        <v>654</v>
      </c>
      <c r="C17" s="119" t="s">
        <v>266</v>
      </c>
      <c r="D17" s="120">
        <f>'SUB-1'!I19</f>
        <v>0</v>
      </c>
      <c r="E17" s="121"/>
      <c r="F17" s="122"/>
      <c r="G17" s="123" t="s">
        <v>94</v>
      </c>
      <c r="H17" s="120">
        <f>D17</f>
        <v>0</v>
      </c>
      <c r="I17" s="120"/>
      <c r="J17" s="120"/>
      <c r="K17" s="120"/>
      <c r="L17" s="120"/>
      <c r="M17" s="120"/>
      <c r="N17" s="120"/>
      <c r="O17" s="120"/>
      <c r="P17" s="282"/>
    </row>
    <row r="18" spans="1:16" s="117" customFormat="1" ht="20.25" hidden="1" customHeight="1">
      <c r="A18" s="116">
        <v>10</v>
      </c>
      <c r="B18" s="118" t="s">
        <v>905</v>
      </c>
      <c r="C18" s="119" t="s">
        <v>50</v>
      </c>
      <c r="D18" s="120">
        <f>'SUB-1'!I26</f>
        <v>0</v>
      </c>
      <c r="E18" s="121" t="s">
        <v>46</v>
      </c>
      <c r="F18" s="330">
        <v>0.9</v>
      </c>
      <c r="G18" s="123" t="s">
        <v>94</v>
      </c>
      <c r="H18" s="282"/>
      <c r="I18" s="120"/>
      <c r="J18" s="120"/>
      <c r="K18" s="120">
        <f>ROUND(D18*F18,2)</f>
        <v>0</v>
      </c>
      <c r="L18" s="120"/>
      <c r="M18" s="120"/>
      <c r="N18" s="120"/>
      <c r="O18" s="745">
        <f>ROUND(D18*220/1000,2)</f>
        <v>0</v>
      </c>
    </row>
    <row r="19" spans="1:16" s="117" customFormat="1" ht="20.25" hidden="1" customHeight="1">
      <c r="A19" s="116"/>
      <c r="B19" s="118"/>
      <c r="C19" s="119" t="s">
        <v>61</v>
      </c>
      <c r="D19" s="120">
        <f>D18</f>
        <v>0</v>
      </c>
      <c r="E19" s="121" t="s">
        <v>46</v>
      </c>
      <c r="F19" s="122">
        <v>0.45</v>
      </c>
      <c r="G19" s="123" t="s">
        <v>94</v>
      </c>
      <c r="H19" s="282"/>
      <c r="I19" s="120">
        <f>ROUND(D19*F19,2)</f>
        <v>0</v>
      </c>
      <c r="J19" s="120"/>
      <c r="K19" s="120"/>
      <c r="L19" s="120"/>
      <c r="M19" s="120"/>
      <c r="N19" s="120"/>
      <c r="O19" s="745"/>
    </row>
    <row r="20" spans="1:16" s="117" customFormat="1" ht="20.25" hidden="1" customHeight="1">
      <c r="A20" s="116">
        <v>11</v>
      </c>
      <c r="B20" s="118" t="s">
        <v>434</v>
      </c>
      <c r="C20" s="119" t="s">
        <v>50</v>
      </c>
      <c r="D20" s="120">
        <f>'SUB-1'!I37</f>
        <v>0</v>
      </c>
      <c r="E20" s="121" t="s">
        <v>46</v>
      </c>
      <c r="F20" s="330">
        <v>0.48</v>
      </c>
      <c r="G20" s="123" t="s">
        <v>94</v>
      </c>
      <c r="H20" s="282"/>
      <c r="I20" s="120"/>
      <c r="J20" s="120"/>
      <c r="K20" s="120">
        <f>ROUND(D20*F20,2)</f>
        <v>0</v>
      </c>
      <c r="L20" s="120"/>
      <c r="M20" s="120"/>
      <c r="N20" s="120"/>
      <c r="O20" s="745">
        <f>ROUND(D20*275/1000,2)</f>
        <v>0</v>
      </c>
    </row>
    <row r="21" spans="1:16" s="117" customFormat="1" ht="20.25" hidden="1" customHeight="1">
      <c r="A21" s="116"/>
      <c r="B21" s="118"/>
      <c r="C21" s="119" t="s">
        <v>50</v>
      </c>
      <c r="D21" s="120">
        <f>D20</f>
        <v>0</v>
      </c>
      <c r="E21" s="121" t="s">
        <v>46</v>
      </c>
      <c r="F21" s="330">
        <v>0.24</v>
      </c>
      <c r="G21" s="123" t="s">
        <v>94</v>
      </c>
      <c r="H21" s="282"/>
      <c r="I21" s="120"/>
      <c r="J21" s="120"/>
      <c r="K21" s="120"/>
      <c r="L21" s="120">
        <f>ROUND(D21*F21,2)</f>
        <v>0</v>
      </c>
      <c r="M21" s="120"/>
      <c r="N21" s="120"/>
      <c r="O21" s="745"/>
    </row>
    <row r="22" spans="1:16" s="117" customFormat="1" ht="20.25" hidden="1" customHeight="1">
      <c r="A22" s="116"/>
      <c r="B22" s="118"/>
      <c r="C22" s="119" t="s">
        <v>50</v>
      </c>
      <c r="D22" s="120">
        <f>D21</f>
        <v>0</v>
      </c>
      <c r="E22" s="121" t="s">
        <v>46</v>
      </c>
      <c r="F22" s="330">
        <v>0.08</v>
      </c>
      <c r="G22" s="123" t="s">
        <v>94</v>
      </c>
      <c r="H22" s="282"/>
      <c r="I22" s="120"/>
      <c r="J22" s="120"/>
      <c r="K22" s="120"/>
      <c r="L22" s="120"/>
      <c r="M22" s="120">
        <f>ROUND(D22*F22,2)</f>
        <v>0</v>
      </c>
      <c r="N22" s="120"/>
      <c r="O22" s="745"/>
    </row>
    <row r="23" spans="1:16" s="117" customFormat="1" ht="20.25" hidden="1" customHeight="1">
      <c r="A23" s="116"/>
      <c r="B23" s="118"/>
      <c r="C23" s="119" t="s">
        <v>61</v>
      </c>
      <c r="D23" s="120">
        <f>D22</f>
        <v>0</v>
      </c>
      <c r="E23" s="121" t="s">
        <v>46</v>
      </c>
      <c r="F23" s="122">
        <v>0.48</v>
      </c>
      <c r="G23" s="123" t="s">
        <v>94</v>
      </c>
      <c r="H23" s="282"/>
      <c r="I23" s="120">
        <f>ROUND(D23*F23,2)</f>
        <v>0</v>
      </c>
      <c r="J23" s="120"/>
      <c r="K23" s="120"/>
      <c r="L23" s="120"/>
      <c r="M23" s="120"/>
      <c r="N23" s="120"/>
      <c r="O23" s="745"/>
    </row>
    <row r="24" spans="1:16" s="117" customFormat="1" ht="20.25" hidden="1" customHeight="1">
      <c r="A24" s="116">
        <v>10</v>
      </c>
      <c r="B24" s="118" t="s">
        <v>893</v>
      </c>
      <c r="C24" s="119" t="s">
        <v>50</v>
      </c>
      <c r="D24" s="120">
        <f>'SUB-1'!I42</f>
        <v>0</v>
      </c>
      <c r="E24" s="121" t="s">
        <v>46</v>
      </c>
      <c r="F24" s="330">
        <v>0.59399999999999997</v>
      </c>
      <c r="G24" s="123" t="s">
        <v>94</v>
      </c>
      <c r="H24" s="282"/>
      <c r="I24" s="120"/>
      <c r="J24" s="120"/>
      <c r="K24" s="120"/>
      <c r="L24" s="120">
        <f>ROUND(D24*F24,2)</f>
        <v>0</v>
      </c>
      <c r="M24" s="120"/>
      <c r="N24" s="120"/>
      <c r="O24" s="745">
        <f>ROUND(D24*403/1000,2)</f>
        <v>0</v>
      </c>
      <c r="P24" s="286">
        <f>ROUND(D24*403/1000,2)</f>
        <v>0</v>
      </c>
    </row>
    <row r="25" spans="1:16" s="117" customFormat="1" ht="20.25" hidden="1" customHeight="1">
      <c r="A25" s="116"/>
      <c r="B25" s="118"/>
      <c r="C25" s="119" t="s">
        <v>50</v>
      </c>
      <c r="D25" s="120">
        <f>D24</f>
        <v>0</v>
      </c>
      <c r="E25" s="121" t="s">
        <v>46</v>
      </c>
      <c r="F25" s="330">
        <v>0.30599999999999999</v>
      </c>
      <c r="G25" s="123" t="s">
        <v>94</v>
      </c>
      <c r="H25" s="282"/>
      <c r="I25" s="120"/>
      <c r="J25" s="120"/>
      <c r="K25" s="120"/>
      <c r="L25" s="120"/>
      <c r="M25" s="120">
        <f>ROUND(D25*F25,2)</f>
        <v>0</v>
      </c>
      <c r="N25" s="120"/>
      <c r="O25" s="120"/>
      <c r="P25" s="286"/>
    </row>
    <row r="26" spans="1:16" s="117" customFormat="1" ht="20.25" hidden="1" customHeight="1">
      <c r="A26" s="116"/>
      <c r="B26" s="118"/>
      <c r="C26" s="119" t="s">
        <v>61</v>
      </c>
      <c r="D26" s="120">
        <f>D25</f>
        <v>0</v>
      </c>
      <c r="E26" s="121" t="s">
        <v>46</v>
      </c>
      <c r="F26" s="122">
        <v>0.45</v>
      </c>
      <c r="G26" s="123" t="s">
        <v>94</v>
      </c>
      <c r="H26" s="282"/>
      <c r="I26" s="120">
        <f>ROUND(D26*F26,2)</f>
        <v>0</v>
      </c>
      <c r="J26" s="120"/>
      <c r="K26" s="120"/>
      <c r="L26" s="120"/>
      <c r="M26" s="120"/>
      <c r="N26" s="120"/>
      <c r="O26" s="120"/>
      <c r="P26" s="286"/>
    </row>
    <row r="27" spans="1:16" s="117" customFormat="1" ht="33" hidden="1" customHeight="1">
      <c r="A27" s="116">
        <v>11</v>
      </c>
      <c r="B27" s="118" t="s">
        <v>104</v>
      </c>
      <c r="C27" s="119" t="s">
        <v>50</v>
      </c>
      <c r="D27" s="120">
        <f>'SUB-1'!I55</f>
        <v>0</v>
      </c>
      <c r="E27" s="121" t="s">
        <v>46</v>
      </c>
      <c r="F27" s="330">
        <v>0.59399999999999997</v>
      </c>
      <c r="G27" s="123" t="s">
        <v>94</v>
      </c>
      <c r="H27" s="282"/>
      <c r="I27" s="120"/>
      <c r="J27" s="120"/>
      <c r="K27" s="120"/>
      <c r="L27" s="120">
        <f>ROUND(D27*F27,2)</f>
        <v>0</v>
      </c>
      <c r="M27" s="120"/>
      <c r="N27" s="120"/>
      <c r="O27" s="745">
        <f>ROUND(D27*330/1000,2)</f>
        <v>0</v>
      </c>
    </row>
    <row r="28" spans="1:16" s="117" customFormat="1" ht="20.25" hidden="1" customHeight="1">
      <c r="A28" s="116"/>
      <c r="B28" s="118"/>
      <c r="C28" s="119" t="s">
        <v>50</v>
      </c>
      <c r="D28" s="120">
        <f>D27</f>
        <v>0</v>
      </c>
      <c r="E28" s="121" t="s">
        <v>46</v>
      </c>
      <c r="F28" s="330">
        <v>0.30599999999999999</v>
      </c>
      <c r="G28" s="123"/>
      <c r="H28" s="282"/>
      <c r="I28" s="120"/>
      <c r="J28" s="120"/>
      <c r="K28" s="120"/>
      <c r="L28" s="120"/>
      <c r="M28" s="120">
        <f>ROUND(D28*F28,2)</f>
        <v>0</v>
      </c>
      <c r="N28" s="120"/>
      <c r="O28" s="745"/>
    </row>
    <row r="29" spans="1:16" s="117" customFormat="1" ht="20.25" hidden="1" customHeight="1">
      <c r="A29" s="116"/>
      <c r="B29" s="118"/>
      <c r="C29" s="119" t="s">
        <v>61</v>
      </c>
      <c r="D29" s="120">
        <f>D28</f>
        <v>0</v>
      </c>
      <c r="E29" s="121" t="s">
        <v>46</v>
      </c>
      <c r="F29" s="122">
        <v>0.45</v>
      </c>
      <c r="G29" s="123" t="s">
        <v>94</v>
      </c>
      <c r="H29" s="282"/>
      <c r="I29" s="120">
        <f>ROUND(D29*F29,2)</f>
        <v>0</v>
      </c>
      <c r="J29" s="120"/>
      <c r="K29" s="120"/>
      <c r="L29" s="120"/>
      <c r="M29" s="120"/>
      <c r="N29" s="120"/>
      <c r="O29" s="745"/>
    </row>
    <row r="30" spans="1:16" s="117" customFormat="1" ht="24" hidden="1" customHeight="1">
      <c r="A30" s="116"/>
      <c r="B30" s="118" t="s">
        <v>904</v>
      </c>
      <c r="C30" s="119"/>
      <c r="D30" s="120"/>
      <c r="E30" s="121"/>
      <c r="F30" s="122"/>
      <c r="G30" s="123"/>
      <c r="H30" s="120"/>
      <c r="I30" s="120"/>
      <c r="J30" s="120"/>
      <c r="K30" s="120"/>
      <c r="L30" s="120"/>
      <c r="M30" s="120"/>
      <c r="N30" s="120"/>
      <c r="O30" s="120"/>
    </row>
    <row r="31" spans="1:16" s="117" customFormat="1" ht="32.25" hidden="1" customHeight="1">
      <c r="A31" s="116">
        <v>12</v>
      </c>
      <c r="B31" s="118" t="s">
        <v>654</v>
      </c>
      <c r="C31" s="119" t="s">
        <v>266</v>
      </c>
      <c r="D31" s="120">
        <f>'SUB-2'!I15</f>
        <v>0</v>
      </c>
      <c r="E31" s="121"/>
      <c r="F31" s="122"/>
      <c r="G31" s="123" t="s">
        <v>94</v>
      </c>
      <c r="H31" s="120">
        <f>D31</f>
        <v>0</v>
      </c>
      <c r="I31" s="120"/>
      <c r="J31" s="120"/>
      <c r="K31" s="120"/>
      <c r="L31" s="120"/>
      <c r="M31" s="120"/>
      <c r="N31" s="120"/>
      <c r="O31" s="120"/>
      <c r="P31" s="282"/>
    </row>
    <row r="32" spans="1:16" s="117" customFormat="1" ht="20.25" hidden="1" customHeight="1">
      <c r="A32" s="116">
        <v>13</v>
      </c>
      <c r="B32" s="118" t="s">
        <v>905</v>
      </c>
      <c r="C32" s="119" t="s">
        <v>50</v>
      </c>
      <c r="D32" s="120">
        <f>'SUB-2'!I27</f>
        <v>0</v>
      </c>
      <c r="E32" s="121" t="s">
        <v>46</v>
      </c>
      <c r="F32" s="330">
        <v>0.9</v>
      </c>
      <c r="G32" s="123" t="s">
        <v>94</v>
      </c>
      <c r="H32" s="282"/>
      <c r="I32" s="120"/>
      <c r="J32" s="120"/>
      <c r="K32" s="120">
        <f>ROUND(D32*F32,2)</f>
        <v>0</v>
      </c>
      <c r="L32" s="120"/>
      <c r="M32" s="120"/>
      <c r="N32" s="120"/>
      <c r="O32" s="745">
        <f>ROUND(D32*220/1000,2)</f>
        <v>0</v>
      </c>
    </row>
    <row r="33" spans="1:16" s="117" customFormat="1" ht="20.25" hidden="1" customHeight="1">
      <c r="A33" s="116"/>
      <c r="B33" s="118"/>
      <c r="C33" s="119" t="s">
        <v>61</v>
      </c>
      <c r="D33" s="120">
        <f>D32</f>
        <v>0</v>
      </c>
      <c r="E33" s="121" t="s">
        <v>46</v>
      </c>
      <c r="F33" s="122">
        <v>0.45</v>
      </c>
      <c r="G33" s="123" t="s">
        <v>94</v>
      </c>
      <c r="H33" s="282"/>
      <c r="I33" s="120">
        <f>ROUND(D33*F33,2)</f>
        <v>0</v>
      </c>
      <c r="J33" s="120"/>
      <c r="K33" s="120"/>
      <c r="L33" s="120"/>
      <c r="M33" s="120"/>
      <c r="N33" s="120"/>
      <c r="O33" s="745"/>
    </row>
    <row r="34" spans="1:16" s="117" customFormat="1" ht="20.25" hidden="1" customHeight="1">
      <c r="A34" s="116">
        <v>14</v>
      </c>
      <c r="B34" s="118" t="s">
        <v>434</v>
      </c>
      <c r="C34" s="119" t="s">
        <v>50</v>
      </c>
      <c r="D34" s="120">
        <f>'SUB-2'!I44</f>
        <v>0</v>
      </c>
      <c r="E34" s="121" t="s">
        <v>46</v>
      </c>
      <c r="F34" s="330">
        <v>0.48</v>
      </c>
      <c r="G34" s="123" t="s">
        <v>94</v>
      </c>
      <c r="H34" s="282"/>
      <c r="I34" s="120"/>
      <c r="J34" s="120"/>
      <c r="K34" s="120">
        <f>ROUND(D34*F34,2)</f>
        <v>0</v>
      </c>
      <c r="L34" s="120"/>
      <c r="M34" s="120"/>
      <c r="N34" s="120"/>
      <c r="O34" s="745">
        <f>ROUND(D34*275/1000,2)</f>
        <v>0</v>
      </c>
    </row>
    <row r="35" spans="1:16" s="117" customFormat="1" ht="20.25" hidden="1" customHeight="1">
      <c r="A35" s="116"/>
      <c r="B35" s="118"/>
      <c r="C35" s="119" t="s">
        <v>50</v>
      </c>
      <c r="D35" s="120">
        <f>D34</f>
        <v>0</v>
      </c>
      <c r="E35" s="121" t="s">
        <v>46</v>
      </c>
      <c r="F35" s="330">
        <v>0.24</v>
      </c>
      <c r="G35" s="123" t="s">
        <v>94</v>
      </c>
      <c r="H35" s="282"/>
      <c r="I35" s="120"/>
      <c r="J35" s="120"/>
      <c r="K35" s="120"/>
      <c r="L35" s="120">
        <f>ROUND(D35*F35,2)</f>
        <v>0</v>
      </c>
      <c r="M35" s="120"/>
      <c r="N35" s="120"/>
      <c r="O35" s="745"/>
    </row>
    <row r="36" spans="1:16" s="117" customFormat="1" ht="20.25" hidden="1" customHeight="1">
      <c r="A36" s="116"/>
      <c r="B36" s="118"/>
      <c r="C36" s="119" t="s">
        <v>50</v>
      </c>
      <c r="D36" s="120">
        <f>D35</f>
        <v>0</v>
      </c>
      <c r="E36" s="121" t="s">
        <v>46</v>
      </c>
      <c r="F36" s="330">
        <v>0.08</v>
      </c>
      <c r="G36" s="123" t="s">
        <v>94</v>
      </c>
      <c r="H36" s="282"/>
      <c r="I36" s="120"/>
      <c r="J36" s="120"/>
      <c r="K36" s="120"/>
      <c r="L36" s="120"/>
      <c r="M36" s="120">
        <f>ROUND(D36*F36,2)</f>
        <v>0</v>
      </c>
      <c r="N36" s="120"/>
      <c r="O36" s="745"/>
    </row>
    <row r="37" spans="1:16" s="117" customFormat="1" ht="20.25" hidden="1" customHeight="1">
      <c r="A37" s="116"/>
      <c r="B37" s="118"/>
      <c r="C37" s="119" t="s">
        <v>61</v>
      </c>
      <c r="D37" s="120">
        <f>D36</f>
        <v>0</v>
      </c>
      <c r="E37" s="121" t="s">
        <v>46</v>
      </c>
      <c r="F37" s="122">
        <v>0.48</v>
      </c>
      <c r="G37" s="123" t="s">
        <v>94</v>
      </c>
      <c r="H37" s="282"/>
      <c r="I37" s="120">
        <f>ROUND(D37*F37,2)</f>
        <v>0</v>
      </c>
      <c r="J37" s="120"/>
      <c r="K37" s="120"/>
      <c r="L37" s="120"/>
      <c r="M37" s="120"/>
      <c r="N37" s="120"/>
      <c r="O37" s="745"/>
    </row>
    <row r="38" spans="1:16" s="117" customFormat="1" ht="20.25" hidden="1" customHeight="1">
      <c r="A38" s="116">
        <v>15</v>
      </c>
      <c r="B38" s="118" t="s">
        <v>893</v>
      </c>
      <c r="C38" s="119" t="s">
        <v>50</v>
      </c>
      <c r="D38" s="120">
        <f>'SUB-2'!I48</f>
        <v>0</v>
      </c>
      <c r="E38" s="121" t="s">
        <v>46</v>
      </c>
      <c r="F38" s="330">
        <v>0.59399999999999997</v>
      </c>
      <c r="G38" s="123" t="s">
        <v>94</v>
      </c>
      <c r="H38" s="282"/>
      <c r="I38" s="120"/>
      <c r="J38" s="120"/>
      <c r="K38" s="120"/>
      <c r="L38" s="120">
        <f>ROUND(D38*F38,2)</f>
        <v>0</v>
      </c>
      <c r="M38" s="120"/>
      <c r="N38" s="120"/>
      <c r="O38" s="745">
        <f>ROUND(D38*403/1000,2)</f>
        <v>0</v>
      </c>
      <c r="P38" s="286">
        <f>ROUND(D38*403/1000,2)</f>
        <v>0</v>
      </c>
    </row>
    <row r="39" spans="1:16" s="117" customFormat="1" ht="20.25" hidden="1" customHeight="1">
      <c r="A39" s="116"/>
      <c r="B39" s="118"/>
      <c r="C39" s="119" t="s">
        <v>50</v>
      </c>
      <c r="D39" s="120">
        <f>D38</f>
        <v>0</v>
      </c>
      <c r="E39" s="121" t="s">
        <v>46</v>
      </c>
      <c r="F39" s="330">
        <v>0.30599999999999999</v>
      </c>
      <c r="G39" s="123" t="s">
        <v>94</v>
      </c>
      <c r="H39" s="282"/>
      <c r="I39" s="120"/>
      <c r="J39" s="120"/>
      <c r="K39" s="120"/>
      <c r="L39" s="120"/>
      <c r="M39" s="120">
        <f>ROUND(D39*F39,2)</f>
        <v>0</v>
      </c>
      <c r="N39" s="120"/>
      <c r="O39" s="120"/>
      <c r="P39" s="286"/>
    </row>
    <row r="40" spans="1:16" s="117" customFormat="1" ht="20.25" hidden="1" customHeight="1">
      <c r="A40" s="116"/>
      <c r="B40" s="118"/>
      <c r="C40" s="119" t="s">
        <v>61</v>
      </c>
      <c r="D40" s="120">
        <f>D39</f>
        <v>0</v>
      </c>
      <c r="E40" s="121" t="s">
        <v>46</v>
      </c>
      <c r="F40" s="122">
        <v>0.45</v>
      </c>
      <c r="G40" s="123" t="s">
        <v>94</v>
      </c>
      <c r="H40" s="282"/>
      <c r="I40" s="120">
        <f>ROUND(D40*F40,2)</f>
        <v>0</v>
      </c>
      <c r="J40" s="120"/>
      <c r="K40" s="120"/>
      <c r="L40" s="120"/>
      <c r="M40" s="120"/>
      <c r="N40" s="120"/>
      <c r="O40" s="120"/>
      <c r="P40" s="286"/>
    </row>
    <row r="41" spans="1:16" s="117" customFormat="1" ht="20.25" hidden="1" customHeight="1">
      <c r="A41" s="116">
        <v>16</v>
      </c>
      <c r="B41" s="118" t="s">
        <v>104</v>
      </c>
      <c r="C41" s="119" t="s">
        <v>50</v>
      </c>
      <c r="D41" s="120">
        <f>'SUB-2'!I61</f>
        <v>0</v>
      </c>
      <c r="E41" s="121" t="s">
        <v>46</v>
      </c>
      <c r="F41" s="330">
        <v>0.59399999999999997</v>
      </c>
      <c r="G41" s="123" t="s">
        <v>94</v>
      </c>
      <c r="H41" s="282"/>
      <c r="I41" s="120"/>
      <c r="J41" s="120"/>
      <c r="K41" s="120"/>
      <c r="L41" s="120">
        <f>ROUND(D41*F41,2)</f>
        <v>0</v>
      </c>
      <c r="M41" s="120"/>
      <c r="N41" s="120"/>
      <c r="O41" s="745">
        <f>ROUND(D41*330/1000,2)</f>
        <v>0</v>
      </c>
    </row>
    <row r="42" spans="1:16" s="117" customFormat="1" ht="20.25" hidden="1" customHeight="1">
      <c r="A42" s="116"/>
      <c r="B42" s="118"/>
      <c r="C42" s="119" t="s">
        <v>50</v>
      </c>
      <c r="D42" s="120">
        <f>D41</f>
        <v>0</v>
      </c>
      <c r="E42" s="121" t="s">
        <v>46</v>
      </c>
      <c r="F42" s="330">
        <v>0.30599999999999999</v>
      </c>
      <c r="G42" s="123"/>
      <c r="H42" s="282"/>
      <c r="I42" s="120"/>
      <c r="J42" s="120"/>
      <c r="K42" s="120"/>
      <c r="L42" s="120"/>
      <c r="M42" s="120">
        <f>ROUND(D42*F42,2)</f>
        <v>0</v>
      </c>
      <c r="N42" s="120"/>
      <c r="O42" s="745"/>
    </row>
    <row r="43" spans="1:16" s="117" customFormat="1" ht="20.25" hidden="1" customHeight="1">
      <c r="A43" s="116"/>
      <c r="B43" s="118"/>
      <c r="C43" s="119" t="s">
        <v>61</v>
      </c>
      <c r="D43" s="120">
        <f>D42</f>
        <v>0</v>
      </c>
      <c r="E43" s="121" t="s">
        <v>46</v>
      </c>
      <c r="F43" s="122">
        <v>0.45</v>
      </c>
      <c r="G43" s="123" t="s">
        <v>94</v>
      </c>
      <c r="H43" s="282"/>
      <c r="I43" s="120">
        <f>ROUND(D43*F43,2)</f>
        <v>0</v>
      </c>
      <c r="J43" s="120"/>
      <c r="K43" s="120"/>
      <c r="L43" s="120"/>
      <c r="M43" s="120"/>
      <c r="N43" s="120"/>
      <c r="O43" s="745"/>
    </row>
    <row r="44" spans="1:16" s="117" customFormat="1" ht="24" customHeight="1">
      <c r="A44" s="116"/>
      <c r="B44" s="118" t="s">
        <v>904</v>
      </c>
      <c r="C44" s="119"/>
      <c r="D44" s="120"/>
      <c r="E44" s="121"/>
      <c r="F44" s="122"/>
      <c r="G44" s="123"/>
      <c r="H44" s="120"/>
      <c r="I44" s="120"/>
      <c r="J44" s="120"/>
      <c r="K44" s="120"/>
      <c r="L44" s="120"/>
      <c r="M44" s="120"/>
      <c r="N44" s="120"/>
      <c r="O44" s="120"/>
    </row>
    <row r="45" spans="1:16" s="117" customFormat="1" ht="32.25" customHeight="1">
      <c r="A45" s="116">
        <v>6</v>
      </c>
      <c r="B45" s="118" t="s">
        <v>654</v>
      </c>
      <c r="C45" s="119" t="s">
        <v>266</v>
      </c>
      <c r="D45" s="120">
        <f>'SUB-3'!I12</f>
        <v>78.239999999999995</v>
      </c>
      <c r="E45" s="121"/>
      <c r="F45" s="122"/>
      <c r="G45" s="123" t="s">
        <v>94</v>
      </c>
      <c r="H45" s="120">
        <f>D45</f>
        <v>78.239999999999995</v>
      </c>
      <c r="I45" s="120"/>
      <c r="J45" s="120"/>
      <c r="K45" s="120"/>
      <c r="L45" s="120"/>
      <c r="M45" s="120"/>
      <c r="N45" s="120"/>
      <c r="O45" s="120"/>
      <c r="P45" s="282"/>
    </row>
    <row r="46" spans="1:16" s="117" customFormat="1" ht="20.25" customHeight="1">
      <c r="A46" s="116">
        <v>7</v>
      </c>
      <c r="B46" s="118" t="s">
        <v>905</v>
      </c>
      <c r="C46" s="119" t="s">
        <v>50</v>
      </c>
      <c r="D46" s="120">
        <f>'SUB-3'!I22</f>
        <v>17.53</v>
      </c>
      <c r="E46" s="121" t="s">
        <v>46</v>
      </c>
      <c r="F46" s="330">
        <v>0.9</v>
      </c>
      <c r="G46" s="123" t="s">
        <v>94</v>
      </c>
      <c r="H46" s="282"/>
      <c r="I46" s="120"/>
      <c r="J46" s="120"/>
      <c r="K46" s="120">
        <f>ROUND(D46*F46,2)</f>
        <v>15.78</v>
      </c>
      <c r="L46" s="120"/>
      <c r="M46" s="120"/>
      <c r="N46" s="120"/>
      <c r="O46" s="745">
        <f>ROUND(D46*220/1000,2)</f>
        <v>3.86</v>
      </c>
    </row>
    <row r="47" spans="1:16" s="117" customFormat="1" ht="20.25" customHeight="1">
      <c r="A47" s="116"/>
      <c r="B47" s="118"/>
      <c r="C47" s="119" t="s">
        <v>61</v>
      </c>
      <c r="D47" s="120">
        <f>D46</f>
        <v>17.53</v>
      </c>
      <c r="E47" s="121" t="s">
        <v>46</v>
      </c>
      <c r="F47" s="122">
        <v>0.45</v>
      </c>
      <c r="G47" s="123" t="s">
        <v>94</v>
      </c>
      <c r="H47" s="282"/>
      <c r="I47" s="120">
        <f>ROUND(D47*F47,2)</f>
        <v>7.89</v>
      </c>
      <c r="J47" s="120"/>
      <c r="K47" s="120"/>
      <c r="L47" s="120"/>
      <c r="M47" s="120"/>
      <c r="N47" s="120"/>
      <c r="O47" s="745"/>
    </row>
    <row r="48" spans="1:16" s="117" customFormat="1" ht="20.25" customHeight="1">
      <c r="A48" s="116">
        <v>8</v>
      </c>
      <c r="B48" s="118" t="s">
        <v>434</v>
      </c>
      <c r="C48" s="119" t="s">
        <v>50</v>
      </c>
      <c r="D48" s="120">
        <f>'SUB-3'!I32</f>
        <v>41.489999999999995</v>
      </c>
      <c r="E48" s="121" t="s">
        <v>46</v>
      </c>
      <c r="F48" s="330">
        <v>0.48</v>
      </c>
      <c r="G48" s="123" t="s">
        <v>94</v>
      </c>
      <c r="H48" s="282"/>
      <c r="I48" s="120"/>
      <c r="J48" s="120"/>
      <c r="K48" s="120">
        <f>ROUND(D48*F48,2)</f>
        <v>19.920000000000002</v>
      </c>
      <c r="L48" s="120"/>
      <c r="M48" s="120"/>
      <c r="N48" s="120"/>
      <c r="O48" s="745">
        <f>ROUND(D48*275/1000,2)</f>
        <v>11.41</v>
      </c>
    </row>
    <row r="49" spans="1:16" s="117" customFormat="1" ht="20.25" customHeight="1">
      <c r="A49" s="116"/>
      <c r="B49" s="118"/>
      <c r="C49" s="119" t="s">
        <v>50</v>
      </c>
      <c r="D49" s="120">
        <f>D48</f>
        <v>41.489999999999995</v>
      </c>
      <c r="E49" s="121" t="s">
        <v>46</v>
      </c>
      <c r="F49" s="330">
        <v>0.24</v>
      </c>
      <c r="G49" s="123" t="s">
        <v>94</v>
      </c>
      <c r="H49" s="282"/>
      <c r="I49" s="120"/>
      <c r="J49" s="120"/>
      <c r="K49" s="120"/>
      <c r="L49" s="120">
        <f>ROUND(D49*F49,2)</f>
        <v>9.9600000000000009</v>
      </c>
      <c r="M49" s="120"/>
      <c r="N49" s="120"/>
      <c r="O49" s="745"/>
    </row>
    <row r="50" spans="1:16" s="117" customFormat="1" ht="20.25" customHeight="1">
      <c r="A50" s="116"/>
      <c r="B50" s="118"/>
      <c r="C50" s="119" t="s">
        <v>50</v>
      </c>
      <c r="D50" s="120">
        <f>D49</f>
        <v>41.489999999999995</v>
      </c>
      <c r="E50" s="121" t="s">
        <v>46</v>
      </c>
      <c r="F50" s="330">
        <v>0.08</v>
      </c>
      <c r="G50" s="123" t="s">
        <v>94</v>
      </c>
      <c r="H50" s="282"/>
      <c r="I50" s="120"/>
      <c r="J50" s="120"/>
      <c r="K50" s="120"/>
      <c r="L50" s="120"/>
      <c r="M50" s="120">
        <f>ROUND(D50*F50,2)</f>
        <v>3.32</v>
      </c>
      <c r="N50" s="120"/>
      <c r="O50" s="745"/>
    </row>
    <row r="51" spans="1:16" s="117" customFormat="1" ht="20.25" customHeight="1">
      <c r="A51" s="116"/>
      <c r="B51" s="118"/>
      <c r="C51" s="119" t="s">
        <v>61</v>
      </c>
      <c r="D51" s="120">
        <f>D50</f>
        <v>41.489999999999995</v>
      </c>
      <c r="E51" s="121" t="s">
        <v>46</v>
      </c>
      <c r="F51" s="122">
        <v>0.48</v>
      </c>
      <c r="G51" s="123" t="s">
        <v>94</v>
      </c>
      <c r="H51" s="282"/>
      <c r="I51" s="120">
        <f>ROUND(D51*F51,2)</f>
        <v>19.920000000000002</v>
      </c>
      <c r="J51" s="120"/>
      <c r="K51" s="120"/>
      <c r="L51" s="120"/>
      <c r="M51" s="120"/>
      <c r="N51" s="120"/>
      <c r="O51" s="745"/>
    </row>
    <row r="52" spans="1:16" s="117" customFormat="1" ht="20.25" hidden="1" customHeight="1">
      <c r="A52" s="116">
        <v>20</v>
      </c>
      <c r="B52" s="118" t="s">
        <v>893</v>
      </c>
      <c r="C52" s="119" t="s">
        <v>50</v>
      </c>
      <c r="D52" s="120">
        <f>'SUB-3'!I36</f>
        <v>0</v>
      </c>
      <c r="E52" s="121" t="s">
        <v>46</v>
      </c>
      <c r="F52" s="330">
        <v>0.59399999999999997</v>
      </c>
      <c r="G52" s="123" t="s">
        <v>94</v>
      </c>
      <c r="H52" s="282"/>
      <c r="I52" s="120"/>
      <c r="J52" s="120"/>
      <c r="K52" s="120"/>
      <c r="L52" s="120">
        <f>ROUND(D52*F52,2)</f>
        <v>0</v>
      </c>
      <c r="M52" s="120"/>
      <c r="N52" s="120"/>
      <c r="O52" s="745">
        <f>ROUND(D52*403/1000,2)</f>
        <v>0</v>
      </c>
      <c r="P52" s="286">
        <f>ROUND(D52*403/1000,2)</f>
        <v>0</v>
      </c>
    </row>
    <row r="53" spans="1:16" s="117" customFormat="1" ht="20.25" hidden="1" customHeight="1">
      <c r="A53" s="116"/>
      <c r="B53" s="118"/>
      <c r="C53" s="119" t="s">
        <v>50</v>
      </c>
      <c r="D53" s="120">
        <f>D52</f>
        <v>0</v>
      </c>
      <c r="E53" s="121" t="s">
        <v>46</v>
      </c>
      <c r="F53" s="330">
        <v>0.30599999999999999</v>
      </c>
      <c r="G53" s="123" t="s">
        <v>94</v>
      </c>
      <c r="H53" s="282"/>
      <c r="I53" s="120"/>
      <c r="J53" s="120"/>
      <c r="K53" s="120"/>
      <c r="L53" s="120"/>
      <c r="M53" s="120">
        <f>ROUND(D53*F53,2)</f>
        <v>0</v>
      </c>
      <c r="N53" s="120"/>
      <c r="O53" s="120"/>
      <c r="P53" s="286"/>
    </row>
    <row r="54" spans="1:16" s="117" customFormat="1" ht="20.25" hidden="1" customHeight="1">
      <c r="A54" s="116"/>
      <c r="B54" s="118"/>
      <c r="C54" s="119" t="s">
        <v>61</v>
      </c>
      <c r="D54" s="120">
        <f>D53</f>
        <v>0</v>
      </c>
      <c r="E54" s="121" t="s">
        <v>46</v>
      </c>
      <c r="F54" s="122">
        <v>0.45</v>
      </c>
      <c r="G54" s="123" t="s">
        <v>94</v>
      </c>
      <c r="H54" s="282"/>
      <c r="I54" s="120">
        <f>ROUND(D54*F54,2)</f>
        <v>0</v>
      </c>
      <c r="J54" s="120"/>
      <c r="K54" s="120"/>
      <c r="L54" s="120"/>
      <c r="M54" s="120"/>
      <c r="N54" s="120"/>
      <c r="O54" s="120"/>
      <c r="P54" s="286"/>
    </row>
    <row r="55" spans="1:16" s="117" customFormat="1" ht="20.25" hidden="1" customHeight="1">
      <c r="A55" s="116">
        <v>21</v>
      </c>
      <c r="B55" s="118" t="s">
        <v>104</v>
      </c>
      <c r="C55" s="119" t="s">
        <v>50</v>
      </c>
      <c r="D55" s="120">
        <f>'SUB-3'!I49</f>
        <v>0</v>
      </c>
      <c r="E55" s="121" t="s">
        <v>46</v>
      </c>
      <c r="F55" s="330">
        <v>0.59399999999999997</v>
      </c>
      <c r="G55" s="123" t="s">
        <v>94</v>
      </c>
      <c r="H55" s="282"/>
      <c r="I55" s="120"/>
      <c r="J55" s="120"/>
      <c r="K55" s="120"/>
      <c r="L55" s="120">
        <f>ROUND(D55*F55,2)</f>
        <v>0</v>
      </c>
      <c r="M55" s="120"/>
      <c r="N55" s="120"/>
      <c r="O55" s="745">
        <f>ROUND(D55*330/1000,2)</f>
        <v>0</v>
      </c>
    </row>
    <row r="56" spans="1:16" s="117" customFormat="1" ht="20.25" hidden="1" customHeight="1">
      <c r="A56" s="116"/>
      <c r="B56" s="118"/>
      <c r="C56" s="119" t="s">
        <v>50</v>
      </c>
      <c r="D56" s="120">
        <f>D55</f>
        <v>0</v>
      </c>
      <c r="E56" s="121" t="s">
        <v>46</v>
      </c>
      <c r="F56" s="330">
        <v>0.30599999999999999</v>
      </c>
      <c r="G56" s="123"/>
      <c r="H56" s="282"/>
      <c r="I56" s="120"/>
      <c r="J56" s="120"/>
      <c r="K56" s="120"/>
      <c r="L56" s="120"/>
      <c r="M56" s="120">
        <f>ROUND(D56*F56,2)</f>
        <v>0</v>
      </c>
      <c r="N56" s="120"/>
      <c r="O56" s="745"/>
    </row>
    <row r="57" spans="1:16" s="117" customFormat="1" ht="20.25" hidden="1" customHeight="1">
      <c r="A57" s="116"/>
      <c r="B57" s="118"/>
      <c r="C57" s="119" t="s">
        <v>61</v>
      </c>
      <c r="D57" s="120">
        <f>D56</f>
        <v>0</v>
      </c>
      <c r="E57" s="121" t="s">
        <v>46</v>
      </c>
      <c r="F57" s="122">
        <v>0.45</v>
      </c>
      <c r="G57" s="123" t="s">
        <v>94</v>
      </c>
      <c r="H57" s="282"/>
      <c r="I57" s="120">
        <f>ROUND(D57*F57,2)</f>
        <v>0</v>
      </c>
      <c r="J57" s="120"/>
      <c r="K57" s="120"/>
      <c r="L57" s="120"/>
      <c r="M57" s="120"/>
      <c r="N57" s="120"/>
      <c r="O57" s="745"/>
    </row>
    <row r="58" spans="1:16" s="117" customFormat="1" ht="24" hidden="1" customHeight="1">
      <c r="A58" s="116"/>
      <c r="B58" s="118" t="s">
        <v>904</v>
      </c>
      <c r="C58" s="119"/>
      <c r="D58" s="120"/>
      <c r="E58" s="121"/>
      <c r="F58" s="122"/>
      <c r="G58" s="123"/>
      <c r="H58" s="120"/>
      <c r="I58" s="120"/>
      <c r="J58" s="120"/>
      <c r="K58" s="120"/>
      <c r="L58" s="120"/>
      <c r="M58" s="120"/>
      <c r="N58" s="120"/>
      <c r="O58" s="120"/>
    </row>
    <row r="59" spans="1:16" s="117" customFormat="1" ht="32.25" hidden="1" customHeight="1">
      <c r="A59" s="116">
        <v>22</v>
      </c>
      <c r="B59" s="118" t="s">
        <v>654</v>
      </c>
      <c r="C59" s="119" t="s">
        <v>266</v>
      </c>
      <c r="D59" s="120">
        <f>'SUB-4'!I12</f>
        <v>0</v>
      </c>
      <c r="E59" s="121"/>
      <c r="F59" s="122"/>
      <c r="G59" s="123" t="s">
        <v>94</v>
      </c>
      <c r="H59" s="120">
        <f>D59</f>
        <v>0</v>
      </c>
      <c r="I59" s="120"/>
      <c r="J59" s="120"/>
      <c r="K59" s="120"/>
      <c r="L59" s="120"/>
      <c r="M59" s="120"/>
      <c r="N59" s="120"/>
      <c r="O59" s="120"/>
      <c r="P59" s="282"/>
    </row>
    <row r="60" spans="1:16" s="117" customFormat="1" ht="20.25" hidden="1" customHeight="1">
      <c r="A60" s="116">
        <v>23</v>
      </c>
      <c r="B60" s="118" t="s">
        <v>905</v>
      </c>
      <c r="C60" s="119" t="s">
        <v>50</v>
      </c>
      <c r="D60" s="120">
        <f>'SUB-4'!I22</f>
        <v>0</v>
      </c>
      <c r="E60" s="121" t="s">
        <v>46</v>
      </c>
      <c r="F60" s="330">
        <v>0.9</v>
      </c>
      <c r="G60" s="123" t="s">
        <v>94</v>
      </c>
      <c r="H60" s="282"/>
      <c r="I60" s="120"/>
      <c r="J60" s="120"/>
      <c r="K60" s="120">
        <f>ROUND(D60*F60,2)</f>
        <v>0</v>
      </c>
      <c r="L60" s="120"/>
      <c r="M60" s="120"/>
      <c r="N60" s="120"/>
      <c r="O60" s="745">
        <f>ROUND(D60*220/1000,2)</f>
        <v>0</v>
      </c>
    </row>
    <row r="61" spans="1:16" s="117" customFormat="1" ht="20.25" hidden="1" customHeight="1">
      <c r="A61" s="116"/>
      <c r="B61" s="118"/>
      <c r="C61" s="119" t="s">
        <v>61</v>
      </c>
      <c r="D61" s="120">
        <f>D60</f>
        <v>0</v>
      </c>
      <c r="E61" s="121" t="s">
        <v>46</v>
      </c>
      <c r="F61" s="122">
        <v>0.45</v>
      </c>
      <c r="G61" s="123" t="s">
        <v>94</v>
      </c>
      <c r="H61" s="282"/>
      <c r="I61" s="120">
        <f>ROUND(D61*F61,2)</f>
        <v>0</v>
      </c>
      <c r="J61" s="120"/>
      <c r="K61" s="120"/>
      <c r="L61" s="120"/>
      <c r="M61" s="120"/>
      <c r="N61" s="120"/>
      <c r="O61" s="745"/>
    </row>
    <row r="62" spans="1:16" s="117" customFormat="1" ht="20.25" hidden="1" customHeight="1">
      <c r="A62" s="116">
        <v>24</v>
      </c>
      <c r="B62" s="118" t="s">
        <v>434</v>
      </c>
      <c r="C62" s="119" t="s">
        <v>50</v>
      </c>
      <c r="D62" s="120">
        <f>'SUB-4'!I32</f>
        <v>0</v>
      </c>
      <c r="E62" s="121" t="s">
        <v>46</v>
      </c>
      <c r="F62" s="330">
        <v>0.48</v>
      </c>
      <c r="G62" s="123" t="s">
        <v>94</v>
      </c>
      <c r="H62" s="282"/>
      <c r="I62" s="120"/>
      <c r="J62" s="120"/>
      <c r="K62" s="120">
        <f>ROUND(D62*F62,2)</f>
        <v>0</v>
      </c>
      <c r="L62" s="120"/>
      <c r="M62" s="120"/>
      <c r="N62" s="120"/>
      <c r="O62" s="745">
        <f>ROUND(D62*275/1000,2)</f>
        <v>0</v>
      </c>
    </row>
    <row r="63" spans="1:16" s="117" customFormat="1" ht="20.25" hidden="1" customHeight="1">
      <c r="A63" s="116"/>
      <c r="B63" s="118"/>
      <c r="C63" s="119" t="s">
        <v>50</v>
      </c>
      <c r="D63" s="120">
        <f>D62</f>
        <v>0</v>
      </c>
      <c r="E63" s="121" t="s">
        <v>46</v>
      </c>
      <c r="F63" s="330">
        <v>0.24</v>
      </c>
      <c r="G63" s="123" t="s">
        <v>94</v>
      </c>
      <c r="H63" s="282"/>
      <c r="I63" s="120"/>
      <c r="J63" s="120"/>
      <c r="K63" s="120"/>
      <c r="L63" s="120">
        <f>ROUND(D63*F63,2)</f>
        <v>0</v>
      </c>
      <c r="M63" s="120"/>
      <c r="N63" s="120"/>
      <c r="O63" s="745"/>
    </row>
    <row r="64" spans="1:16" s="117" customFormat="1" ht="20.25" hidden="1" customHeight="1">
      <c r="A64" s="116"/>
      <c r="B64" s="118"/>
      <c r="C64" s="119" t="s">
        <v>50</v>
      </c>
      <c r="D64" s="120">
        <f>D63</f>
        <v>0</v>
      </c>
      <c r="E64" s="121" t="s">
        <v>46</v>
      </c>
      <c r="F64" s="330">
        <v>0.08</v>
      </c>
      <c r="G64" s="123" t="s">
        <v>94</v>
      </c>
      <c r="H64" s="282"/>
      <c r="I64" s="120"/>
      <c r="J64" s="120"/>
      <c r="K64" s="120"/>
      <c r="L64" s="120"/>
      <c r="M64" s="120">
        <f>ROUND(D64*F64,2)</f>
        <v>0</v>
      </c>
      <c r="N64" s="120"/>
      <c r="O64" s="745"/>
    </row>
    <row r="65" spans="1:16" s="117" customFormat="1" ht="20.25" hidden="1" customHeight="1">
      <c r="A65" s="116"/>
      <c r="B65" s="118"/>
      <c r="C65" s="119" t="s">
        <v>61</v>
      </c>
      <c r="D65" s="120">
        <f>D64</f>
        <v>0</v>
      </c>
      <c r="E65" s="121" t="s">
        <v>46</v>
      </c>
      <c r="F65" s="122">
        <v>0.48</v>
      </c>
      <c r="G65" s="123" t="s">
        <v>94</v>
      </c>
      <c r="H65" s="282"/>
      <c r="I65" s="120">
        <f>ROUND(D65*F65,2)</f>
        <v>0</v>
      </c>
      <c r="J65" s="120"/>
      <c r="K65" s="120"/>
      <c r="L65" s="120"/>
      <c r="M65" s="120"/>
      <c r="N65" s="120"/>
      <c r="O65" s="745"/>
    </row>
    <row r="66" spans="1:16" s="117" customFormat="1" ht="20.25" hidden="1" customHeight="1">
      <c r="A66" s="116">
        <v>25</v>
      </c>
      <c r="B66" s="118" t="s">
        <v>893</v>
      </c>
      <c r="C66" s="119" t="s">
        <v>50</v>
      </c>
      <c r="D66" s="120">
        <f>'SUB-4'!I36</f>
        <v>0</v>
      </c>
      <c r="E66" s="121" t="s">
        <v>46</v>
      </c>
      <c r="F66" s="330">
        <v>0.59399999999999997</v>
      </c>
      <c r="G66" s="123" t="s">
        <v>94</v>
      </c>
      <c r="H66" s="282"/>
      <c r="I66" s="120"/>
      <c r="J66" s="120"/>
      <c r="K66" s="120"/>
      <c r="L66" s="120">
        <f>ROUND(D66*F66,2)</f>
        <v>0</v>
      </c>
      <c r="M66" s="120"/>
      <c r="N66" s="120"/>
      <c r="O66" s="745">
        <f>ROUND(D66*403/1000,2)</f>
        <v>0</v>
      </c>
      <c r="P66" s="286">
        <f>ROUND(D66*403/1000,2)</f>
        <v>0</v>
      </c>
    </row>
    <row r="67" spans="1:16" s="117" customFormat="1" ht="20.25" hidden="1" customHeight="1">
      <c r="A67" s="116"/>
      <c r="B67" s="118"/>
      <c r="C67" s="119" t="s">
        <v>50</v>
      </c>
      <c r="D67" s="120">
        <f>D66</f>
        <v>0</v>
      </c>
      <c r="E67" s="121" t="s">
        <v>46</v>
      </c>
      <c r="F67" s="330">
        <v>0.30599999999999999</v>
      </c>
      <c r="G67" s="123" t="s">
        <v>94</v>
      </c>
      <c r="H67" s="282"/>
      <c r="I67" s="120"/>
      <c r="J67" s="120"/>
      <c r="K67" s="120"/>
      <c r="L67" s="120"/>
      <c r="M67" s="120">
        <f>ROUND(D67*F67,2)</f>
        <v>0</v>
      </c>
      <c r="N67" s="120"/>
      <c r="O67" s="120"/>
      <c r="P67" s="286"/>
    </row>
    <row r="68" spans="1:16" s="117" customFormat="1" ht="20.25" hidden="1" customHeight="1">
      <c r="A68" s="116"/>
      <c r="B68" s="118"/>
      <c r="C68" s="119" t="s">
        <v>61</v>
      </c>
      <c r="D68" s="120">
        <f>D67</f>
        <v>0</v>
      </c>
      <c r="E68" s="121" t="s">
        <v>46</v>
      </c>
      <c r="F68" s="122">
        <v>0.45</v>
      </c>
      <c r="G68" s="123" t="s">
        <v>94</v>
      </c>
      <c r="H68" s="282"/>
      <c r="I68" s="120">
        <f>ROUND(D68*F68,2)</f>
        <v>0</v>
      </c>
      <c r="J68" s="120"/>
      <c r="K68" s="120"/>
      <c r="L68" s="120"/>
      <c r="M68" s="120"/>
      <c r="N68" s="120"/>
      <c r="O68" s="120"/>
      <c r="P68" s="286"/>
    </row>
    <row r="69" spans="1:16" s="117" customFormat="1" ht="20.25" hidden="1" customHeight="1">
      <c r="A69" s="116">
        <v>26</v>
      </c>
      <c r="B69" s="118" t="s">
        <v>104</v>
      </c>
      <c r="C69" s="119" t="s">
        <v>50</v>
      </c>
      <c r="D69" s="120">
        <f>'SUB-4'!I49</f>
        <v>0</v>
      </c>
      <c r="E69" s="121" t="s">
        <v>46</v>
      </c>
      <c r="F69" s="330">
        <v>0.59399999999999997</v>
      </c>
      <c r="G69" s="123" t="s">
        <v>94</v>
      </c>
      <c r="H69" s="282"/>
      <c r="I69" s="120"/>
      <c r="J69" s="120"/>
      <c r="K69" s="120"/>
      <c r="L69" s="120">
        <f>ROUND(D69*F69,2)</f>
        <v>0</v>
      </c>
      <c r="M69" s="120"/>
      <c r="N69" s="120"/>
      <c r="O69" s="745">
        <f>ROUND(D69*330/1000,2)</f>
        <v>0</v>
      </c>
    </row>
    <row r="70" spans="1:16" s="117" customFormat="1" ht="20.25" hidden="1" customHeight="1">
      <c r="A70" s="116"/>
      <c r="B70" s="118"/>
      <c r="C70" s="119" t="s">
        <v>50</v>
      </c>
      <c r="D70" s="120">
        <f>D69</f>
        <v>0</v>
      </c>
      <c r="E70" s="121" t="s">
        <v>46</v>
      </c>
      <c r="F70" s="330">
        <v>0.30599999999999999</v>
      </c>
      <c r="G70" s="123"/>
      <c r="H70" s="282"/>
      <c r="I70" s="120"/>
      <c r="J70" s="120"/>
      <c r="K70" s="120"/>
      <c r="L70" s="120"/>
      <c r="M70" s="120">
        <f>ROUND(D70*F70,2)</f>
        <v>0</v>
      </c>
      <c r="N70" s="120"/>
      <c r="O70" s="745"/>
    </row>
    <row r="71" spans="1:16" s="117" customFormat="1" ht="20.25" hidden="1" customHeight="1">
      <c r="A71" s="116"/>
      <c r="B71" s="118"/>
      <c r="C71" s="119" t="s">
        <v>61</v>
      </c>
      <c r="D71" s="120">
        <f>D70</f>
        <v>0</v>
      </c>
      <c r="E71" s="121" t="s">
        <v>46</v>
      </c>
      <c r="F71" s="122">
        <v>0.45</v>
      </c>
      <c r="G71" s="123" t="s">
        <v>94</v>
      </c>
      <c r="H71" s="282"/>
      <c r="I71" s="120">
        <f>ROUND(D71*F71,2)</f>
        <v>0</v>
      </c>
      <c r="J71" s="120"/>
      <c r="K71" s="120"/>
      <c r="L71" s="120"/>
      <c r="M71" s="120"/>
      <c r="N71" s="120"/>
      <c r="O71" s="745"/>
    </row>
    <row r="72" spans="1:16" s="117" customFormat="1" ht="24" hidden="1" customHeight="1">
      <c r="A72" s="116"/>
      <c r="B72" s="118" t="s">
        <v>904</v>
      </c>
      <c r="C72" s="119"/>
      <c r="D72" s="120"/>
      <c r="E72" s="121"/>
      <c r="F72" s="122"/>
      <c r="G72" s="123"/>
      <c r="H72" s="120"/>
      <c r="I72" s="120"/>
      <c r="J72" s="120"/>
      <c r="K72" s="120"/>
      <c r="L72" s="120"/>
      <c r="M72" s="120"/>
      <c r="N72" s="120"/>
      <c r="O72" s="120"/>
    </row>
    <row r="73" spans="1:16" s="117" customFormat="1" ht="32.25" hidden="1" customHeight="1">
      <c r="A73" s="116">
        <v>27</v>
      </c>
      <c r="B73" s="118" t="s">
        <v>654</v>
      </c>
      <c r="C73" s="119" t="s">
        <v>266</v>
      </c>
      <c r="D73" s="120">
        <f>'sub-5'!I11</f>
        <v>0</v>
      </c>
      <c r="E73" s="121"/>
      <c r="F73" s="122"/>
      <c r="G73" s="123" t="s">
        <v>94</v>
      </c>
      <c r="H73" s="120">
        <f>D73</f>
        <v>0</v>
      </c>
      <c r="I73" s="120"/>
      <c r="J73" s="120"/>
      <c r="K73" s="120"/>
      <c r="L73" s="120"/>
      <c r="M73" s="120"/>
      <c r="N73" s="120"/>
      <c r="O73" s="120"/>
      <c r="P73" s="282"/>
    </row>
    <row r="74" spans="1:16" s="117" customFormat="1" ht="20.25" hidden="1" customHeight="1">
      <c r="A74" s="116">
        <v>28</v>
      </c>
      <c r="B74" s="118" t="s">
        <v>905</v>
      </c>
      <c r="C74" s="119" t="s">
        <v>50</v>
      </c>
      <c r="D74" s="120">
        <f>'sub-5'!I18</f>
        <v>0</v>
      </c>
      <c r="E74" s="121" t="s">
        <v>46</v>
      </c>
      <c r="F74" s="330">
        <v>0.9</v>
      </c>
      <c r="G74" s="123" t="s">
        <v>94</v>
      </c>
      <c r="H74" s="282"/>
      <c r="I74" s="120"/>
      <c r="J74" s="120"/>
      <c r="K74" s="120">
        <f>ROUND(D74*F74,2)</f>
        <v>0</v>
      </c>
      <c r="L74" s="120"/>
      <c r="M74" s="120"/>
      <c r="N74" s="120"/>
      <c r="O74" s="745">
        <f>ROUND(D74*220/1000,2)</f>
        <v>0</v>
      </c>
    </row>
    <row r="75" spans="1:16" s="117" customFormat="1" ht="20.25" hidden="1" customHeight="1">
      <c r="A75" s="116"/>
      <c r="B75" s="118"/>
      <c r="C75" s="119" t="s">
        <v>61</v>
      </c>
      <c r="D75" s="120">
        <f>D74</f>
        <v>0</v>
      </c>
      <c r="E75" s="121" t="s">
        <v>46</v>
      </c>
      <c r="F75" s="122">
        <v>0.45</v>
      </c>
      <c r="G75" s="123" t="s">
        <v>94</v>
      </c>
      <c r="H75" s="282"/>
      <c r="I75" s="120">
        <f>ROUND(D75*F75,2)</f>
        <v>0</v>
      </c>
      <c r="J75" s="120"/>
      <c r="K75" s="120"/>
      <c r="L75" s="120"/>
      <c r="M75" s="120"/>
      <c r="N75" s="120"/>
      <c r="O75" s="745"/>
    </row>
    <row r="76" spans="1:16" s="117" customFormat="1" ht="20.25" customHeight="1">
      <c r="A76" s="116"/>
      <c r="B76" s="118"/>
      <c r="C76" s="119"/>
      <c r="D76" s="120"/>
      <c r="E76" s="121"/>
      <c r="F76" s="122"/>
      <c r="G76" s="123"/>
      <c r="H76" s="288"/>
      <c r="I76" s="288"/>
      <c r="J76" s="288"/>
      <c r="K76" s="288"/>
      <c r="L76" s="288"/>
      <c r="M76" s="288"/>
      <c r="N76" s="288"/>
      <c r="O76" s="286"/>
    </row>
    <row r="77" spans="1:16" ht="22.5" customHeight="1">
      <c r="A77" s="748"/>
      <c r="B77" s="697"/>
      <c r="C77" s="959"/>
      <c r="D77" s="960"/>
      <c r="E77" s="961"/>
      <c r="F77" s="962"/>
      <c r="G77" s="963"/>
      <c r="H77" s="964">
        <f t="shared" ref="H77:O77" si="0">SUM(H5:H76)</f>
        <v>4345.4399999999996</v>
      </c>
      <c r="I77" s="964">
        <f t="shared" si="0"/>
        <v>27.810000000000002</v>
      </c>
      <c r="J77" s="964">
        <f t="shared" si="0"/>
        <v>806.4</v>
      </c>
      <c r="K77" s="964">
        <f t="shared" si="0"/>
        <v>35.700000000000003</v>
      </c>
      <c r="L77" s="964">
        <f t="shared" si="0"/>
        <v>9.9600000000000009</v>
      </c>
      <c r="M77" s="964">
        <f t="shared" si="0"/>
        <v>3.32</v>
      </c>
      <c r="N77" s="964">
        <f t="shared" si="0"/>
        <v>1486.8</v>
      </c>
      <c r="O77" s="964">
        <f t="shared" si="0"/>
        <v>15.27</v>
      </c>
    </row>
    <row r="78" spans="1:16" ht="22.5" customHeight="1">
      <c r="A78" s="748"/>
      <c r="B78" s="697"/>
      <c r="C78" s="959"/>
      <c r="D78" s="960"/>
      <c r="E78" s="961"/>
      <c r="F78" s="962"/>
      <c r="G78" s="963"/>
      <c r="H78" s="965">
        <v>82.5</v>
      </c>
      <c r="I78" s="960">
        <v>0</v>
      </c>
      <c r="J78" s="960">
        <v>157.5</v>
      </c>
      <c r="K78" s="960">
        <v>157.5</v>
      </c>
      <c r="L78" s="960">
        <v>157.5</v>
      </c>
      <c r="M78" s="960">
        <v>157.5</v>
      </c>
      <c r="N78" s="960">
        <v>157.5</v>
      </c>
      <c r="O78" s="701" t="s">
        <v>45</v>
      </c>
    </row>
    <row r="79" spans="1:16" ht="22.5" customHeight="1">
      <c r="A79" s="748"/>
      <c r="B79" s="966"/>
      <c r="C79" s="700"/>
      <c r="D79" s="960"/>
      <c r="E79" s="961"/>
      <c r="F79" s="967"/>
      <c r="G79" s="961" t="s">
        <v>94</v>
      </c>
      <c r="H79" s="701">
        <f t="shared" ref="H79:M79" si="1">ROUND(H77*H78,2)</f>
        <v>358498.8</v>
      </c>
      <c r="I79" s="701">
        <v>0</v>
      </c>
      <c r="J79" s="701">
        <f t="shared" si="1"/>
        <v>127008</v>
      </c>
      <c r="K79" s="701">
        <f t="shared" si="1"/>
        <v>5622.75</v>
      </c>
      <c r="L79" s="701">
        <f t="shared" si="1"/>
        <v>1568.7</v>
      </c>
      <c r="M79" s="701">
        <f t="shared" si="1"/>
        <v>522.9</v>
      </c>
      <c r="N79" s="701">
        <f t="shared" ref="N79" si="2">ROUND(N77*N78,2)</f>
        <v>234171</v>
      </c>
      <c r="O79" s="701"/>
    </row>
    <row r="80" spans="1:16" ht="22.5" customHeight="1">
      <c r="A80" s="748"/>
      <c r="B80" s="966"/>
      <c r="C80" s="700"/>
      <c r="D80" s="960"/>
      <c r="E80" s="967" t="s">
        <v>97</v>
      </c>
      <c r="F80" s="700"/>
      <c r="G80" s="961" t="s">
        <v>94</v>
      </c>
      <c r="H80" s="701">
        <f>SUM(H79:N79)</f>
        <v>727392.15</v>
      </c>
      <c r="I80" s="968"/>
      <c r="J80" s="969"/>
      <c r="K80" s="960"/>
      <c r="L80" s="970"/>
      <c r="M80" s="970"/>
      <c r="N80" s="970"/>
      <c r="O80" s="971"/>
    </row>
    <row r="81" spans="1:15" ht="22.5" customHeight="1">
      <c r="A81" s="748"/>
      <c r="B81" s="1136" t="s">
        <v>1187</v>
      </c>
      <c r="C81" s="1137"/>
      <c r="D81" s="1137"/>
      <c r="E81" s="1137"/>
      <c r="F81" s="1138"/>
      <c r="G81" s="961" t="s">
        <v>94</v>
      </c>
      <c r="H81" s="701">
        <v>0</v>
      </c>
      <c r="I81" s="961"/>
      <c r="J81" s="960"/>
      <c r="K81" s="970"/>
      <c r="L81" s="970"/>
      <c r="M81" s="971"/>
      <c r="N81" s="110"/>
      <c r="O81" s="110"/>
    </row>
    <row r="82" spans="1:15" ht="22.5" customHeight="1">
      <c r="A82" s="748"/>
      <c r="B82" s="1136" t="s">
        <v>1188</v>
      </c>
      <c r="C82" s="1137"/>
      <c r="D82" s="1137"/>
      <c r="E82" s="1137"/>
      <c r="F82" s="1138"/>
      <c r="G82" s="961" t="s">
        <v>94</v>
      </c>
      <c r="H82" s="701">
        <f>ROUND(H80*30%,2)</f>
        <v>218217.65</v>
      </c>
      <c r="I82" s="961"/>
      <c r="J82" s="960"/>
      <c r="K82" s="970"/>
      <c r="L82" s="970"/>
      <c r="M82" s="971"/>
      <c r="N82" s="110"/>
      <c r="O82" s="110"/>
    </row>
    <row r="83" spans="1:15" ht="22.5" customHeight="1">
      <c r="A83" s="748"/>
      <c r="B83" s="1136" t="s">
        <v>1189</v>
      </c>
      <c r="C83" s="1137"/>
      <c r="D83" s="1137"/>
      <c r="E83" s="1137"/>
      <c r="F83" s="1138"/>
      <c r="G83" s="961" t="s">
        <v>94</v>
      </c>
      <c r="H83" s="701">
        <f>ROUND(H80*2%,2)</f>
        <v>14547.84</v>
      </c>
      <c r="I83" s="961"/>
      <c r="J83" s="960"/>
      <c r="K83" s="970"/>
      <c r="L83" s="970"/>
      <c r="M83" s="971"/>
      <c r="N83" s="110"/>
      <c r="O83" s="110"/>
    </row>
    <row r="84" spans="1:15" ht="22.5" customHeight="1">
      <c r="A84" s="131"/>
      <c r="B84" s="1136" t="s">
        <v>1190</v>
      </c>
      <c r="C84" s="1137"/>
      <c r="D84" s="1137"/>
      <c r="E84" s="1137"/>
      <c r="F84" s="1138"/>
      <c r="G84" s="972"/>
      <c r="H84" s="973">
        <f>SUM(H80:H83)</f>
        <v>960157.64</v>
      </c>
      <c r="I84" s="961" t="s">
        <v>98</v>
      </c>
      <c r="J84" s="969">
        <f>ROUND(H84,0)</f>
        <v>960158</v>
      </c>
      <c r="M84" s="295"/>
      <c r="N84" s="110"/>
      <c r="O84" s="110"/>
    </row>
    <row r="85" spans="1:15" s="117" customFormat="1" ht="22.5" customHeight="1">
      <c r="A85" s="128"/>
      <c r="B85" s="171"/>
      <c r="D85" s="162"/>
      <c r="E85" s="172"/>
      <c r="G85" s="173"/>
      <c r="H85" s="291"/>
      <c r="I85" s="292"/>
      <c r="J85" s="287"/>
      <c r="K85" s="287"/>
      <c r="L85" s="287"/>
      <c r="M85" s="287"/>
      <c r="N85" s="287"/>
      <c r="O85" s="291"/>
    </row>
    <row r="86" spans="1:15" s="117" customFormat="1" ht="22.5" customHeight="1">
      <c r="A86" s="128"/>
      <c r="B86" s="171"/>
      <c r="D86" s="162"/>
      <c r="E86" s="172"/>
      <c r="G86" s="173"/>
      <c r="H86" s="291"/>
      <c r="I86" s="292"/>
      <c r="J86" s="287"/>
      <c r="K86" s="287"/>
      <c r="L86" s="287"/>
      <c r="M86" s="287"/>
      <c r="N86" s="287"/>
      <c r="O86" s="291"/>
    </row>
    <row r="87" spans="1:15" s="117" customFormat="1" ht="22.5" customHeight="1">
      <c r="A87" s="128"/>
      <c r="B87" s="171"/>
      <c r="D87" s="162"/>
      <c r="E87" s="172"/>
      <c r="G87" s="173"/>
      <c r="H87" s="291"/>
      <c r="I87" s="292"/>
      <c r="J87" s="287"/>
      <c r="K87" s="287"/>
      <c r="L87" s="287"/>
      <c r="M87" s="287"/>
      <c r="N87" s="287"/>
      <c r="O87" s="291"/>
    </row>
    <row r="88" spans="1:15" s="117" customFormat="1" ht="15">
      <c r="F88" s="127"/>
      <c r="G88" s="128"/>
      <c r="H88" s="291"/>
      <c r="I88" s="287"/>
      <c r="J88" s="287"/>
      <c r="K88" s="287"/>
      <c r="L88" s="287"/>
      <c r="M88" s="287"/>
      <c r="N88" s="287"/>
      <c r="O88" s="291"/>
    </row>
    <row r="89" spans="1:15" s="117" customFormat="1" ht="15">
      <c r="G89" s="128"/>
      <c r="H89" s="291"/>
      <c r="I89" s="102" t="str">
        <f>'lead 2025-26'!G37</f>
        <v>Deputy Executive Engineer</v>
      </c>
      <c r="K89" s="293"/>
      <c r="L89" s="294"/>
      <c r="M89" s="293" t="str">
        <f>'lead 2025-26'!J37</f>
        <v>Assistant   Engineer</v>
      </c>
      <c r="N89" s="294"/>
      <c r="O89" s="291"/>
    </row>
    <row r="90" spans="1:15" s="117" customFormat="1" ht="15">
      <c r="G90" s="128"/>
      <c r="H90" s="291"/>
      <c r="I90" s="102" t="str">
        <f>'lead 2025-26'!G38</f>
        <v>PRI Sub Division: Kanigiri</v>
      </c>
      <c r="K90" s="293"/>
      <c r="L90" s="294"/>
      <c r="M90" s="293" t="str">
        <f>'lead 2025-26'!J38</f>
        <v>Mandal Praja Parishad</v>
      </c>
      <c r="N90" s="294"/>
      <c r="O90" s="291"/>
    </row>
    <row r="91" spans="1:15" s="117" customFormat="1" ht="15">
      <c r="F91" s="129"/>
      <c r="G91" s="128"/>
      <c r="H91" s="291"/>
      <c r="I91" s="287"/>
      <c r="K91" s="293"/>
      <c r="L91" s="294"/>
      <c r="M91" s="293" t="str">
        <f>'lead 2025-26'!J39</f>
        <v>Pamuru</v>
      </c>
      <c r="N91" s="294"/>
      <c r="O91" s="291"/>
    </row>
    <row r="92" spans="1:15" s="117" customFormat="1" ht="15">
      <c r="F92" s="127"/>
      <c r="G92" s="128"/>
      <c r="H92" s="291"/>
      <c r="I92" s="287"/>
      <c r="J92" s="287"/>
      <c r="K92" s="287"/>
      <c r="L92" s="287"/>
      <c r="M92" s="287"/>
      <c r="N92" s="287"/>
      <c r="O92" s="291"/>
    </row>
    <row r="93" spans="1:15" s="117" customFormat="1" ht="15">
      <c r="F93" s="127"/>
      <c r="G93" s="128"/>
      <c r="H93" s="291"/>
      <c r="I93" s="287"/>
      <c r="J93" s="287"/>
      <c r="K93" s="287"/>
      <c r="L93" s="287"/>
      <c r="M93" s="287"/>
      <c r="N93" s="287"/>
      <c r="O93" s="291"/>
    </row>
    <row r="94" spans="1:15" s="117" customFormat="1" ht="15">
      <c r="F94" s="127"/>
      <c r="G94" s="128"/>
      <c r="H94" s="291"/>
      <c r="I94" s="287"/>
      <c r="J94" s="287"/>
      <c r="K94" s="287"/>
      <c r="L94" s="287"/>
      <c r="M94" s="287"/>
      <c r="N94" s="287"/>
      <c r="O94" s="291"/>
    </row>
    <row r="95" spans="1:15" s="117" customFormat="1" ht="15">
      <c r="F95" s="127"/>
      <c r="G95" s="128"/>
      <c r="H95" s="291"/>
      <c r="I95" s="287"/>
      <c r="J95" s="287"/>
      <c r="K95" s="287"/>
      <c r="L95" s="287"/>
      <c r="M95" s="287"/>
      <c r="N95" s="287"/>
      <c r="O95" s="291"/>
    </row>
    <row r="96" spans="1:15" s="117" customFormat="1" ht="15">
      <c r="F96" s="127"/>
      <c r="G96" s="128"/>
      <c r="H96" s="291"/>
      <c r="I96" s="287"/>
      <c r="J96" s="287"/>
      <c r="K96" s="287"/>
      <c r="L96" s="287"/>
      <c r="M96" s="287"/>
      <c r="N96" s="287"/>
      <c r="O96" s="291"/>
    </row>
    <row r="97" spans="6:15" s="117" customFormat="1" ht="15">
      <c r="F97" s="127"/>
      <c r="G97" s="128"/>
      <c r="H97" s="291"/>
      <c r="I97" s="287"/>
      <c r="J97" s="287"/>
      <c r="K97" s="287"/>
      <c r="L97" s="287"/>
      <c r="M97" s="287"/>
      <c r="N97" s="287"/>
      <c r="O97" s="291"/>
    </row>
    <row r="98" spans="6:15" s="117" customFormat="1" ht="15">
      <c r="F98" s="127"/>
      <c r="G98" s="128"/>
      <c r="H98" s="291"/>
      <c r="I98" s="287"/>
      <c r="J98" s="287"/>
      <c r="K98" s="287"/>
      <c r="L98" s="287"/>
      <c r="M98" s="287"/>
      <c r="N98" s="287"/>
      <c r="O98" s="291"/>
    </row>
    <row r="99" spans="6:15" s="117" customFormat="1" ht="15">
      <c r="F99" s="127"/>
      <c r="G99" s="128"/>
      <c r="H99" s="291"/>
      <c r="I99" s="287"/>
      <c r="J99" s="287"/>
      <c r="K99" s="287"/>
      <c r="L99" s="287"/>
      <c r="M99" s="287"/>
      <c r="N99" s="287"/>
      <c r="O99" s="291"/>
    </row>
    <row r="100" spans="6:15" s="117" customFormat="1" ht="15">
      <c r="F100" s="127"/>
      <c r="G100" s="128"/>
      <c r="H100" s="291"/>
      <c r="I100" s="287"/>
      <c r="J100" s="287"/>
      <c r="K100" s="287"/>
      <c r="L100" s="287"/>
      <c r="M100" s="287"/>
      <c r="N100" s="287"/>
      <c r="O100" s="291"/>
    </row>
    <row r="101" spans="6:15" s="117" customFormat="1" ht="15">
      <c r="F101" s="127"/>
      <c r="G101" s="128"/>
      <c r="H101" s="291"/>
      <c r="I101" s="287"/>
      <c r="J101" s="287"/>
      <c r="K101" s="287"/>
      <c r="L101" s="287"/>
      <c r="M101" s="287"/>
      <c r="N101" s="287"/>
      <c r="O101" s="291"/>
    </row>
    <row r="102" spans="6:15" s="117" customFormat="1" ht="15">
      <c r="F102" s="127"/>
      <c r="G102" s="128"/>
      <c r="H102" s="291"/>
      <c r="I102" s="287"/>
      <c r="J102" s="287"/>
      <c r="K102" s="287"/>
      <c r="L102" s="287"/>
      <c r="M102" s="287"/>
      <c r="N102" s="287"/>
      <c r="O102" s="291"/>
    </row>
    <row r="103" spans="6:15" s="117" customFormat="1" ht="15">
      <c r="F103" s="127"/>
      <c r="G103" s="128"/>
      <c r="H103" s="291"/>
      <c r="I103" s="287"/>
      <c r="J103" s="287"/>
      <c r="K103" s="287"/>
      <c r="L103" s="287"/>
      <c r="M103" s="287"/>
      <c r="N103" s="287"/>
      <c r="O103" s="291"/>
    </row>
    <row r="104" spans="6:15" s="117" customFormat="1" ht="15">
      <c r="F104" s="127"/>
      <c r="G104" s="128"/>
      <c r="H104" s="291"/>
      <c r="I104" s="287"/>
      <c r="J104" s="287"/>
      <c r="K104" s="287"/>
      <c r="L104" s="287"/>
      <c r="M104" s="287"/>
      <c r="N104" s="287"/>
      <c r="O104" s="291"/>
    </row>
    <row r="105" spans="6:15" s="117" customFormat="1" ht="15">
      <c r="F105" s="127"/>
      <c r="G105" s="128"/>
      <c r="H105" s="291"/>
      <c r="I105" s="287"/>
      <c r="J105" s="287"/>
      <c r="K105" s="287"/>
      <c r="L105" s="287"/>
      <c r="M105" s="287"/>
      <c r="N105" s="287"/>
      <c r="O105" s="291"/>
    </row>
    <row r="106" spans="6:15" s="117" customFormat="1" ht="15">
      <c r="F106" s="127"/>
      <c r="G106" s="128"/>
      <c r="H106" s="291"/>
      <c r="I106" s="287"/>
      <c r="J106" s="287"/>
      <c r="K106" s="287"/>
      <c r="L106" s="287"/>
      <c r="M106" s="287"/>
      <c r="N106" s="287"/>
      <c r="O106" s="291"/>
    </row>
    <row r="107" spans="6:15" s="117" customFormat="1" ht="15">
      <c r="F107" s="127"/>
      <c r="G107" s="128"/>
      <c r="H107" s="291"/>
      <c r="I107" s="287"/>
      <c r="J107" s="287"/>
      <c r="K107" s="287"/>
      <c r="L107" s="287"/>
      <c r="M107" s="287"/>
      <c r="N107" s="287"/>
      <c r="O107" s="291"/>
    </row>
    <row r="108" spans="6:15" s="117" customFormat="1" ht="15">
      <c r="F108" s="127"/>
      <c r="G108" s="128"/>
      <c r="H108" s="291"/>
      <c r="I108" s="287"/>
      <c r="J108" s="287"/>
      <c r="K108" s="287"/>
      <c r="L108" s="287"/>
      <c r="M108" s="287"/>
      <c r="N108" s="287"/>
      <c r="O108" s="291"/>
    </row>
    <row r="109" spans="6:15" s="117" customFormat="1" ht="15">
      <c r="F109" s="127"/>
      <c r="G109" s="128"/>
      <c r="H109" s="291"/>
      <c r="I109" s="287"/>
      <c r="J109" s="287"/>
      <c r="K109" s="287"/>
      <c r="L109" s="287"/>
      <c r="M109" s="287"/>
      <c r="N109" s="287"/>
      <c r="O109" s="291"/>
    </row>
    <row r="110" spans="6:15" s="117" customFormat="1" ht="15">
      <c r="F110" s="127"/>
      <c r="G110" s="128"/>
      <c r="H110" s="291"/>
      <c r="I110" s="287"/>
      <c r="J110" s="287"/>
      <c r="K110" s="287"/>
      <c r="L110" s="287"/>
      <c r="M110" s="287"/>
      <c r="N110" s="287"/>
      <c r="O110" s="291"/>
    </row>
    <row r="111" spans="6:15" s="117" customFormat="1" ht="15">
      <c r="F111" s="127"/>
      <c r="G111" s="128"/>
      <c r="H111" s="291"/>
      <c r="I111" s="287"/>
      <c r="J111" s="287"/>
      <c r="K111" s="287"/>
      <c r="L111" s="287"/>
      <c r="M111" s="287"/>
      <c r="N111" s="287"/>
      <c r="O111" s="291"/>
    </row>
    <row r="112" spans="6:15" s="117" customFormat="1" ht="15">
      <c r="F112" s="127"/>
      <c r="G112" s="128"/>
      <c r="H112" s="291"/>
      <c r="I112" s="287"/>
      <c r="J112" s="287"/>
      <c r="K112" s="287"/>
      <c r="L112" s="287"/>
      <c r="M112" s="287"/>
      <c r="N112" s="287"/>
      <c r="O112" s="291"/>
    </row>
    <row r="113" spans="6:15" s="117" customFormat="1" ht="15">
      <c r="F113" s="127"/>
      <c r="G113" s="128"/>
      <c r="H113" s="291"/>
      <c r="I113" s="287"/>
      <c r="J113" s="287"/>
      <c r="K113" s="287"/>
      <c r="L113" s="287"/>
      <c r="M113" s="287"/>
      <c r="N113" s="287"/>
      <c r="O113" s="291"/>
    </row>
    <row r="114" spans="6:15" s="117" customFormat="1" ht="15">
      <c r="F114" s="127"/>
      <c r="G114" s="128"/>
      <c r="H114" s="291"/>
      <c r="I114" s="287"/>
      <c r="J114" s="287"/>
      <c r="K114" s="287"/>
      <c r="L114" s="287"/>
      <c r="M114" s="287"/>
      <c r="N114" s="287"/>
      <c r="O114" s="291"/>
    </row>
    <row r="115" spans="6:15" s="117" customFormat="1" ht="15">
      <c r="F115" s="127"/>
      <c r="G115" s="128"/>
      <c r="H115" s="291"/>
      <c r="I115" s="287"/>
      <c r="J115" s="287"/>
      <c r="K115" s="287"/>
      <c r="L115" s="287"/>
      <c r="M115" s="287"/>
      <c r="N115" s="287"/>
      <c r="O115" s="291"/>
    </row>
    <row r="116" spans="6:15" s="117" customFormat="1" ht="15">
      <c r="F116" s="127"/>
      <c r="G116" s="128"/>
      <c r="H116" s="291"/>
      <c r="I116" s="287"/>
      <c r="J116" s="287"/>
      <c r="K116" s="287"/>
      <c r="L116" s="287"/>
      <c r="M116" s="287"/>
      <c r="N116" s="287"/>
      <c r="O116" s="291"/>
    </row>
    <row r="117" spans="6:15" s="117" customFormat="1" ht="15">
      <c r="F117" s="127"/>
      <c r="G117" s="128"/>
      <c r="H117" s="291"/>
      <c r="I117" s="287"/>
      <c r="J117" s="287"/>
      <c r="K117" s="287"/>
      <c r="L117" s="287"/>
      <c r="M117" s="287"/>
      <c r="N117" s="287"/>
      <c r="O117" s="291"/>
    </row>
    <row r="118" spans="6:15" s="117" customFormat="1" ht="15">
      <c r="F118" s="127"/>
      <c r="G118" s="128"/>
      <c r="H118" s="291"/>
      <c r="I118" s="287"/>
      <c r="J118" s="287"/>
      <c r="K118" s="287"/>
      <c r="L118" s="287"/>
      <c r="M118" s="287"/>
      <c r="N118" s="287"/>
      <c r="O118" s="291"/>
    </row>
    <row r="119" spans="6:15" s="117" customFormat="1" ht="15">
      <c r="F119" s="127"/>
      <c r="G119" s="128"/>
      <c r="H119" s="291"/>
      <c r="I119" s="287"/>
      <c r="J119" s="287"/>
      <c r="K119" s="287"/>
      <c r="L119" s="287"/>
      <c r="M119" s="287"/>
      <c r="N119" s="287"/>
      <c r="O119" s="291"/>
    </row>
    <row r="120" spans="6:15" s="117" customFormat="1" ht="15">
      <c r="F120" s="127"/>
      <c r="G120" s="128"/>
      <c r="H120" s="291"/>
      <c r="I120" s="287"/>
      <c r="J120" s="287"/>
      <c r="K120" s="287"/>
      <c r="L120" s="287"/>
      <c r="M120" s="287"/>
      <c r="N120" s="287"/>
      <c r="O120" s="291"/>
    </row>
    <row r="121" spans="6:15" s="117" customFormat="1" ht="15">
      <c r="F121" s="127"/>
      <c r="G121" s="128"/>
      <c r="H121" s="291"/>
      <c r="I121" s="287"/>
      <c r="J121" s="287"/>
      <c r="K121" s="287"/>
      <c r="L121" s="287"/>
      <c r="M121" s="287"/>
      <c r="N121" s="287"/>
      <c r="O121" s="291"/>
    </row>
    <row r="122" spans="6:15" s="117" customFormat="1" ht="15">
      <c r="F122" s="127"/>
      <c r="G122" s="128"/>
      <c r="H122" s="291"/>
      <c r="I122" s="287"/>
      <c r="J122" s="287"/>
      <c r="K122" s="287"/>
      <c r="L122" s="287"/>
      <c r="M122" s="287"/>
      <c r="N122" s="287"/>
      <c r="O122" s="291"/>
    </row>
    <row r="123" spans="6:15" s="117" customFormat="1" ht="15">
      <c r="F123" s="127"/>
      <c r="G123" s="128"/>
      <c r="H123" s="291"/>
      <c r="I123" s="287"/>
      <c r="J123" s="287"/>
      <c r="K123" s="287"/>
      <c r="L123" s="287"/>
      <c r="M123" s="287"/>
      <c r="N123" s="287"/>
      <c r="O123" s="291"/>
    </row>
    <row r="124" spans="6:15" s="117" customFormat="1" ht="15">
      <c r="F124" s="127"/>
      <c r="G124" s="128"/>
      <c r="H124" s="291"/>
      <c r="I124" s="287"/>
      <c r="J124" s="287"/>
      <c r="K124" s="287"/>
      <c r="L124" s="287"/>
      <c r="M124" s="287"/>
      <c r="N124" s="287"/>
      <c r="O124" s="291"/>
    </row>
    <row r="125" spans="6:15" s="117" customFormat="1" ht="15">
      <c r="F125" s="127"/>
      <c r="G125" s="128"/>
      <c r="H125" s="291"/>
      <c r="I125" s="287"/>
      <c r="J125" s="287"/>
      <c r="K125" s="287"/>
      <c r="L125" s="287"/>
      <c r="M125" s="287"/>
      <c r="N125" s="287"/>
      <c r="O125" s="291"/>
    </row>
    <row r="126" spans="6:15" s="117" customFormat="1" ht="15">
      <c r="F126" s="127"/>
      <c r="G126" s="128"/>
      <c r="H126" s="291"/>
      <c r="I126" s="287"/>
      <c r="J126" s="287"/>
      <c r="K126" s="287"/>
      <c r="L126" s="287"/>
      <c r="M126" s="287"/>
      <c r="N126" s="287"/>
      <c r="O126" s="291"/>
    </row>
    <row r="127" spans="6:15" s="117" customFormat="1" ht="15">
      <c r="F127" s="127"/>
      <c r="G127" s="128"/>
      <c r="H127" s="291"/>
      <c r="I127" s="287"/>
      <c r="J127" s="287"/>
      <c r="K127" s="287"/>
      <c r="L127" s="287"/>
      <c r="M127" s="287"/>
      <c r="N127" s="287"/>
      <c r="O127" s="291"/>
    </row>
    <row r="128" spans="6:15" s="117" customFormat="1" ht="15">
      <c r="F128" s="127"/>
      <c r="G128" s="128"/>
      <c r="H128" s="291"/>
      <c r="I128" s="287"/>
      <c r="J128" s="287"/>
      <c r="K128" s="287"/>
      <c r="L128" s="287"/>
      <c r="M128" s="287"/>
      <c r="N128" s="287"/>
      <c r="O128" s="291"/>
    </row>
    <row r="129" spans="6:15" s="117" customFormat="1" ht="15">
      <c r="F129" s="127"/>
      <c r="G129" s="128"/>
      <c r="H129" s="291"/>
      <c r="I129" s="287"/>
      <c r="J129" s="287"/>
      <c r="K129" s="287"/>
      <c r="L129" s="287"/>
      <c r="M129" s="287"/>
      <c r="N129" s="287"/>
      <c r="O129" s="291"/>
    </row>
    <row r="130" spans="6:15" s="117" customFormat="1" ht="15">
      <c r="F130" s="127"/>
      <c r="G130" s="128"/>
      <c r="H130" s="291"/>
      <c r="I130" s="287"/>
      <c r="J130" s="287"/>
      <c r="K130" s="287"/>
      <c r="L130" s="287"/>
      <c r="M130" s="287"/>
      <c r="N130" s="287"/>
      <c r="O130" s="291"/>
    </row>
    <row r="131" spans="6:15" s="117" customFormat="1" ht="15">
      <c r="F131" s="127"/>
      <c r="G131" s="128"/>
      <c r="H131" s="291"/>
      <c r="I131" s="287"/>
      <c r="J131" s="287"/>
      <c r="K131" s="287"/>
      <c r="L131" s="287"/>
      <c r="M131" s="287"/>
      <c r="N131" s="287"/>
      <c r="O131" s="291"/>
    </row>
    <row r="132" spans="6:15" s="117" customFormat="1" ht="15">
      <c r="F132" s="127"/>
      <c r="G132" s="128"/>
      <c r="H132" s="291"/>
      <c r="I132" s="287"/>
      <c r="J132" s="287"/>
      <c r="K132" s="287"/>
      <c r="L132" s="287"/>
      <c r="M132" s="287"/>
      <c r="N132" s="287"/>
      <c r="O132" s="291"/>
    </row>
    <row r="133" spans="6:15" s="117" customFormat="1" ht="15">
      <c r="F133" s="127"/>
      <c r="G133" s="128"/>
      <c r="H133" s="291"/>
      <c r="I133" s="287"/>
      <c r="J133" s="287"/>
      <c r="K133" s="287"/>
      <c r="L133" s="287"/>
      <c r="M133" s="287"/>
      <c r="N133" s="287"/>
      <c r="O133" s="291"/>
    </row>
    <row r="134" spans="6:15" s="117" customFormat="1" ht="15">
      <c r="F134" s="127"/>
      <c r="G134" s="128"/>
      <c r="H134" s="291"/>
      <c r="I134" s="287"/>
      <c r="J134" s="287"/>
      <c r="K134" s="287"/>
      <c r="L134" s="287"/>
      <c r="M134" s="287"/>
      <c r="N134" s="287"/>
      <c r="O134" s="291"/>
    </row>
    <row r="135" spans="6:15" s="117" customFormat="1" ht="15">
      <c r="F135" s="127"/>
      <c r="G135" s="128"/>
      <c r="H135" s="291"/>
      <c r="I135" s="287"/>
      <c r="J135" s="287"/>
      <c r="K135" s="287"/>
      <c r="L135" s="287"/>
      <c r="M135" s="287"/>
      <c r="N135" s="287"/>
      <c r="O135" s="291"/>
    </row>
    <row r="136" spans="6:15" s="117" customFormat="1" ht="15">
      <c r="F136" s="127"/>
      <c r="G136" s="128"/>
      <c r="H136" s="291"/>
      <c r="I136" s="287"/>
      <c r="J136" s="287"/>
      <c r="K136" s="287"/>
      <c r="L136" s="287"/>
      <c r="M136" s="287"/>
      <c r="N136" s="287"/>
      <c r="O136" s="291"/>
    </row>
    <row r="137" spans="6:15" s="117" customFormat="1" ht="15">
      <c r="F137" s="127"/>
      <c r="G137" s="128"/>
      <c r="H137" s="291"/>
      <c r="I137" s="287"/>
      <c r="J137" s="287"/>
      <c r="K137" s="287"/>
      <c r="L137" s="287"/>
      <c r="M137" s="287"/>
      <c r="N137" s="287"/>
      <c r="O137" s="291"/>
    </row>
    <row r="138" spans="6:15" s="117" customFormat="1" ht="15">
      <c r="F138" s="127"/>
      <c r="G138" s="128"/>
      <c r="H138" s="291"/>
      <c r="I138" s="287"/>
      <c r="J138" s="287"/>
      <c r="K138" s="287"/>
      <c r="L138" s="287"/>
      <c r="M138" s="287"/>
      <c r="N138" s="287"/>
      <c r="O138" s="291"/>
    </row>
    <row r="139" spans="6:15" s="117" customFormat="1" ht="15">
      <c r="F139" s="127"/>
      <c r="G139" s="128"/>
      <c r="H139" s="291"/>
      <c r="I139" s="287"/>
      <c r="J139" s="287"/>
      <c r="K139" s="287"/>
      <c r="L139" s="287"/>
      <c r="M139" s="287"/>
      <c r="N139" s="287"/>
      <c r="O139" s="291"/>
    </row>
    <row r="140" spans="6:15" s="117" customFormat="1" ht="15">
      <c r="F140" s="127"/>
      <c r="G140" s="128"/>
      <c r="H140" s="291"/>
      <c r="I140" s="287"/>
      <c r="J140" s="287"/>
      <c r="K140" s="287"/>
      <c r="L140" s="287"/>
      <c r="M140" s="287"/>
      <c r="N140" s="287"/>
      <c r="O140" s="291"/>
    </row>
    <row r="141" spans="6:15" s="117" customFormat="1" ht="15">
      <c r="F141" s="127"/>
      <c r="G141" s="128"/>
      <c r="H141" s="291"/>
      <c r="I141" s="287"/>
      <c r="J141" s="287"/>
      <c r="K141" s="287"/>
      <c r="L141" s="287"/>
      <c r="M141" s="287"/>
      <c r="N141" s="287"/>
      <c r="O141" s="291"/>
    </row>
    <row r="142" spans="6:15" s="117" customFormat="1" ht="15">
      <c r="F142" s="127"/>
      <c r="G142" s="128"/>
      <c r="H142" s="291"/>
      <c r="I142" s="287"/>
      <c r="J142" s="287"/>
      <c r="K142" s="287"/>
      <c r="L142" s="287"/>
      <c r="M142" s="287"/>
      <c r="N142" s="287"/>
      <c r="O142" s="291"/>
    </row>
    <row r="143" spans="6:15" s="117" customFormat="1" ht="15">
      <c r="F143" s="127"/>
      <c r="G143" s="128"/>
      <c r="H143" s="291"/>
      <c r="I143" s="287"/>
      <c r="J143" s="287"/>
      <c r="K143" s="287"/>
      <c r="L143" s="287"/>
      <c r="M143" s="287"/>
      <c r="N143" s="287"/>
      <c r="O143" s="291"/>
    </row>
    <row r="144" spans="6:15" s="117" customFormat="1" ht="15">
      <c r="F144" s="127"/>
      <c r="G144" s="128"/>
      <c r="H144" s="291"/>
      <c r="I144" s="287"/>
      <c r="J144" s="287"/>
      <c r="K144" s="287"/>
      <c r="L144" s="287"/>
      <c r="M144" s="287"/>
      <c r="N144" s="287"/>
      <c r="O144" s="291"/>
    </row>
    <row r="145" spans="6:15" s="117" customFormat="1" ht="15">
      <c r="F145" s="127"/>
      <c r="G145" s="128"/>
      <c r="H145" s="291"/>
      <c r="I145" s="287"/>
      <c r="J145" s="287"/>
      <c r="K145" s="287"/>
      <c r="L145" s="287"/>
      <c r="M145" s="287"/>
      <c r="N145" s="287"/>
      <c r="O145" s="291"/>
    </row>
    <row r="146" spans="6:15" s="117" customFormat="1" ht="15">
      <c r="F146" s="127"/>
      <c r="G146" s="128"/>
      <c r="H146" s="291"/>
      <c r="I146" s="287"/>
      <c r="J146" s="287"/>
      <c r="K146" s="287"/>
      <c r="L146" s="287"/>
      <c r="M146" s="287"/>
      <c r="N146" s="287"/>
      <c r="O146" s="291"/>
    </row>
    <row r="147" spans="6:15" s="117" customFormat="1" ht="15">
      <c r="F147" s="127"/>
      <c r="G147" s="128"/>
      <c r="H147" s="291"/>
      <c r="I147" s="287"/>
      <c r="J147" s="287"/>
      <c r="K147" s="287"/>
      <c r="L147" s="287"/>
      <c r="M147" s="287"/>
      <c r="N147" s="287"/>
      <c r="O147" s="291"/>
    </row>
    <row r="148" spans="6:15" s="117" customFormat="1" ht="15">
      <c r="F148" s="127"/>
      <c r="G148" s="128"/>
      <c r="H148" s="291"/>
      <c r="I148" s="287"/>
      <c r="J148" s="287"/>
      <c r="K148" s="287"/>
      <c r="L148" s="287"/>
      <c r="M148" s="287"/>
      <c r="N148" s="287"/>
      <c r="O148" s="291"/>
    </row>
    <row r="149" spans="6:15" s="117" customFormat="1" ht="15">
      <c r="F149" s="127"/>
      <c r="G149" s="128"/>
      <c r="H149" s="291"/>
      <c r="I149" s="287"/>
      <c r="J149" s="287"/>
      <c r="K149" s="287"/>
      <c r="L149" s="287"/>
      <c r="M149" s="287"/>
      <c r="N149" s="287"/>
      <c r="O149" s="291"/>
    </row>
    <row r="150" spans="6:15" s="117" customFormat="1" ht="15">
      <c r="F150" s="127"/>
      <c r="G150" s="128"/>
      <c r="H150" s="291"/>
      <c r="I150" s="287"/>
      <c r="J150" s="287"/>
      <c r="K150" s="287"/>
      <c r="L150" s="287"/>
      <c r="M150" s="287"/>
      <c r="N150" s="287"/>
      <c r="O150" s="291"/>
    </row>
    <row r="151" spans="6:15" s="117" customFormat="1" ht="15">
      <c r="F151" s="127"/>
      <c r="G151" s="128"/>
      <c r="H151" s="291"/>
      <c r="I151" s="287"/>
      <c r="J151" s="287"/>
      <c r="K151" s="287"/>
      <c r="L151" s="287"/>
      <c r="M151" s="287"/>
      <c r="N151" s="287"/>
      <c r="O151" s="291"/>
    </row>
    <row r="152" spans="6:15" s="117" customFormat="1" ht="15">
      <c r="F152" s="127"/>
      <c r="G152" s="128"/>
      <c r="H152" s="291"/>
      <c r="I152" s="287"/>
      <c r="J152" s="287"/>
      <c r="K152" s="287"/>
      <c r="L152" s="287"/>
      <c r="M152" s="287"/>
      <c r="N152" s="287"/>
      <c r="O152" s="291"/>
    </row>
    <row r="153" spans="6:15" s="117" customFormat="1" ht="15">
      <c r="F153" s="127"/>
      <c r="G153" s="128"/>
      <c r="H153" s="291"/>
      <c r="I153" s="287"/>
      <c r="J153" s="287"/>
      <c r="K153" s="287"/>
      <c r="L153" s="287"/>
      <c r="M153" s="287"/>
      <c r="N153" s="287"/>
      <c r="O153" s="291"/>
    </row>
    <row r="154" spans="6:15" s="117" customFormat="1" ht="15">
      <c r="F154" s="127"/>
      <c r="G154" s="128"/>
      <c r="H154" s="291"/>
      <c r="I154" s="287"/>
      <c r="J154" s="287"/>
      <c r="K154" s="287"/>
      <c r="L154" s="287"/>
      <c r="M154" s="287"/>
      <c r="N154" s="287"/>
      <c r="O154" s="291"/>
    </row>
    <row r="155" spans="6:15" s="117" customFormat="1" ht="15">
      <c r="F155" s="127"/>
      <c r="G155" s="128"/>
      <c r="H155" s="291"/>
      <c r="I155" s="287"/>
      <c r="J155" s="287"/>
      <c r="K155" s="287"/>
      <c r="L155" s="287"/>
      <c r="M155" s="287"/>
      <c r="N155" s="287"/>
      <c r="O155" s="291"/>
    </row>
    <row r="156" spans="6:15" s="117" customFormat="1" ht="15">
      <c r="F156" s="127"/>
      <c r="G156" s="128"/>
      <c r="H156" s="291"/>
      <c r="I156" s="287"/>
      <c r="J156" s="287"/>
      <c r="K156" s="287"/>
      <c r="L156" s="287"/>
      <c r="M156" s="287"/>
      <c r="N156" s="287"/>
      <c r="O156" s="291"/>
    </row>
    <row r="157" spans="6:15" s="117" customFormat="1" ht="15">
      <c r="F157" s="127"/>
      <c r="G157" s="128"/>
      <c r="H157" s="291"/>
      <c r="I157" s="287"/>
      <c r="J157" s="287"/>
      <c r="K157" s="287"/>
      <c r="L157" s="287"/>
      <c r="M157" s="287"/>
      <c r="N157" s="287"/>
      <c r="O157" s="291"/>
    </row>
    <row r="158" spans="6:15" s="117" customFormat="1" ht="15">
      <c r="F158" s="127"/>
      <c r="G158" s="128"/>
      <c r="H158" s="291"/>
      <c r="I158" s="287"/>
      <c r="J158" s="287"/>
      <c r="K158" s="287"/>
      <c r="L158" s="287"/>
      <c r="M158" s="287"/>
      <c r="N158" s="287"/>
      <c r="O158" s="291"/>
    </row>
    <row r="159" spans="6:15" s="117" customFormat="1" ht="15">
      <c r="F159" s="127"/>
      <c r="G159" s="128"/>
      <c r="H159" s="291"/>
      <c r="I159" s="287"/>
      <c r="J159" s="287"/>
      <c r="K159" s="287"/>
      <c r="L159" s="287"/>
      <c r="M159" s="287"/>
      <c r="N159" s="287"/>
      <c r="O159" s="291"/>
    </row>
    <row r="160" spans="6:15" s="117" customFormat="1" ht="15">
      <c r="F160" s="127"/>
      <c r="G160" s="128"/>
      <c r="H160" s="291"/>
      <c r="I160" s="287"/>
      <c r="J160" s="287"/>
      <c r="K160" s="287"/>
      <c r="L160" s="287"/>
      <c r="M160" s="287"/>
      <c r="N160" s="287"/>
      <c r="O160" s="291"/>
    </row>
    <row r="161" spans="6:15" s="117" customFormat="1" ht="15">
      <c r="F161" s="127"/>
      <c r="G161" s="128"/>
      <c r="H161" s="291"/>
      <c r="I161" s="287"/>
      <c r="J161" s="287"/>
      <c r="K161" s="287"/>
      <c r="L161" s="287"/>
      <c r="M161" s="287"/>
      <c r="N161" s="287"/>
      <c r="O161" s="291"/>
    </row>
    <row r="162" spans="6:15" s="117" customFormat="1" ht="15">
      <c r="F162" s="127"/>
      <c r="G162" s="128"/>
      <c r="H162" s="291"/>
      <c r="I162" s="287"/>
      <c r="J162" s="287"/>
      <c r="K162" s="287"/>
      <c r="L162" s="287"/>
      <c r="M162" s="287"/>
      <c r="N162" s="287"/>
      <c r="O162" s="291"/>
    </row>
    <row r="163" spans="6:15" s="117" customFormat="1" ht="15">
      <c r="F163" s="127"/>
      <c r="G163" s="128"/>
      <c r="H163" s="291"/>
      <c r="I163" s="287"/>
      <c r="J163" s="287"/>
      <c r="K163" s="287"/>
      <c r="L163" s="287"/>
      <c r="M163" s="287"/>
      <c r="N163" s="287"/>
      <c r="O163" s="291"/>
    </row>
    <row r="164" spans="6:15" s="117" customFormat="1" ht="15">
      <c r="F164" s="127"/>
      <c r="G164" s="128"/>
      <c r="H164" s="291"/>
      <c r="I164" s="287"/>
      <c r="J164" s="287"/>
      <c r="K164" s="287"/>
      <c r="L164" s="287"/>
      <c r="M164" s="287"/>
      <c r="N164" s="287"/>
      <c r="O164" s="291"/>
    </row>
    <row r="165" spans="6:15" s="117" customFormat="1" ht="15">
      <c r="F165" s="127"/>
      <c r="G165" s="128"/>
      <c r="H165" s="291"/>
      <c r="I165" s="287"/>
      <c r="J165" s="287"/>
      <c r="K165" s="287"/>
      <c r="L165" s="287"/>
      <c r="M165" s="287"/>
      <c r="N165" s="287"/>
      <c r="O165" s="291"/>
    </row>
    <row r="166" spans="6:15" s="117" customFormat="1" ht="15">
      <c r="F166" s="127"/>
      <c r="G166" s="128"/>
      <c r="H166" s="291"/>
      <c r="I166" s="287"/>
      <c r="J166" s="287"/>
      <c r="K166" s="287"/>
      <c r="L166" s="287"/>
      <c r="M166" s="287"/>
      <c r="N166" s="287"/>
      <c r="O166" s="291"/>
    </row>
    <row r="167" spans="6:15" s="117" customFormat="1" ht="15">
      <c r="F167" s="127"/>
      <c r="G167" s="128"/>
      <c r="H167" s="291"/>
      <c r="I167" s="287"/>
      <c r="J167" s="287"/>
      <c r="K167" s="287"/>
      <c r="L167" s="287"/>
      <c r="M167" s="287"/>
      <c r="N167" s="287"/>
      <c r="O167" s="291"/>
    </row>
    <row r="168" spans="6:15" s="117" customFormat="1" ht="15">
      <c r="F168" s="127"/>
      <c r="G168" s="128"/>
      <c r="H168" s="291"/>
      <c r="I168" s="287"/>
      <c r="J168" s="287"/>
      <c r="K168" s="287"/>
      <c r="L168" s="287"/>
      <c r="M168" s="287"/>
      <c r="N168" s="287"/>
      <c r="O168" s="291"/>
    </row>
    <row r="169" spans="6:15" s="117" customFormat="1" ht="15">
      <c r="F169" s="127"/>
      <c r="G169" s="128"/>
      <c r="H169" s="291"/>
      <c r="I169" s="287"/>
      <c r="J169" s="287"/>
      <c r="K169" s="287"/>
      <c r="L169" s="287"/>
      <c r="M169" s="287"/>
      <c r="N169" s="287"/>
      <c r="O169" s="291"/>
    </row>
    <row r="170" spans="6:15" s="117" customFormat="1" ht="15">
      <c r="F170" s="127"/>
      <c r="G170" s="128"/>
      <c r="H170" s="291"/>
      <c r="I170" s="287"/>
      <c r="J170" s="287"/>
      <c r="K170" s="287"/>
      <c r="L170" s="287"/>
      <c r="M170" s="287"/>
      <c r="N170" s="287"/>
      <c r="O170" s="291"/>
    </row>
    <row r="171" spans="6:15" s="117" customFormat="1" ht="15">
      <c r="F171" s="127"/>
      <c r="G171" s="128"/>
      <c r="H171" s="291"/>
      <c r="I171" s="287"/>
      <c r="J171" s="287"/>
      <c r="K171" s="287"/>
      <c r="L171" s="287"/>
      <c r="M171" s="287"/>
      <c r="N171" s="287"/>
      <c r="O171" s="291"/>
    </row>
    <row r="172" spans="6:15" s="117" customFormat="1" ht="15">
      <c r="F172" s="127"/>
      <c r="G172" s="128"/>
      <c r="H172" s="291"/>
      <c r="I172" s="287"/>
      <c r="J172" s="287"/>
      <c r="K172" s="287"/>
      <c r="L172" s="287"/>
      <c r="M172" s="287"/>
      <c r="N172" s="287"/>
      <c r="O172" s="291"/>
    </row>
    <row r="173" spans="6:15" s="117" customFormat="1" ht="15">
      <c r="F173" s="127"/>
      <c r="G173" s="128"/>
      <c r="H173" s="291"/>
      <c r="I173" s="287"/>
      <c r="J173" s="287"/>
      <c r="K173" s="287"/>
      <c r="L173" s="287"/>
      <c r="M173" s="287"/>
      <c r="N173" s="287"/>
      <c r="O173" s="291"/>
    </row>
    <row r="174" spans="6:15" s="117" customFormat="1" ht="15">
      <c r="F174" s="127"/>
      <c r="G174" s="128"/>
      <c r="H174" s="291"/>
      <c r="I174" s="287"/>
      <c r="J174" s="287"/>
      <c r="K174" s="287"/>
      <c r="L174" s="287"/>
      <c r="M174" s="287"/>
      <c r="N174" s="287"/>
      <c r="O174" s="291"/>
    </row>
    <row r="175" spans="6:15" s="117" customFormat="1" ht="15">
      <c r="F175" s="127"/>
      <c r="G175" s="128"/>
      <c r="H175" s="291"/>
      <c r="I175" s="287"/>
      <c r="J175" s="287"/>
      <c r="K175" s="287"/>
      <c r="L175" s="287"/>
      <c r="M175" s="287"/>
      <c r="N175" s="287"/>
      <c r="O175" s="291"/>
    </row>
    <row r="176" spans="6:15" s="117" customFormat="1" ht="15">
      <c r="F176" s="127"/>
      <c r="G176" s="128"/>
      <c r="H176" s="291"/>
      <c r="I176" s="287"/>
      <c r="J176" s="287"/>
      <c r="K176" s="287"/>
      <c r="L176" s="287"/>
      <c r="M176" s="287"/>
      <c r="N176" s="287"/>
      <c r="O176" s="291"/>
    </row>
    <row r="177" spans="6:15" s="117" customFormat="1" ht="15">
      <c r="F177" s="127"/>
      <c r="G177" s="128"/>
      <c r="H177" s="291"/>
      <c r="I177" s="287"/>
      <c r="J177" s="287"/>
      <c r="K177" s="287"/>
      <c r="L177" s="287"/>
      <c r="M177" s="287"/>
      <c r="N177" s="287"/>
      <c r="O177" s="291"/>
    </row>
    <row r="178" spans="6:15" s="117" customFormat="1" ht="15">
      <c r="F178" s="127"/>
      <c r="G178" s="128"/>
      <c r="H178" s="291"/>
      <c r="I178" s="287"/>
      <c r="J178" s="287"/>
      <c r="K178" s="287"/>
      <c r="L178" s="287"/>
      <c r="M178" s="287"/>
      <c r="N178" s="287"/>
      <c r="O178" s="291"/>
    </row>
    <row r="179" spans="6:15" s="117" customFormat="1" ht="15">
      <c r="F179" s="127"/>
      <c r="G179" s="128"/>
      <c r="H179" s="291"/>
      <c r="I179" s="287"/>
      <c r="J179" s="287"/>
      <c r="K179" s="287"/>
      <c r="L179" s="287"/>
      <c r="M179" s="287"/>
      <c r="N179" s="287"/>
      <c r="O179" s="291"/>
    </row>
    <row r="180" spans="6:15" s="117" customFormat="1" ht="15">
      <c r="F180" s="127"/>
      <c r="G180" s="128"/>
      <c r="H180" s="291"/>
      <c r="I180" s="287"/>
      <c r="J180" s="287"/>
      <c r="K180" s="287"/>
      <c r="L180" s="287"/>
      <c r="M180" s="287"/>
      <c r="N180" s="287"/>
      <c r="O180" s="291"/>
    </row>
    <row r="181" spans="6:15" s="117" customFormat="1" ht="15">
      <c r="F181" s="127"/>
      <c r="G181" s="128"/>
      <c r="H181" s="291"/>
      <c r="I181" s="287"/>
      <c r="J181" s="287"/>
      <c r="K181" s="287"/>
      <c r="L181" s="287"/>
      <c r="M181" s="287"/>
      <c r="N181" s="287"/>
      <c r="O181" s="291"/>
    </row>
  </sheetData>
  <mergeCells count="8">
    <mergeCell ref="B81:F81"/>
    <mergeCell ref="B82:F82"/>
    <mergeCell ref="B83:F83"/>
    <mergeCell ref="B84:F84"/>
    <mergeCell ref="A1:O1"/>
    <mergeCell ref="A2:O2"/>
    <mergeCell ref="B4:F4"/>
    <mergeCell ref="M3:N3"/>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O39"/>
  <sheetViews>
    <sheetView defaultGridColor="0" view="pageBreakPreview" colorId="22" zoomScaleSheetLayoutView="100" workbookViewId="0">
      <selection activeCell="C3" sqref="C3:K3"/>
    </sheetView>
  </sheetViews>
  <sheetFormatPr defaultRowHeight="15"/>
  <cols>
    <col min="1" max="1" width="3.85546875" style="10" customWidth="1"/>
    <col min="2" max="2" width="26.140625" style="10" customWidth="1"/>
    <col min="3" max="3" width="25.42578125" style="12" customWidth="1"/>
    <col min="4" max="4" width="14.85546875" style="12" customWidth="1"/>
    <col min="5" max="5" width="8.7109375" style="12" customWidth="1"/>
    <col min="6" max="6" width="9.85546875" style="12" customWidth="1"/>
    <col min="7" max="7" width="9.28515625" style="12" customWidth="1"/>
    <col min="8" max="8" width="10.28515625" style="12" customWidth="1"/>
    <col min="9" max="9" width="10.7109375" style="12" customWidth="1"/>
    <col min="10" max="10" width="11.28515625" style="12" customWidth="1"/>
    <col min="11" max="11" width="13.140625" style="12" customWidth="1"/>
    <col min="12" max="12" width="9.140625" style="10"/>
    <col min="13" max="13" width="9.28515625" style="10" bestFit="1" customWidth="1"/>
    <col min="14" max="16384" width="9.140625" style="10"/>
  </cols>
  <sheetData>
    <row r="1" spans="1:15" ht="18.75">
      <c r="A1" s="1147" t="s">
        <v>1256</v>
      </c>
      <c r="B1" s="1147"/>
      <c r="C1" s="1147"/>
      <c r="D1" s="1147"/>
      <c r="E1" s="1147"/>
      <c r="F1" s="1147"/>
      <c r="G1" s="1147"/>
      <c r="H1" s="1147"/>
      <c r="I1" s="1147"/>
      <c r="J1" s="1147"/>
      <c r="K1" s="1147"/>
    </row>
    <row r="3" spans="1:15" ht="39.75" customHeight="1">
      <c r="B3" s="11" t="s">
        <v>62</v>
      </c>
      <c r="C3" s="1150" t="s">
        <v>1275</v>
      </c>
      <c r="D3" s="1150"/>
      <c r="E3" s="1150"/>
      <c r="F3" s="1150"/>
      <c r="G3" s="1150"/>
      <c r="H3" s="1150"/>
      <c r="I3" s="1150"/>
      <c r="J3" s="1150"/>
      <c r="K3" s="1150"/>
      <c r="L3" s="11"/>
    </row>
    <row r="4" spans="1:15" ht="15.75">
      <c r="B4" s="10" t="s">
        <v>30</v>
      </c>
      <c r="I4" s="1148" t="s">
        <v>63</v>
      </c>
      <c r="J4" s="1148"/>
      <c r="K4" s="170" t="s">
        <v>1280</v>
      </c>
    </row>
    <row r="6" spans="1:15" s="103" customFormat="1" ht="34.5" customHeight="1">
      <c r="A6" s="1146" t="s">
        <v>0</v>
      </c>
      <c r="B6" s="1146" t="s">
        <v>1</v>
      </c>
      <c r="C6" s="1146" t="s">
        <v>2</v>
      </c>
      <c r="D6" s="1146" t="s">
        <v>137</v>
      </c>
      <c r="E6" s="1146" t="s">
        <v>59</v>
      </c>
      <c r="F6" s="1149" t="s">
        <v>64</v>
      </c>
      <c r="G6" s="1149"/>
      <c r="H6" s="1146" t="s">
        <v>65</v>
      </c>
      <c r="I6" s="1146" t="s">
        <v>66</v>
      </c>
      <c r="J6" s="1146" t="s">
        <v>67</v>
      </c>
      <c r="K6" s="1146" t="s">
        <v>4</v>
      </c>
      <c r="L6" s="1146" t="s">
        <v>806</v>
      </c>
    </row>
    <row r="7" spans="1:15" s="103" customFormat="1" ht="44.25" customHeight="1">
      <c r="A7" s="1146"/>
      <c r="B7" s="1146"/>
      <c r="C7" s="1146"/>
      <c r="D7" s="1146"/>
      <c r="E7" s="1146"/>
      <c r="F7" s="757" t="s">
        <v>70</v>
      </c>
      <c r="G7" s="757" t="s">
        <v>64</v>
      </c>
      <c r="H7" s="1146"/>
      <c r="I7" s="1146"/>
      <c r="J7" s="1146"/>
      <c r="K7" s="1146"/>
      <c r="L7" s="1146"/>
    </row>
    <row r="8" spans="1:15" s="105" customFormat="1">
      <c r="A8" s="104">
        <v>1</v>
      </c>
      <c r="B8" s="104">
        <v>2</v>
      </c>
      <c r="C8" s="104">
        <v>3</v>
      </c>
      <c r="D8" s="104">
        <v>4</v>
      </c>
      <c r="E8" s="104">
        <v>5</v>
      </c>
      <c r="F8" s="104">
        <v>6</v>
      </c>
      <c r="G8" s="104">
        <v>7</v>
      </c>
      <c r="H8" s="104">
        <v>8</v>
      </c>
      <c r="I8" s="104">
        <v>9</v>
      </c>
      <c r="J8" s="104">
        <v>10</v>
      </c>
      <c r="K8" s="104">
        <v>11</v>
      </c>
      <c r="L8" s="104"/>
    </row>
    <row r="9" spans="1:15">
      <c r="A9" s="786">
        <f>IF(B9&lt;&gt;"",SUBTOTAL(103,$B9:B$9),"")</f>
        <v>1</v>
      </c>
      <c r="B9" s="108" t="s">
        <v>72</v>
      </c>
      <c r="C9" s="109" t="s">
        <v>1258</v>
      </c>
      <c r="D9" s="109" t="s">
        <v>138</v>
      </c>
      <c r="E9" s="13" t="s">
        <v>68</v>
      </c>
      <c r="F9" s="106">
        <v>92</v>
      </c>
      <c r="G9" s="14">
        <f>VLOOKUP(F9,'CON 2025-26'!A6:D290,2,TRUE)</f>
        <v>1287.1899999999978</v>
      </c>
      <c r="H9" s="14"/>
      <c r="I9" s="100"/>
      <c r="J9" s="14"/>
      <c r="K9" s="101">
        <f t="shared" ref="K9:K26" si="0">SUM(G9:J9)</f>
        <v>1287.1899999999978</v>
      </c>
      <c r="L9" s="101"/>
    </row>
    <row r="10" spans="1:15" hidden="1">
      <c r="A10" s="786">
        <f>IF(B10&lt;&gt;"",SUBTOTAL(103,$B$9:B10),"")</f>
        <v>1</v>
      </c>
      <c r="B10" s="108" t="s">
        <v>847</v>
      </c>
      <c r="C10" s="109" t="s">
        <v>848</v>
      </c>
      <c r="D10" s="109" t="s">
        <v>849</v>
      </c>
      <c r="E10" s="13" t="s">
        <v>68</v>
      </c>
      <c r="F10" s="106">
        <v>5</v>
      </c>
      <c r="G10" s="14">
        <f>VLOOKUP(F10,'CON 2025-26'!A7:D291,2,TRUE)</f>
        <v>103</v>
      </c>
      <c r="H10" s="14"/>
      <c r="I10" s="100"/>
      <c r="J10" s="14"/>
      <c r="K10" s="101">
        <f t="shared" ref="K10" si="1">SUM(G10:J10)</f>
        <v>103</v>
      </c>
      <c r="L10" s="101"/>
    </row>
    <row r="11" spans="1:15">
      <c r="A11" s="786">
        <f>IF(B11&lt;&gt;"",SUBTOTAL(103,$B$9:B11),"")</f>
        <v>2</v>
      </c>
      <c r="B11" s="108" t="s">
        <v>1172</v>
      </c>
      <c r="C11" s="109" t="s">
        <v>165</v>
      </c>
      <c r="D11" s="109" t="s">
        <v>1259</v>
      </c>
      <c r="E11" s="13" t="s">
        <v>68</v>
      </c>
      <c r="F11" s="106">
        <v>97</v>
      </c>
      <c r="G11" s="14">
        <f>VLOOKUP(F11,'CON 2025-26'!A5:D130,3,TRUE)</f>
        <v>1297.7299999999982</v>
      </c>
      <c r="H11" s="14">
        <v>1230</v>
      </c>
      <c r="I11" s="100">
        <v>70</v>
      </c>
      <c r="J11" s="14">
        <f t="shared" ref="J11:J16" si="2">ROUND(H11*0.25,2)</f>
        <v>307.5</v>
      </c>
      <c r="K11" s="101">
        <f t="shared" ref="K11" si="3">SUM(G11:J11)</f>
        <v>2905.2299999999982</v>
      </c>
      <c r="L11" s="178">
        <f>ROUND((K11+K12+K13+K14)/4,2)</f>
        <v>2742.42</v>
      </c>
      <c r="O11" s="322">
        <f t="shared" ref="O11:O23" si="4">H11+I11+J11</f>
        <v>1607.5</v>
      </c>
    </row>
    <row r="12" spans="1:15">
      <c r="A12" s="786">
        <f>IF(B12&lt;&gt;"",SUBTOTAL(103,$B$9:B12),"")</f>
        <v>3</v>
      </c>
      <c r="B12" s="108" t="s">
        <v>105</v>
      </c>
      <c r="C12" s="109" t="s">
        <v>165</v>
      </c>
      <c r="D12" s="109" t="s">
        <v>139</v>
      </c>
      <c r="E12" s="13" t="s">
        <v>68</v>
      </c>
      <c r="F12" s="106">
        <f>F11</f>
        <v>97</v>
      </c>
      <c r="G12" s="14">
        <f>VLOOKUP(F12,'CON 2025-26'!A6:D131,3,TRUE)</f>
        <v>1297.7299999999982</v>
      </c>
      <c r="H12" s="14">
        <v>1285</v>
      </c>
      <c r="I12" s="100">
        <v>70</v>
      </c>
      <c r="J12" s="14">
        <f t="shared" si="2"/>
        <v>321.25</v>
      </c>
      <c r="K12" s="101">
        <f t="shared" ref="K12:K13" si="5">SUM(G12:J12)</f>
        <v>2973.9799999999982</v>
      </c>
      <c r="L12" s="178"/>
      <c r="O12" s="322">
        <f t="shared" si="4"/>
        <v>1676.25</v>
      </c>
    </row>
    <row r="13" spans="1:15">
      <c r="A13" s="786">
        <f>IF(B13&lt;&gt;"",SUBTOTAL(103,$B$9:B13),"")</f>
        <v>4</v>
      </c>
      <c r="B13" s="108" t="s">
        <v>106</v>
      </c>
      <c r="C13" s="109" t="str">
        <f>C12</f>
        <v>Ramatherdham</v>
      </c>
      <c r="D13" s="109" t="s">
        <v>140</v>
      </c>
      <c r="E13" s="13" t="s">
        <v>68</v>
      </c>
      <c r="F13" s="100">
        <f>F12</f>
        <v>97</v>
      </c>
      <c r="G13" s="14">
        <f>VLOOKUP(F13,'CON 2025-26'!A6:D132,3,TRUE)</f>
        <v>1297.7299999999982</v>
      </c>
      <c r="H13" s="14">
        <v>1024</v>
      </c>
      <c r="I13" s="100">
        <v>70</v>
      </c>
      <c r="J13" s="14">
        <f t="shared" si="2"/>
        <v>256</v>
      </c>
      <c r="K13" s="101">
        <f t="shared" si="5"/>
        <v>2647.7299999999982</v>
      </c>
      <c r="L13" s="179"/>
      <c r="O13" s="322">
        <f t="shared" si="4"/>
        <v>1350</v>
      </c>
    </row>
    <row r="14" spans="1:15">
      <c r="A14" s="786">
        <f>IF(B14&lt;&gt;"",SUBTOTAL(103,$B$9:B14),"")</f>
        <v>5</v>
      </c>
      <c r="B14" s="108" t="s">
        <v>1173</v>
      </c>
      <c r="C14" s="109" t="str">
        <f>C13</f>
        <v>Ramatherdham</v>
      </c>
      <c r="D14" s="109" t="s">
        <v>1260</v>
      </c>
      <c r="E14" s="13" t="s">
        <v>68</v>
      </c>
      <c r="F14" s="100">
        <f>F13</f>
        <v>97</v>
      </c>
      <c r="G14" s="14">
        <f>VLOOKUP(F14,'CON 2025-26'!A7:D133,3,TRUE)</f>
        <v>1297.7299999999982</v>
      </c>
      <c r="H14" s="14">
        <v>860</v>
      </c>
      <c r="I14" s="100">
        <v>70</v>
      </c>
      <c r="J14" s="14">
        <f t="shared" si="2"/>
        <v>215</v>
      </c>
      <c r="K14" s="101">
        <f t="shared" ref="K14" si="6">SUM(G14:J14)</f>
        <v>2442.7299999999982</v>
      </c>
      <c r="L14" s="178">
        <f>ROUND((K14+K15)/2,2)</f>
        <v>2332.73</v>
      </c>
      <c r="O14" s="322">
        <f t="shared" si="4"/>
        <v>1145</v>
      </c>
    </row>
    <row r="15" spans="1:15">
      <c r="A15" s="786">
        <f>IF(B15&lt;&gt;"",SUBTOTAL(103,$B$9:B15),"")</f>
        <v>6</v>
      </c>
      <c r="B15" s="108" t="s">
        <v>1174</v>
      </c>
      <c r="C15" s="109" t="str">
        <f>C14</f>
        <v>Ramatherdham</v>
      </c>
      <c r="D15" s="109" t="s">
        <v>1261</v>
      </c>
      <c r="E15" s="13" t="s">
        <v>68</v>
      </c>
      <c r="F15" s="100">
        <f>F14</f>
        <v>97</v>
      </c>
      <c r="G15" s="14">
        <f>VLOOKUP(F15,'CON 2025-26'!A8:D134,3,TRUE)</f>
        <v>1297.7299999999982</v>
      </c>
      <c r="H15" s="14">
        <v>684</v>
      </c>
      <c r="I15" s="100">
        <v>70</v>
      </c>
      <c r="J15" s="14">
        <f t="shared" si="2"/>
        <v>171</v>
      </c>
      <c r="K15" s="101">
        <f t="shared" ref="K15" si="7">SUM(G15:J15)</f>
        <v>2222.7299999999982</v>
      </c>
      <c r="L15" s="179"/>
      <c r="O15" s="322">
        <f t="shared" si="4"/>
        <v>925</v>
      </c>
    </row>
    <row r="16" spans="1:15">
      <c r="A16" s="786">
        <f>IF(B16&lt;&gt;"",SUBTOTAL(103,$B$9:B16),"")</f>
        <v>7</v>
      </c>
      <c r="B16" s="108" t="s">
        <v>430</v>
      </c>
      <c r="C16" s="109" t="s">
        <v>165</v>
      </c>
      <c r="D16" s="109" t="s">
        <v>850</v>
      </c>
      <c r="E16" s="13" t="s">
        <v>68</v>
      </c>
      <c r="F16" s="106">
        <f>F13</f>
        <v>97</v>
      </c>
      <c r="G16" s="14">
        <f>VLOOKUP(F16,'CON 2025-26'!A8:D133,3,TRUE)</f>
        <v>1297.7299999999982</v>
      </c>
      <c r="H16" s="14">
        <v>770</v>
      </c>
      <c r="I16" s="100">
        <v>70</v>
      </c>
      <c r="J16" s="14">
        <f t="shared" si="2"/>
        <v>192.5</v>
      </c>
      <c r="K16" s="101">
        <f t="shared" ref="K16" si="8">SUM(G16:J16)</f>
        <v>2330.2299999999982</v>
      </c>
      <c r="L16" s="178"/>
      <c r="O16" s="322">
        <f t="shared" si="4"/>
        <v>1032.5</v>
      </c>
    </row>
    <row r="17" spans="1:15" ht="30">
      <c r="A17" s="786">
        <f>IF(B17&lt;&gt;"",SUBTOTAL(103,$B$9:B17),"")</f>
        <v>8</v>
      </c>
      <c r="B17" s="108" t="s">
        <v>698</v>
      </c>
      <c r="C17" s="109" t="str">
        <f>C12</f>
        <v>Ramatherdham</v>
      </c>
      <c r="D17" s="109" t="s">
        <v>851</v>
      </c>
      <c r="E17" s="13" t="s">
        <v>68</v>
      </c>
      <c r="F17" s="100">
        <f>F12</f>
        <v>97</v>
      </c>
      <c r="G17" s="14">
        <f>VLOOKUP(F17,'CON 2025-26'!A6:D132,3,TRUE)</f>
        <v>1297.7299999999982</v>
      </c>
      <c r="H17" s="14">
        <v>771</v>
      </c>
      <c r="I17" s="100">
        <v>70</v>
      </c>
      <c r="J17" s="14">
        <f t="shared" ref="J17" si="9">ROUND(H17*0.25,2)</f>
        <v>192.75</v>
      </c>
      <c r="K17" s="101">
        <f t="shared" ref="K17" si="10">SUM(G17:J17)</f>
        <v>2331.4799999999982</v>
      </c>
      <c r="L17" s="101"/>
      <c r="O17" s="10">
        <f t="shared" si="4"/>
        <v>1033.75</v>
      </c>
    </row>
    <row r="18" spans="1:15" ht="30">
      <c r="A18" s="786">
        <f>IF(B18&lt;&gt;"",SUBTOTAL(103,$B$9:B18),"")</f>
        <v>9</v>
      </c>
      <c r="B18" s="108" t="s">
        <v>699</v>
      </c>
      <c r="C18" s="109" t="str">
        <f>C13</f>
        <v>Ramatherdham</v>
      </c>
      <c r="D18" s="109" t="s">
        <v>852</v>
      </c>
      <c r="E18" s="13" t="s">
        <v>68</v>
      </c>
      <c r="F18" s="100">
        <f>F13</f>
        <v>97</v>
      </c>
      <c r="G18" s="14">
        <f>VLOOKUP(F18,'CON 2025-26'!A7:D133,3,TRUE)</f>
        <v>1297.7299999999982</v>
      </c>
      <c r="H18" s="14">
        <v>1204</v>
      </c>
      <c r="I18" s="100">
        <v>70</v>
      </c>
      <c r="J18" s="14">
        <f t="shared" ref="J18" si="11">ROUND(H18*0.25,2)</f>
        <v>301</v>
      </c>
      <c r="K18" s="101">
        <f t="shared" ref="K18" si="12">SUM(G18:J18)</f>
        <v>2872.7299999999982</v>
      </c>
      <c r="L18" s="101">
        <f>ROUND((K17+K18+K19)/3,2)</f>
        <v>2692.73</v>
      </c>
      <c r="O18" s="10">
        <f t="shared" si="4"/>
        <v>1575</v>
      </c>
    </row>
    <row r="19" spans="1:15" ht="30">
      <c r="A19" s="786">
        <f>IF(B19&lt;&gt;"",SUBTOTAL(103,$B$9:B19),"")</f>
        <v>10</v>
      </c>
      <c r="B19" s="108" t="s">
        <v>700</v>
      </c>
      <c r="C19" s="109" t="str">
        <f>C16</f>
        <v>Ramatherdham</v>
      </c>
      <c r="D19" s="109" t="s">
        <v>853</v>
      </c>
      <c r="E19" s="13" t="s">
        <v>68</v>
      </c>
      <c r="F19" s="100">
        <f>F16</f>
        <v>97</v>
      </c>
      <c r="G19" s="14">
        <f>VLOOKUP(F19,'CON 2025-26'!A8:D134,3,TRUE)</f>
        <v>1297.7299999999982</v>
      </c>
      <c r="H19" s="14">
        <v>1205</v>
      </c>
      <c r="I19" s="100">
        <v>70</v>
      </c>
      <c r="J19" s="14">
        <f t="shared" ref="J19" si="13">ROUND(H19*0.25,2)</f>
        <v>301.25</v>
      </c>
      <c r="K19" s="101">
        <f t="shared" ref="K19" si="14">SUM(G19:J19)</f>
        <v>2873.9799999999982</v>
      </c>
      <c r="L19" s="101">
        <f>ROUND((K19+K20+K21+K22+K23)/5,2)</f>
        <v>2430.98</v>
      </c>
      <c r="O19" s="10">
        <f t="shared" si="4"/>
        <v>1576.25</v>
      </c>
    </row>
    <row r="20" spans="1:15" ht="30">
      <c r="A20" s="786">
        <f>IF(B20&lt;&gt;"",SUBTOTAL(103,$B$9:B20),"")</f>
        <v>11</v>
      </c>
      <c r="B20" s="108" t="s">
        <v>701</v>
      </c>
      <c r="C20" s="109" t="str">
        <f>C17</f>
        <v>Ramatherdham</v>
      </c>
      <c r="D20" s="109" t="s">
        <v>854</v>
      </c>
      <c r="E20" s="13" t="s">
        <v>68</v>
      </c>
      <c r="F20" s="100">
        <f>F17</f>
        <v>97</v>
      </c>
      <c r="G20" s="14">
        <f>VLOOKUP(F20,'CON 2025-26'!A9:D135,3,TRUE)</f>
        <v>1297.7299999999982</v>
      </c>
      <c r="H20" s="14">
        <v>980</v>
      </c>
      <c r="I20" s="100">
        <v>70</v>
      </c>
      <c r="J20" s="14">
        <f t="shared" ref="J20" si="15">ROUND(H20*0.25,2)</f>
        <v>245</v>
      </c>
      <c r="K20" s="101">
        <f t="shared" ref="K20" si="16">SUM(G20:J20)</f>
        <v>2592.7299999999982</v>
      </c>
      <c r="L20" s="101"/>
      <c r="O20" s="10">
        <f t="shared" si="4"/>
        <v>1295</v>
      </c>
    </row>
    <row r="21" spans="1:15" ht="45">
      <c r="A21" s="786">
        <f>IF(B21&lt;&gt;"",SUBTOTAL(103,$B$9:B21),"")</f>
        <v>12</v>
      </c>
      <c r="B21" s="108" t="s">
        <v>702</v>
      </c>
      <c r="C21" s="109" t="str">
        <f>C18</f>
        <v>Ramatherdham</v>
      </c>
      <c r="D21" s="109" t="s">
        <v>855</v>
      </c>
      <c r="E21" s="13" t="s">
        <v>68</v>
      </c>
      <c r="F21" s="100">
        <f>F18</f>
        <v>97</v>
      </c>
      <c r="G21" s="14">
        <f>VLOOKUP(F21,'CON 2025-26'!A10:D136,3,TRUE)</f>
        <v>1297.7299999999982</v>
      </c>
      <c r="H21" s="14">
        <v>853</v>
      </c>
      <c r="I21" s="100">
        <v>70</v>
      </c>
      <c r="J21" s="14">
        <f t="shared" ref="J21" si="17">ROUND(H21*0.25,2)</f>
        <v>213.25</v>
      </c>
      <c r="K21" s="101">
        <f t="shared" ref="K21" si="18">SUM(G21:J21)</f>
        <v>2433.9799999999982</v>
      </c>
      <c r="L21" s="101"/>
      <c r="O21" s="10">
        <f t="shared" si="4"/>
        <v>1136.25</v>
      </c>
    </row>
    <row r="22" spans="1:15">
      <c r="A22" s="786">
        <f>IF(B22&lt;&gt;"",SUBTOTAL(103,$B$9:B22),"")</f>
        <v>13</v>
      </c>
      <c r="B22" s="108" t="s">
        <v>856</v>
      </c>
      <c r="C22" s="109" t="str">
        <f>C13</f>
        <v>Ramatherdham</v>
      </c>
      <c r="D22" s="109" t="s">
        <v>141</v>
      </c>
      <c r="E22" s="13" t="s">
        <v>68</v>
      </c>
      <c r="F22" s="100">
        <f>F13</f>
        <v>97</v>
      </c>
      <c r="G22" s="14">
        <f>VLOOKUP(F22,'CON 2025-26'!A7:D133,3,TRUE)</f>
        <v>1297.7299999999982</v>
      </c>
      <c r="H22" s="14">
        <v>723</v>
      </c>
      <c r="I22" s="100">
        <v>70</v>
      </c>
      <c r="J22" s="14">
        <f t="shared" ref="J22:J24" si="19">ROUND(H22*0.25,2)</f>
        <v>180.75</v>
      </c>
      <c r="K22" s="101">
        <f t="shared" si="0"/>
        <v>2271.4799999999982</v>
      </c>
      <c r="L22" s="101">
        <f>(K22+K23)/2</f>
        <v>2127.1049999999982</v>
      </c>
      <c r="O22" s="10">
        <f t="shared" si="4"/>
        <v>973.75</v>
      </c>
    </row>
    <row r="23" spans="1:15" ht="30">
      <c r="A23" s="786">
        <f>IF(B23&lt;&gt;"",SUBTOTAL(103,$B$9:B23),"")</f>
        <v>14</v>
      </c>
      <c r="B23" s="108" t="s">
        <v>122</v>
      </c>
      <c r="C23" s="109" t="str">
        <f>C22</f>
        <v>Ramatherdham</v>
      </c>
      <c r="D23" s="109" t="s">
        <v>142</v>
      </c>
      <c r="E23" s="13" t="s">
        <v>68</v>
      </c>
      <c r="F23" s="100">
        <f>F22</f>
        <v>97</v>
      </c>
      <c r="G23" s="14">
        <f>VLOOKUP(F23,'CON 2025-26'!A8:D134,3,TRUE)</f>
        <v>1297.7299999999982</v>
      </c>
      <c r="H23" s="14">
        <v>492</v>
      </c>
      <c r="I23" s="100">
        <v>70</v>
      </c>
      <c r="J23" s="14">
        <f t="shared" si="19"/>
        <v>123</v>
      </c>
      <c r="K23" s="101">
        <f>SUM(G23:J23)</f>
        <v>1982.7299999999982</v>
      </c>
      <c r="L23" s="178">
        <f>ROUND((K23+K24)/2,2)</f>
        <v>1935.86</v>
      </c>
      <c r="O23" s="10">
        <f t="shared" si="4"/>
        <v>685</v>
      </c>
    </row>
    <row r="24" spans="1:15" ht="30">
      <c r="A24" s="786">
        <f>IF(B24&lt;&gt;"",SUBTOTAL(103,$B$9:B24),"")</f>
        <v>15</v>
      </c>
      <c r="B24" s="108" t="s">
        <v>73</v>
      </c>
      <c r="C24" s="109" t="str">
        <f>C23</f>
        <v>Ramatherdham</v>
      </c>
      <c r="D24" s="109" t="s">
        <v>143</v>
      </c>
      <c r="E24" s="13" t="s">
        <v>68</v>
      </c>
      <c r="F24" s="100">
        <f>F23</f>
        <v>97</v>
      </c>
      <c r="G24" s="14">
        <f>VLOOKUP(F24,'CON 2025-26'!A9:D135,3,TRUE)</f>
        <v>1297.7299999999982</v>
      </c>
      <c r="H24" s="14">
        <v>473</v>
      </c>
      <c r="I24" s="100"/>
      <c r="J24" s="14">
        <f t="shared" si="19"/>
        <v>118.25</v>
      </c>
      <c r="K24" s="101">
        <f t="shared" si="0"/>
        <v>1888.9799999999982</v>
      </c>
      <c r="L24" s="101"/>
    </row>
    <row r="25" spans="1:15">
      <c r="A25" s="786">
        <f>IF(B25&lt;&gt;"",SUBTOTAL(103,$B$9:B25),"")</f>
        <v>16</v>
      </c>
      <c r="B25" s="108" t="s">
        <v>167</v>
      </c>
      <c r="C25" s="109" t="s">
        <v>108</v>
      </c>
      <c r="D25" s="109" t="s">
        <v>144</v>
      </c>
      <c r="E25" s="13" t="s">
        <v>68</v>
      </c>
      <c r="F25" s="100">
        <v>5</v>
      </c>
      <c r="G25" s="14">
        <f>VLOOKUP(F25,'CON 2025-26'!A6:D126,2,TRUE)</f>
        <v>103</v>
      </c>
      <c r="H25" s="14">
        <v>145</v>
      </c>
      <c r="I25" s="100"/>
      <c r="J25" s="14" t="s">
        <v>52</v>
      </c>
      <c r="K25" s="101">
        <f>SUM(G25:J25)</f>
        <v>248</v>
      </c>
      <c r="L25" s="101"/>
    </row>
    <row r="26" spans="1:15">
      <c r="A26" s="786">
        <f>IF(B26&lt;&gt;"",SUBTOTAL(103,$B$9:B26),"")</f>
        <v>17</v>
      </c>
      <c r="B26" s="108" t="s">
        <v>34</v>
      </c>
      <c r="C26" s="109" t="s">
        <v>108</v>
      </c>
      <c r="D26" s="109" t="s">
        <v>145</v>
      </c>
      <c r="E26" s="13" t="s">
        <v>74</v>
      </c>
      <c r="F26" s="14"/>
      <c r="G26" s="14"/>
      <c r="H26" s="14">
        <v>4218.8</v>
      </c>
      <c r="I26" s="100"/>
      <c r="J26" s="14"/>
      <c r="K26" s="101">
        <f t="shared" si="0"/>
        <v>4218.8</v>
      </c>
      <c r="L26" s="759"/>
    </row>
    <row r="27" spans="1:15">
      <c r="A27" s="786">
        <f>IF(B27&lt;&gt;"",SUBTOTAL(103,$B$9:B27),"")</f>
        <v>18</v>
      </c>
      <c r="B27" s="108" t="s">
        <v>1191</v>
      </c>
      <c r="C27" s="109" t="s">
        <v>108</v>
      </c>
      <c r="D27" s="109" t="s">
        <v>857</v>
      </c>
      <c r="E27" s="13" t="s">
        <v>74</v>
      </c>
      <c r="F27" s="14"/>
      <c r="G27" s="14"/>
      <c r="H27" s="14">
        <v>58000</v>
      </c>
      <c r="I27" s="100"/>
      <c r="J27" s="14"/>
      <c r="K27" s="101">
        <f t="shared" ref="K27" si="20">SUM(G27:J27)</f>
        <v>58000</v>
      </c>
      <c r="L27" s="101"/>
    </row>
    <row r="28" spans="1:15" ht="30">
      <c r="A28" s="786">
        <f>IF(B28&lt;&gt;"",SUBTOTAL(103,$B$9:B28),"")</f>
        <v>19</v>
      </c>
      <c r="B28" s="108" t="s">
        <v>1276</v>
      </c>
      <c r="C28" s="109" t="s">
        <v>745</v>
      </c>
      <c r="D28" s="109" t="s">
        <v>858</v>
      </c>
      <c r="E28" s="13"/>
      <c r="F28" s="14">
        <v>340</v>
      </c>
      <c r="G28" s="14">
        <f>F28*1.9*2</f>
        <v>1292</v>
      </c>
      <c r="H28" s="14">
        <v>46493</v>
      </c>
      <c r="I28" s="100"/>
      <c r="J28" s="14"/>
      <c r="K28" s="101">
        <f t="shared" ref="K28" si="21">SUM(G28:J28)</f>
        <v>47785</v>
      </c>
      <c r="L28" s="101"/>
    </row>
    <row r="29" spans="1:15">
      <c r="A29" s="786">
        <f>IF(B29&lt;&gt;"",SUBTOTAL(103,$B$9:B29),"")</f>
        <v>20</v>
      </c>
      <c r="B29" s="108" t="s">
        <v>1263</v>
      </c>
      <c r="C29" s="109" t="s">
        <v>745</v>
      </c>
      <c r="D29" s="109" t="s">
        <v>858</v>
      </c>
      <c r="E29" s="13"/>
      <c r="F29" s="14">
        <f>F28</f>
        <v>340</v>
      </c>
      <c r="G29" s="14">
        <f>F29*1.9*2</f>
        <v>1292</v>
      </c>
      <c r="H29" s="14">
        <v>43923</v>
      </c>
      <c r="I29" s="100"/>
      <c r="J29" s="14"/>
      <c r="K29" s="101">
        <f t="shared" ref="K29" si="22">SUM(G29:J29)</f>
        <v>45215</v>
      </c>
      <c r="L29" s="101"/>
    </row>
    <row r="30" spans="1:15" ht="30">
      <c r="A30" s="786">
        <f>IF(B30&lt;&gt;"",SUBTOTAL(103,$B$9:B30),"")</f>
        <v>21</v>
      </c>
      <c r="B30" s="108" t="s">
        <v>1264</v>
      </c>
      <c r="C30" s="109" t="s">
        <v>745</v>
      </c>
      <c r="D30" s="109" t="s">
        <v>859</v>
      </c>
      <c r="E30" s="13"/>
      <c r="F30" s="14">
        <f>F29</f>
        <v>340</v>
      </c>
      <c r="G30" s="14">
        <f>F30*1.9*2</f>
        <v>1292</v>
      </c>
      <c r="H30" s="14">
        <v>45682</v>
      </c>
      <c r="I30" s="100"/>
      <c r="J30" s="14"/>
      <c r="K30" s="101">
        <f t="shared" ref="K30" si="23">SUM(G30:J30)</f>
        <v>46974</v>
      </c>
      <c r="L30" s="101"/>
    </row>
    <row r="31" spans="1:15" ht="21.75" customHeight="1">
      <c r="A31" s="786">
        <f>IF(B31&lt;&gt;"",SUBTOTAL(103,$B$9:B31),"")</f>
        <v>22</v>
      </c>
      <c r="B31" s="108" t="s">
        <v>759</v>
      </c>
      <c r="C31" s="109" t="s">
        <v>617</v>
      </c>
      <c r="D31" s="1332" t="s">
        <v>1262</v>
      </c>
      <c r="E31" s="13" t="s">
        <v>68</v>
      </c>
      <c r="F31" s="100">
        <v>120</v>
      </c>
      <c r="G31" s="14">
        <f>ROUND((307.74)+((F31-5)*14.11),2)</f>
        <v>1930.39</v>
      </c>
      <c r="H31" s="14">
        <v>5777</v>
      </c>
      <c r="I31" s="100"/>
      <c r="J31" s="14"/>
      <c r="K31" s="101">
        <f t="shared" ref="K31" si="24">SUM(G31:J31)</f>
        <v>7707.39</v>
      </c>
      <c r="L31" s="101"/>
    </row>
    <row r="32" spans="1:15" ht="21.75" customHeight="1">
      <c r="A32" s="786">
        <f>IF(B32&lt;&gt;"",SUBTOTAL(103,$B$9:B32),"")</f>
        <v>23</v>
      </c>
      <c r="B32" s="108" t="s">
        <v>878</v>
      </c>
      <c r="C32" s="109" t="s">
        <v>617</v>
      </c>
      <c r="D32" s="13" t="s">
        <v>618</v>
      </c>
      <c r="E32" s="13" t="s">
        <v>68</v>
      </c>
      <c r="F32" s="100">
        <f>F31</f>
        <v>120</v>
      </c>
      <c r="G32" s="14">
        <f>ROUND((145.68)+((F32-5)*6.45),2)</f>
        <v>887.43</v>
      </c>
      <c r="H32" s="14">
        <v>2281</v>
      </c>
      <c r="I32" s="100"/>
      <c r="J32" s="14"/>
      <c r="K32" s="101">
        <f t="shared" ref="K32" si="25">SUM(G32:J32)</f>
        <v>3168.43</v>
      </c>
      <c r="L32" s="101"/>
    </row>
    <row r="33" spans="1:11">
      <c r="I33" s="15"/>
      <c r="J33" s="15"/>
      <c r="K33" s="16"/>
    </row>
    <row r="34" spans="1:11">
      <c r="A34" s="17">
        <v>1</v>
      </c>
      <c r="B34" s="10" t="s">
        <v>69</v>
      </c>
    </row>
    <row r="35" spans="1:11">
      <c r="A35" s="18">
        <v>2</v>
      </c>
      <c r="B35" s="19" t="s">
        <v>1257</v>
      </c>
    </row>
    <row r="37" spans="1:11">
      <c r="G37" s="102" t="s">
        <v>95</v>
      </c>
      <c r="H37" s="10"/>
      <c r="I37" s="102"/>
      <c r="J37" s="102" t="s">
        <v>99</v>
      </c>
      <c r="K37" s="10"/>
    </row>
    <row r="38" spans="1:11" s="20" customFormat="1">
      <c r="A38" s="10"/>
      <c r="B38" s="10"/>
      <c r="C38" s="12"/>
      <c r="D38" s="12"/>
      <c r="E38" s="12"/>
      <c r="F38" s="12"/>
      <c r="G38" s="102" t="s">
        <v>768</v>
      </c>
      <c r="I38" s="102"/>
      <c r="J38" s="102" t="s">
        <v>100</v>
      </c>
    </row>
    <row r="39" spans="1:11" s="20" customFormat="1">
      <c r="A39" s="10"/>
      <c r="B39" s="10"/>
      <c r="C39" s="12"/>
      <c r="D39" s="12"/>
      <c r="E39" s="12"/>
      <c r="F39" s="12"/>
      <c r="G39" s="12"/>
      <c r="H39" s="12"/>
      <c r="I39" s="12"/>
      <c r="J39" s="102" t="s">
        <v>1265</v>
      </c>
    </row>
  </sheetData>
  <mergeCells count="14">
    <mergeCell ref="L6:L7"/>
    <mergeCell ref="H6:H7"/>
    <mergeCell ref="I6:I7"/>
    <mergeCell ref="J6:J7"/>
    <mergeCell ref="A1:K1"/>
    <mergeCell ref="I4:J4"/>
    <mergeCell ref="A6:A7"/>
    <mergeCell ref="K6:K7"/>
    <mergeCell ref="B6:B7"/>
    <mergeCell ref="C6:C7"/>
    <mergeCell ref="E6:E7"/>
    <mergeCell ref="F6:G6"/>
    <mergeCell ref="D6:D7"/>
    <mergeCell ref="C3:K3"/>
  </mergeCells>
  <printOptions horizontalCentered="1"/>
  <pageMargins left="0.23622047244094499" right="0.15748031496063" top="0.35433070866141703" bottom="0.69" header="0.38" footer="0.23622047244094499"/>
  <pageSetup paperSize="9" scale="95" orientation="landscape" errors="blank"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sheetPr>
  <dimension ref="A1:K237"/>
  <sheetViews>
    <sheetView view="pageBreakPreview" topLeftCell="A213" zoomScale="115" zoomScaleNormal="85" zoomScaleSheetLayoutView="115" workbookViewId="0">
      <selection activeCell="A213" sqref="A213"/>
    </sheetView>
  </sheetViews>
  <sheetFormatPr defaultRowHeight="12.75"/>
  <cols>
    <col min="1" max="1" width="6" style="36" customWidth="1"/>
    <col min="2" max="2" width="7.140625" style="37" customWidth="1"/>
    <col min="3" max="3" width="5.7109375" style="38" customWidth="1"/>
    <col min="4" max="4" width="48.5703125" style="38" customWidth="1"/>
    <col min="5" max="5" width="10.5703125" style="40" customWidth="1"/>
    <col min="6" max="6" width="11" style="129" customWidth="1"/>
    <col min="7" max="7" width="8.42578125" style="39" bestFit="1" customWidth="1"/>
    <col min="8" max="8" width="11.7109375" style="37" customWidth="1"/>
    <col min="9" max="9" width="1.28515625" style="40" hidden="1" customWidth="1"/>
    <col min="10" max="10" width="9.140625" style="40"/>
    <col min="11" max="16384" width="9.140625" style="41"/>
  </cols>
  <sheetData>
    <row r="1" spans="1:11" ht="29.25" customHeight="1">
      <c r="A1" s="1151" t="s">
        <v>1266</v>
      </c>
      <c r="B1" s="1151"/>
      <c r="C1" s="1151"/>
      <c r="D1" s="1151"/>
      <c r="E1" s="1151"/>
      <c r="F1" s="1151"/>
      <c r="G1" s="1151"/>
      <c r="H1" s="1151"/>
    </row>
    <row r="2" spans="1:11" s="70" customFormat="1" ht="46.5" customHeight="1">
      <c r="A2" s="1156" t="str">
        <f>'lead 2025-26'!B3</f>
        <v xml:space="preserve">Name of the work : </v>
      </c>
      <c r="B2" s="1156"/>
      <c r="C2" s="1156"/>
      <c r="D2" s="1157" t="str">
        <f>'lead 2025-26'!C3</f>
        <v>Providing BT Surface to the road from Inimerla SC colony to National Highway at Nuchupoda in Inimerla GP of Pamuru Mandal.</v>
      </c>
      <c r="E2" s="1157"/>
      <c r="F2" s="1157"/>
      <c r="G2" s="1157"/>
      <c r="H2" s="1157"/>
      <c r="I2" s="69"/>
      <c r="J2" s="69"/>
    </row>
    <row r="3" spans="1:11" s="70" customFormat="1" ht="24" customHeight="1">
      <c r="A3" s="69"/>
      <c r="B3" s="71"/>
      <c r="C3" s="72"/>
      <c r="D3" s="764"/>
      <c r="E3" s="763"/>
      <c r="F3" s="280" t="str">
        <f>'lead 2025-26'!I4</f>
        <v xml:space="preserve">Est. Cost Rs: </v>
      </c>
      <c r="G3" s="1158" t="str">
        <f>'lead 2025-26'!K4</f>
        <v>140.00 Lakhs</v>
      </c>
      <c r="H3" s="1158"/>
      <c r="I3" s="69"/>
      <c r="J3" s="648" t="s">
        <v>791</v>
      </c>
      <c r="K3" s="647">
        <v>0.13614999999999999</v>
      </c>
    </row>
    <row r="4" spans="1:11" s="47" customFormat="1" ht="21.75" customHeight="1">
      <c r="A4" s="42" t="s">
        <v>35</v>
      </c>
      <c r="B4" s="43" t="s">
        <v>5</v>
      </c>
      <c r="C4" s="652" t="s">
        <v>3</v>
      </c>
      <c r="D4" s="45" t="s">
        <v>6</v>
      </c>
      <c r="E4" s="45" t="s">
        <v>137</v>
      </c>
      <c r="F4" s="46" t="s">
        <v>7</v>
      </c>
      <c r="G4" s="46" t="s">
        <v>8</v>
      </c>
      <c r="H4" s="46" t="s">
        <v>9</v>
      </c>
    </row>
    <row r="5" spans="1:11" s="23" customFormat="1">
      <c r="A5" s="48">
        <v>1</v>
      </c>
      <c r="B5" s="49">
        <v>2</v>
      </c>
      <c r="C5" s="653">
        <v>3</v>
      </c>
      <c r="D5" s="51">
        <v>4</v>
      </c>
      <c r="E5" s="51">
        <v>5</v>
      </c>
      <c r="F5" s="279">
        <v>6</v>
      </c>
      <c r="G5" s="52">
        <v>7</v>
      </c>
      <c r="H5" s="52">
        <v>8</v>
      </c>
    </row>
    <row r="6" spans="1:11" s="26" customFormat="1" ht="63.75" hidden="1">
      <c r="A6" s="73">
        <v>1</v>
      </c>
      <c r="B6" s="1152"/>
      <c r="C6" s="1153"/>
      <c r="D6" s="323" t="s">
        <v>387</v>
      </c>
      <c r="E6" s="321"/>
      <c r="F6" s="660"/>
      <c r="G6" s="95"/>
      <c r="H6" s="661"/>
      <c r="I6" s="662"/>
      <c r="J6" s="23"/>
    </row>
    <row r="7" spans="1:11" s="665" customFormat="1" hidden="1">
      <c r="A7" s="73"/>
      <c r="B7" s="76">
        <v>1</v>
      </c>
      <c r="C7" s="663" t="s">
        <v>10</v>
      </c>
      <c r="D7" s="323" t="s">
        <v>860</v>
      </c>
      <c r="E7" s="321"/>
      <c r="F7" s="660">
        <v>144.26</v>
      </c>
      <c r="G7" s="78" t="s">
        <v>23</v>
      </c>
      <c r="H7" s="96">
        <f>ROUND(B7*F7,2)</f>
        <v>144.26</v>
      </c>
      <c r="I7" s="662"/>
      <c r="J7" s="664"/>
    </row>
    <row r="8" spans="1:11" s="22" customFormat="1" ht="13.5" hidden="1" thickBot="1">
      <c r="A8" s="73"/>
      <c r="B8" s="76"/>
      <c r="C8" s="80"/>
      <c r="D8" s="666" t="s">
        <v>120</v>
      </c>
      <c r="E8" s="95"/>
      <c r="F8" s="74"/>
      <c r="G8" s="74"/>
      <c r="H8" s="667">
        <f>SUM(H7)</f>
        <v>144.26</v>
      </c>
      <c r="I8" s="53"/>
      <c r="J8" s="33"/>
    </row>
    <row r="9" spans="1:11" s="832" customFormat="1" ht="114.75">
      <c r="A9" s="73">
        <v>1</v>
      </c>
      <c r="B9" s="1154" t="s">
        <v>784</v>
      </c>
      <c r="C9" s="1155"/>
      <c r="D9" s="829" t="s">
        <v>785</v>
      </c>
      <c r="E9" s="830"/>
      <c r="F9" s="95"/>
      <c r="G9" s="78"/>
      <c r="H9" s="831"/>
    </row>
    <row r="10" spans="1:11" s="832" customFormat="1" ht="15">
      <c r="A10" s="73"/>
      <c r="B10" s="833"/>
      <c r="C10" s="834"/>
      <c r="D10" s="829" t="s">
        <v>786</v>
      </c>
      <c r="E10" s="835"/>
      <c r="F10" s="95"/>
      <c r="G10" s="78"/>
      <c r="H10" s="831"/>
    </row>
    <row r="11" spans="1:11" s="832" customFormat="1" ht="15">
      <c r="A11" s="321"/>
      <c r="B11" s="833"/>
      <c r="C11" s="834"/>
      <c r="D11" s="829" t="s">
        <v>787</v>
      </c>
      <c r="E11" s="835"/>
      <c r="F11" s="95"/>
      <c r="G11" s="95"/>
      <c r="H11" s="831"/>
    </row>
    <row r="12" spans="1:11" s="832" customFormat="1" ht="15">
      <c r="A12" s="321"/>
      <c r="B12" s="833"/>
      <c r="C12" s="834"/>
      <c r="D12" s="836" t="s">
        <v>582</v>
      </c>
      <c r="E12" s="837"/>
      <c r="F12" s="95"/>
      <c r="G12" s="78"/>
      <c r="H12" s="831"/>
    </row>
    <row r="13" spans="1:11" s="832" customFormat="1" ht="15">
      <c r="A13" s="321"/>
      <c r="B13" s="833"/>
      <c r="C13" s="834"/>
      <c r="D13" s="836" t="s">
        <v>788</v>
      </c>
      <c r="E13" s="837"/>
      <c r="F13" s="95"/>
      <c r="G13" s="78"/>
      <c r="H13" s="831"/>
    </row>
    <row r="14" spans="1:11" s="832" customFormat="1" ht="15">
      <c r="A14" s="321"/>
      <c r="B14" s="833"/>
      <c r="C14" s="834"/>
      <c r="D14" s="838" t="s">
        <v>37</v>
      </c>
      <c r="E14" s="830"/>
      <c r="F14" s="95"/>
      <c r="G14" s="78"/>
      <c r="H14" s="831"/>
    </row>
    <row r="15" spans="1:11" s="832" customFormat="1" ht="15">
      <c r="A15" s="321"/>
      <c r="B15" s="341">
        <v>4.16</v>
      </c>
      <c r="C15" s="834" t="s">
        <v>24</v>
      </c>
      <c r="D15" s="829" t="s">
        <v>583</v>
      </c>
      <c r="E15" s="767" t="s">
        <v>147</v>
      </c>
      <c r="F15" s="660">
        <v>615</v>
      </c>
      <c r="G15" s="74" t="s">
        <v>71</v>
      </c>
      <c r="H15" s="97">
        <f>ROUND(B15*F15,2)</f>
        <v>2558.4</v>
      </c>
    </row>
    <row r="16" spans="1:11" s="832" customFormat="1" ht="15">
      <c r="A16" s="321"/>
      <c r="B16" s="341">
        <v>10</v>
      </c>
      <c r="C16" s="834" t="s">
        <v>422</v>
      </c>
      <c r="D16" s="829" t="s">
        <v>751</v>
      </c>
      <c r="E16" s="767" t="s">
        <v>778</v>
      </c>
      <c r="F16" s="660">
        <v>1945</v>
      </c>
      <c r="G16" s="74" t="s">
        <v>71</v>
      </c>
      <c r="H16" s="97">
        <f>ROUND(B16*F16,2)</f>
        <v>19450</v>
      </c>
    </row>
    <row r="17" spans="1:10" s="832" customFormat="1" ht="15">
      <c r="A17" s="321"/>
      <c r="B17" s="341">
        <v>1</v>
      </c>
      <c r="C17" s="834" t="s">
        <v>422</v>
      </c>
      <c r="D17" s="829" t="s">
        <v>789</v>
      </c>
      <c r="E17" s="767" t="s">
        <v>790</v>
      </c>
      <c r="F17" s="660">
        <v>541</v>
      </c>
      <c r="G17" s="74" t="s">
        <v>71</v>
      </c>
      <c r="H17" s="97">
        <f>ROUND(B17*F17,2)</f>
        <v>541</v>
      </c>
    </row>
    <row r="18" spans="1:10" s="832" customFormat="1" ht="15">
      <c r="A18" s="321"/>
      <c r="B18" s="341"/>
      <c r="C18" s="834"/>
      <c r="D18" s="838"/>
      <c r="E18" s="835"/>
      <c r="F18" s="839"/>
      <c r="G18" s="78"/>
      <c r="H18" s="840">
        <f>SUM(H15:H17)</f>
        <v>22549.4</v>
      </c>
    </row>
    <row r="19" spans="1:10" s="832" customFormat="1" ht="15">
      <c r="A19" s="321"/>
      <c r="B19" s="341"/>
      <c r="C19" s="834"/>
      <c r="D19" s="829" t="s">
        <v>792</v>
      </c>
      <c r="E19" s="835"/>
      <c r="F19" s="839"/>
      <c r="G19" s="78"/>
      <c r="H19" s="831">
        <f>ROUND(H18*$K$3,2)</f>
        <v>3070.1</v>
      </c>
    </row>
    <row r="20" spans="1:10" s="832" customFormat="1" ht="15">
      <c r="A20" s="321"/>
      <c r="B20" s="341"/>
      <c r="C20" s="834"/>
      <c r="D20" s="838" t="s">
        <v>793</v>
      </c>
      <c r="E20" s="835"/>
      <c r="F20" s="839"/>
      <c r="G20" s="78"/>
      <c r="H20" s="840">
        <f>SUM(H18:H19)</f>
        <v>25619.5</v>
      </c>
    </row>
    <row r="21" spans="1:10" s="832" customFormat="1" ht="15">
      <c r="A21" s="321"/>
      <c r="B21" s="833"/>
      <c r="C21" s="834"/>
      <c r="D21" s="838" t="s">
        <v>794</v>
      </c>
      <c r="E21" s="835"/>
      <c r="F21" s="839"/>
      <c r="G21" s="78"/>
      <c r="H21" s="840">
        <f>ROUND(H18/10000,2)</f>
        <v>2.25</v>
      </c>
    </row>
    <row r="22" spans="1:10" s="26" customFormat="1" ht="76.5" hidden="1">
      <c r="A22" s="73">
        <v>3</v>
      </c>
      <c r="B22" s="841"/>
      <c r="C22" s="663"/>
      <c r="D22" s="323" t="s">
        <v>146</v>
      </c>
      <c r="E22" s="321"/>
      <c r="F22" s="660"/>
      <c r="G22" s="95"/>
      <c r="H22" s="661"/>
      <c r="I22" s="662"/>
      <c r="J22" s="23"/>
    </row>
    <row r="23" spans="1:10" s="665" customFormat="1" hidden="1">
      <c r="A23" s="73"/>
      <c r="B23" s="79"/>
      <c r="C23" s="663"/>
      <c r="D23" s="323" t="s">
        <v>130</v>
      </c>
      <c r="E23" s="321"/>
      <c r="F23" s="78"/>
      <c r="G23" s="78"/>
      <c r="H23" s="96"/>
      <c r="I23" s="662"/>
      <c r="J23" s="664"/>
    </row>
    <row r="24" spans="1:10" s="665" customFormat="1" hidden="1">
      <c r="A24" s="73"/>
      <c r="B24" s="841">
        <v>2.08</v>
      </c>
      <c r="C24" s="663" t="s">
        <v>24</v>
      </c>
      <c r="D24" s="323" t="s">
        <v>131</v>
      </c>
      <c r="E24" s="767" t="s">
        <v>147</v>
      </c>
      <c r="F24" s="78">
        <v>615</v>
      </c>
      <c r="G24" s="78" t="s">
        <v>71</v>
      </c>
      <c r="H24" s="96">
        <f>ROUND(B24*F24,2)</f>
        <v>1279.2</v>
      </c>
      <c r="I24" s="662"/>
      <c r="J24" s="664"/>
    </row>
    <row r="25" spans="1:10" s="665" customFormat="1" hidden="1">
      <c r="A25" s="73"/>
      <c r="B25" s="76">
        <v>3.6</v>
      </c>
      <c r="C25" s="663" t="s">
        <v>43</v>
      </c>
      <c r="D25" s="323" t="s">
        <v>132</v>
      </c>
      <c r="E25" s="321" t="s">
        <v>148</v>
      </c>
      <c r="F25" s="660">
        <v>3607.52</v>
      </c>
      <c r="G25" s="78" t="s">
        <v>121</v>
      </c>
      <c r="H25" s="96">
        <f>ROUND(B25*F25,2)</f>
        <v>12987.07</v>
      </c>
      <c r="I25" s="662"/>
      <c r="J25" s="664"/>
    </row>
    <row r="26" spans="1:10" s="665" customFormat="1" hidden="1">
      <c r="A26" s="73"/>
      <c r="B26" s="76">
        <v>15</v>
      </c>
      <c r="C26" s="663" t="s">
        <v>43</v>
      </c>
      <c r="D26" s="323" t="s">
        <v>133</v>
      </c>
      <c r="E26" s="321" t="s">
        <v>268</v>
      </c>
      <c r="F26" s="660">
        <v>1287.5</v>
      </c>
      <c r="G26" s="78" t="s">
        <v>121</v>
      </c>
      <c r="H26" s="96">
        <f>ROUND(B26*F26,2)</f>
        <v>19312.5</v>
      </c>
      <c r="I26" s="662"/>
      <c r="J26" s="664"/>
    </row>
    <row r="27" spans="1:10" s="665" customFormat="1" hidden="1">
      <c r="A27" s="73"/>
      <c r="B27" s="79"/>
      <c r="C27" s="663"/>
      <c r="D27" s="666"/>
      <c r="E27" s="95"/>
      <c r="F27" s="78"/>
      <c r="G27" s="78"/>
      <c r="H27" s="842">
        <f>SUM(H24:H26)</f>
        <v>33578.770000000004</v>
      </c>
      <c r="I27" s="662"/>
      <c r="J27" s="664"/>
    </row>
    <row r="28" spans="1:10" s="665" customFormat="1" hidden="1">
      <c r="A28" s="73"/>
      <c r="B28" s="79"/>
      <c r="C28" s="663"/>
      <c r="D28" s="829" t="s">
        <v>792</v>
      </c>
      <c r="E28" s="843"/>
      <c r="F28" s="839"/>
      <c r="G28" s="78"/>
      <c r="H28" s="831">
        <f>ROUND(H27*$K$3,2)</f>
        <v>4571.75</v>
      </c>
      <c r="I28" s="662"/>
      <c r="J28" s="664"/>
    </row>
    <row r="29" spans="1:10" s="665" customFormat="1" hidden="1">
      <c r="A29" s="73"/>
      <c r="B29" s="79"/>
      <c r="C29" s="663"/>
      <c r="D29" s="666" t="s">
        <v>134</v>
      </c>
      <c r="E29" s="95"/>
      <c r="F29" s="78"/>
      <c r="G29" s="78"/>
      <c r="H29" s="844">
        <f>SUM(H27:H28)</f>
        <v>38150.520000000004</v>
      </c>
      <c r="I29" s="662"/>
      <c r="J29" s="664"/>
    </row>
    <row r="30" spans="1:10" s="22" customFormat="1" ht="13.5" hidden="1" thickBot="1">
      <c r="A30" s="73"/>
      <c r="B30" s="76"/>
      <c r="C30" s="80"/>
      <c r="D30" s="666" t="s">
        <v>12</v>
      </c>
      <c r="E30" s="95"/>
      <c r="F30" s="74"/>
      <c r="G30" s="74"/>
      <c r="H30" s="845">
        <f>ROUND(H29/360,2)</f>
        <v>105.97</v>
      </c>
      <c r="I30" s="53"/>
      <c r="J30" s="33"/>
    </row>
    <row r="31" spans="1:10" s="26" customFormat="1" ht="51">
      <c r="A31" s="73">
        <v>2</v>
      </c>
      <c r="B31" s="1152" t="s">
        <v>265</v>
      </c>
      <c r="C31" s="1153"/>
      <c r="D31" s="323" t="s">
        <v>262</v>
      </c>
      <c r="E31" s="321"/>
      <c r="F31" s="660"/>
      <c r="G31" s="95"/>
      <c r="H31" s="661"/>
      <c r="I31" s="662"/>
      <c r="J31" s="23"/>
    </row>
    <row r="32" spans="1:10" s="665" customFormat="1">
      <c r="A32" s="73"/>
      <c r="B32" s="79"/>
      <c r="C32" s="663"/>
      <c r="D32" s="323" t="s">
        <v>263</v>
      </c>
      <c r="E32" s="321"/>
      <c r="F32" s="78"/>
      <c r="G32" s="78"/>
      <c r="H32" s="96"/>
      <c r="I32" s="662"/>
      <c r="J32" s="664"/>
    </row>
    <row r="33" spans="1:10" s="665" customFormat="1">
      <c r="A33" s="73"/>
      <c r="B33" s="841">
        <v>4.16</v>
      </c>
      <c r="C33" s="663" t="s">
        <v>24</v>
      </c>
      <c r="D33" s="323" t="s">
        <v>131</v>
      </c>
      <c r="E33" s="767" t="s">
        <v>147</v>
      </c>
      <c r="F33" s="78">
        <v>615</v>
      </c>
      <c r="G33" s="78" t="s">
        <v>71</v>
      </c>
      <c r="H33" s="96">
        <f t="shared" ref="H33:H34" si="0">ROUND(B33*F33,2)</f>
        <v>2558.4</v>
      </c>
      <c r="I33" s="662"/>
      <c r="J33" s="664"/>
    </row>
    <row r="34" spans="1:10" s="665" customFormat="1">
      <c r="A34" s="73"/>
      <c r="B34" s="76">
        <v>1.5</v>
      </c>
      <c r="C34" s="663" t="s">
        <v>43</v>
      </c>
      <c r="D34" s="323" t="s">
        <v>264</v>
      </c>
      <c r="E34" s="321" t="s">
        <v>790</v>
      </c>
      <c r="F34" s="660">
        <v>553</v>
      </c>
      <c r="G34" s="78" t="s">
        <v>121</v>
      </c>
      <c r="H34" s="96">
        <f t="shared" si="0"/>
        <v>829.5</v>
      </c>
      <c r="I34" s="662"/>
      <c r="J34" s="664"/>
    </row>
    <row r="35" spans="1:10" s="665" customFormat="1">
      <c r="A35" s="73"/>
      <c r="B35" s="79"/>
      <c r="C35" s="663"/>
      <c r="D35" s="666"/>
      <c r="E35" s="95"/>
      <c r="F35" s="78"/>
      <c r="G35" s="78"/>
      <c r="H35" s="846">
        <f>SUM(H33:H34)</f>
        <v>3387.9</v>
      </c>
      <c r="I35" s="662"/>
      <c r="J35" s="664"/>
    </row>
    <row r="36" spans="1:10" s="665" customFormat="1">
      <c r="A36" s="73"/>
      <c r="B36" s="79"/>
      <c r="C36" s="663"/>
      <c r="D36" s="829" t="s">
        <v>792</v>
      </c>
      <c r="E36" s="843"/>
      <c r="F36" s="839"/>
      <c r="G36" s="78"/>
      <c r="H36" s="831">
        <f>ROUND(H35*$K$3,2)</f>
        <v>461.26</v>
      </c>
      <c r="I36" s="662"/>
      <c r="J36" s="664"/>
    </row>
    <row r="37" spans="1:10" s="665" customFormat="1">
      <c r="A37" s="73"/>
      <c r="B37" s="79"/>
      <c r="C37" s="663"/>
      <c r="D37" s="666" t="s">
        <v>260</v>
      </c>
      <c r="E37" s="95"/>
      <c r="F37" s="78"/>
      <c r="G37" s="78"/>
      <c r="H37" s="844">
        <f>SUM(H35:H36)</f>
        <v>3849.16</v>
      </c>
      <c r="I37" s="662"/>
      <c r="J37" s="664"/>
    </row>
    <row r="38" spans="1:10" s="22" customFormat="1" ht="13.5" thickBot="1">
      <c r="A38" s="73"/>
      <c r="B38" s="76"/>
      <c r="C38" s="80"/>
      <c r="D38" s="666" t="s">
        <v>12</v>
      </c>
      <c r="E38" s="95"/>
      <c r="F38" s="74"/>
      <c r="G38" s="74"/>
      <c r="H38" s="845">
        <f>ROUND(H37/100,2)</f>
        <v>38.49</v>
      </c>
      <c r="I38" s="53"/>
      <c r="J38" s="33"/>
    </row>
    <row r="39" spans="1:10" s="832" customFormat="1" ht="77.25" hidden="1" thickTop="1">
      <c r="A39" s="73">
        <v>5</v>
      </c>
      <c r="B39" s="1154" t="s">
        <v>776</v>
      </c>
      <c r="C39" s="1155"/>
      <c r="D39" s="829" t="s">
        <v>777</v>
      </c>
      <c r="E39" s="830"/>
      <c r="F39" s="95"/>
      <c r="G39" s="78"/>
      <c r="H39" s="831"/>
    </row>
    <row r="40" spans="1:10" s="832" customFormat="1" ht="15" hidden="1">
      <c r="A40" s="73"/>
      <c r="B40" s="833"/>
      <c r="C40" s="834"/>
      <c r="D40" s="829" t="s">
        <v>40</v>
      </c>
      <c r="E40" s="835"/>
      <c r="F40" s="95"/>
      <c r="G40" s="78"/>
      <c r="H40" s="831"/>
    </row>
    <row r="41" spans="1:10" s="832" customFormat="1" ht="15" hidden="1">
      <c r="A41" s="321"/>
      <c r="B41" s="833"/>
      <c r="C41" s="834"/>
      <c r="D41" s="829" t="s">
        <v>681</v>
      </c>
      <c r="E41" s="835"/>
      <c r="F41" s="95"/>
      <c r="G41" s="95"/>
      <c r="H41" s="831"/>
    </row>
    <row r="42" spans="1:10" s="832" customFormat="1" ht="15" hidden="1">
      <c r="A42" s="321"/>
      <c r="B42" s="833"/>
      <c r="C42" s="834"/>
      <c r="D42" s="836" t="s">
        <v>582</v>
      </c>
      <c r="E42" s="837"/>
      <c r="F42" s="95"/>
      <c r="G42" s="78"/>
      <c r="H42" s="831"/>
    </row>
    <row r="43" spans="1:10" s="832" customFormat="1" ht="15" hidden="1">
      <c r="A43" s="321"/>
      <c r="B43" s="833"/>
      <c r="C43" s="834"/>
      <c r="D43" s="838" t="s">
        <v>37</v>
      </c>
      <c r="E43" s="830"/>
      <c r="F43" s="95"/>
      <c r="G43" s="78"/>
      <c r="H43" s="831"/>
    </row>
    <row r="44" spans="1:10" s="832" customFormat="1" ht="15" hidden="1">
      <c r="A44" s="321"/>
      <c r="B44" s="341">
        <v>0.52</v>
      </c>
      <c r="C44" s="834" t="s">
        <v>24</v>
      </c>
      <c r="D44" s="829" t="s">
        <v>583</v>
      </c>
      <c r="E44" s="767" t="s">
        <v>147</v>
      </c>
      <c r="F44" s="660">
        <v>615</v>
      </c>
      <c r="G44" s="74" t="s">
        <v>71</v>
      </c>
      <c r="H44" s="97">
        <f t="shared" ref="H44:H48" si="1">ROUND(B44*F44,2)</f>
        <v>319.8</v>
      </c>
    </row>
    <row r="45" spans="1:10" s="832" customFormat="1" ht="15" hidden="1">
      <c r="A45" s="321"/>
      <c r="B45" s="341">
        <v>0.5</v>
      </c>
      <c r="C45" s="834" t="s">
        <v>422</v>
      </c>
      <c r="D45" s="829" t="s">
        <v>751</v>
      </c>
      <c r="E45" s="767" t="s">
        <v>778</v>
      </c>
      <c r="F45" s="660">
        <v>1945</v>
      </c>
      <c r="G45" s="74" t="s">
        <v>795</v>
      </c>
      <c r="H45" s="97">
        <f t="shared" si="1"/>
        <v>972.5</v>
      </c>
    </row>
    <row r="46" spans="1:10" s="832" customFormat="1" ht="15" hidden="1">
      <c r="A46" s="321"/>
      <c r="B46" s="341">
        <v>4</v>
      </c>
      <c r="C46" s="834" t="s">
        <v>422</v>
      </c>
      <c r="D46" s="829" t="s">
        <v>779</v>
      </c>
      <c r="E46" s="767" t="s">
        <v>149</v>
      </c>
      <c r="F46" s="660">
        <v>553</v>
      </c>
      <c r="G46" s="74" t="s">
        <v>795</v>
      </c>
      <c r="H46" s="97">
        <f t="shared" si="1"/>
        <v>2212</v>
      </c>
    </row>
    <row r="47" spans="1:10" s="832" customFormat="1" ht="15" hidden="1">
      <c r="A47" s="321"/>
      <c r="B47" s="341">
        <v>2</v>
      </c>
      <c r="C47" s="834" t="s">
        <v>422</v>
      </c>
      <c r="D47" s="829" t="s">
        <v>424</v>
      </c>
      <c r="E47" s="767" t="s">
        <v>150</v>
      </c>
      <c r="F47" s="660">
        <v>830</v>
      </c>
      <c r="G47" s="74" t="s">
        <v>795</v>
      </c>
      <c r="H47" s="97">
        <f t="shared" si="1"/>
        <v>1660</v>
      </c>
    </row>
    <row r="48" spans="1:10" s="832" customFormat="1" ht="15" hidden="1">
      <c r="A48" s="321"/>
      <c r="B48" s="341">
        <v>1</v>
      </c>
      <c r="C48" s="834" t="s">
        <v>422</v>
      </c>
      <c r="D48" s="829" t="s">
        <v>780</v>
      </c>
      <c r="E48" s="767" t="s">
        <v>261</v>
      </c>
      <c r="F48" s="660">
        <v>3518.6</v>
      </c>
      <c r="G48" s="74" t="s">
        <v>795</v>
      </c>
      <c r="H48" s="97">
        <f t="shared" si="1"/>
        <v>3518.6</v>
      </c>
    </row>
    <row r="49" spans="1:8" s="832" customFormat="1" ht="15" hidden="1">
      <c r="A49" s="321"/>
      <c r="B49" s="341">
        <v>12</v>
      </c>
      <c r="C49" s="834" t="s">
        <v>781</v>
      </c>
      <c r="D49" s="829" t="s">
        <v>782</v>
      </c>
      <c r="E49" s="767" t="s">
        <v>151</v>
      </c>
      <c r="F49" s="660">
        <v>105</v>
      </c>
      <c r="G49" s="74" t="s">
        <v>796</v>
      </c>
      <c r="H49" s="97"/>
    </row>
    <row r="50" spans="1:8" s="832" customFormat="1" ht="15" hidden="1">
      <c r="A50" s="321"/>
      <c r="B50" s="341"/>
      <c r="C50" s="834"/>
      <c r="D50" s="847"/>
      <c r="E50" s="843"/>
      <c r="F50" s="839"/>
      <c r="G50" s="78"/>
      <c r="H50" s="831">
        <f>SUM(H44:H49)</f>
        <v>8682.9</v>
      </c>
    </row>
    <row r="51" spans="1:8" s="832" customFormat="1" ht="15" hidden="1">
      <c r="A51" s="321"/>
      <c r="B51" s="341"/>
      <c r="C51" s="834"/>
      <c r="D51" s="829" t="s">
        <v>792</v>
      </c>
      <c r="E51" s="843"/>
      <c r="F51" s="839"/>
      <c r="G51" s="78"/>
      <c r="H51" s="831">
        <f>ROUND(H50*$K$3,2)</f>
        <v>1182.18</v>
      </c>
    </row>
    <row r="52" spans="1:8" s="832" customFormat="1" ht="15" hidden="1">
      <c r="A52" s="321"/>
      <c r="B52" s="341"/>
      <c r="C52" s="834"/>
      <c r="D52" s="847" t="s">
        <v>783</v>
      </c>
      <c r="E52" s="95"/>
      <c r="F52" s="78"/>
      <c r="G52" s="78"/>
      <c r="H52" s="844">
        <f>SUM(H50:H51)</f>
        <v>9865.08</v>
      </c>
    </row>
    <row r="53" spans="1:8" s="832" customFormat="1" ht="15" hidden="1">
      <c r="A53" s="321"/>
      <c r="B53" s="833"/>
      <c r="C53" s="834"/>
      <c r="D53" s="848" t="s">
        <v>586</v>
      </c>
      <c r="E53" s="843"/>
      <c r="F53" s="839"/>
      <c r="G53" s="78"/>
      <c r="H53" s="840">
        <f>ROUND(H52/100,2)</f>
        <v>98.65</v>
      </c>
    </row>
    <row r="54" spans="1:8" s="832" customFormat="1" ht="77.25" thickTop="1">
      <c r="A54" s="73">
        <v>3</v>
      </c>
      <c r="B54" s="1154" t="s">
        <v>798</v>
      </c>
      <c r="C54" s="1155"/>
      <c r="D54" s="829" t="s">
        <v>797</v>
      </c>
      <c r="E54" s="830"/>
      <c r="F54" s="95"/>
      <c r="G54" s="78"/>
      <c r="H54" s="831"/>
    </row>
    <row r="55" spans="1:8" s="832" customFormat="1" ht="15">
      <c r="A55" s="73"/>
      <c r="B55" s="833"/>
      <c r="C55" s="834"/>
      <c r="D55" s="829" t="s">
        <v>40</v>
      </c>
      <c r="E55" s="835"/>
      <c r="F55" s="95"/>
      <c r="G55" s="78"/>
      <c r="H55" s="831"/>
    </row>
    <row r="56" spans="1:8" s="832" customFormat="1" ht="15">
      <c r="A56" s="321"/>
      <c r="B56" s="833"/>
      <c r="C56" s="834"/>
      <c r="D56" s="829" t="s">
        <v>681</v>
      </c>
      <c r="E56" s="835"/>
      <c r="F56" s="95"/>
      <c r="G56" s="95"/>
      <c r="H56" s="831"/>
    </row>
    <row r="57" spans="1:8" s="832" customFormat="1" ht="15">
      <c r="A57" s="321"/>
      <c r="B57" s="833"/>
      <c r="C57" s="834"/>
      <c r="D57" s="836" t="s">
        <v>582</v>
      </c>
      <c r="E57" s="837"/>
      <c r="F57" s="95"/>
      <c r="G57" s="78"/>
      <c r="H57" s="831"/>
    </row>
    <row r="58" spans="1:8" s="832" customFormat="1" ht="15">
      <c r="A58" s="321"/>
      <c r="B58" s="833"/>
      <c r="C58" s="834"/>
      <c r="D58" s="838" t="s">
        <v>37</v>
      </c>
      <c r="E58" s="830"/>
      <c r="F58" s="95"/>
      <c r="G58" s="78"/>
      <c r="H58" s="831"/>
    </row>
    <row r="59" spans="1:8" s="832" customFormat="1" ht="15">
      <c r="A59" s="321"/>
      <c r="B59" s="341">
        <v>1.04</v>
      </c>
      <c r="C59" s="834" t="s">
        <v>24</v>
      </c>
      <c r="D59" s="829" t="s">
        <v>583</v>
      </c>
      <c r="E59" s="767" t="s">
        <v>147</v>
      </c>
      <c r="F59" s="660">
        <v>615</v>
      </c>
      <c r="G59" s="74" t="s">
        <v>71</v>
      </c>
      <c r="H59" s="97">
        <f t="shared" ref="H59:H65" si="2">ROUND(B59*F59,2)</f>
        <v>639.6</v>
      </c>
    </row>
    <row r="60" spans="1:8" s="832" customFormat="1" ht="25.5">
      <c r="A60" s="321"/>
      <c r="B60" s="341">
        <v>1.67</v>
      </c>
      <c r="C60" s="834" t="s">
        <v>422</v>
      </c>
      <c r="D60" s="829" t="s">
        <v>799</v>
      </c>
      <c r="E60" s="767" t="s">
        <v>148</v>
      </c>
      <c r="F60" s="660">
        <v>3607.52</v>
      </c>
      <c r="G60" s="74" t="s">
        <v>795</v>
      </c>
      <c r="H60" s="97">
        <f t="shared" si="2"/>
        <v>6024.56</v>
      </c>
    </row>
    <row r="61" spans="1:8" s="832" customFormat="1" ht="15">
      <c r="A61" s="321"/>
      <c r="B61" s="341">
        <v>4.5</v>
      </c>
      <c r="C61" s="834" t="s">
        <v>422</v>
      </c>
      <c r="D61" s="829" t="s">
        <v>800</v>
      </c>
      <c r="E61" s="767" t="s">
        <v>268</v>
      </c>
      <c r="F61" s="660">
        <v>1287.5</v>
      </c>
      <c r="G61" s="74" t="s">
        <v>795</v>
      </c>
      <c r="H61" s="97">
        <f t="shared" si="2"/>
        <v>5793.75</v>
      </c>
    </row>
    <row r="62" spans="1:8" s="832" customFormat="1" ht="15">
      <c r="A62" s="321"/>
      <c r="B62" s="341">
        <v>0.5</v>
      </c>
      <c r="C62" s="834" t="s">
        <v>422</v>
      </c>
      <c r="D62" s="829" t="s">
        <v>751</v>
      </c>
      <c r="E62" s="767" t="s">
        <v>778</v>
      </c>
      <c r="F62" s="660">
        <v>1945</v>
      </c>
      <c r="G62" s="74" t="s">
        <v>795</v>
      </c>
      <c r="H62" s="97">
        <f t="shared" si="2"/>
        <v>972.5</v>
      </c>
    </row>
    <row r="63" spans="1:8" s="832" customFormat="1" ht="15">
      <c r="A63" s="321"/>
      <c r="B63" s="341">
        <v>4</v>
      </c>
      <c r="C63" s="834" t="s">
        <v>422</v>
      </c>
      <c r="D63" s="829" t="s">
        <v>779</v>
      </c>
      <c r="E63" s="767" t="s">
        <v>149</v>
      </c>
      <c r="F63" s="660">
        <v>553</v>
      </c>
      <c r="G63" s="74" t="s">
        <v>795</v>
      </c>
      <c r="H63" s="97">
        <f t="shared" si="2"/>
        <v>2212</v>
      </c>
    </row>
    <row r="64" spans="1:8" s="832" customFormat="1" ht="15">
      <c r="A64" s="321"/>
      <c r="B64" s="341">
        <v>2</v>
      </c>
      <c r="C64" s="834" t="s">
        <v>422</v>
      </c>
      <c r="D64" s="829" t="s">
        <v>424</v>
      </c>
      <c r="E64" s="767" t="s">
        <v>150</v>
      </c>
      <c r="F64" s="660">
        <v>830</v>
      </c>
      <c r="G64" s="74" t="s">
        <v>795</v>
      </c>
      <c r="H64" s="97">
        <f t="shared" si="2"/>
        <v>1660</v>
      </c>
    </row>
    <row r="65" spans="1:10" s="832" customFormat="1" ht="15">
      <c r="A65" s="321"/>
      <c r="B65" s="341">
        <v>1</v>
      </c>
      <c r="C65" s="834" t="s">
        <v>422</v>
      </c>
      <c r="D65" s="829" t="s">
        <v>780</v>
      </c>
      <c r="E65" s="767" t="s">
        <v>261</v>
      </c>
      <c r="F65" s="660">
        <v>3518.6</v>
      </c>
      <c r="G65" s="74" t="s">
        <v>795</v>
      </c>
      <c r="H65" s="97">
        <f t="shared" si="2"/>
        <v>3518.6</v>
      </c>
    </row>
    <row r="66" spans="1:10" s="832" customFormat="1" ht="15">
      <c r="A66" s="321"/>
      <c r="B66" s="341">
        <v>12</v>
      </c>
      <c r="C66" s="834" t="s">
        <v>781</v>
      </c>
      <c r="D66" s="829" t="s">
        <v>782</v>
      </c>
      <c r="E66" s="767" t="s">
        <v>151</v>
      </c>
      <c r="F66" s="660">
        <v>105</v>
      </c>
      <c r="G66" s="74" t="s">
        <v>796</v>
      </c>
      <c r="H66" s="97"/>
    </row>
    <row r="67" spans="1:10" s="832" customFormat="1" ht="15">
      <c r="A67" s="321"/>
      <c r="B67" s="341"/>
      <c r="C67" s="834"/>
      <c r="D67" s="847"/>
      <c r="E67" s="843"/>
      <c r="F67" s="839"/>
      <c r="G67" s="78"/>
      <c r="H67" s="831">
        <f>SUM(H59:H66)</f>
        <v>20821.009999999998</v>
      </c>
    </row>
    <row r="68" spans="1:10" s="832" customFormat="1" ht="15">
      <c r="A68" s="321"/>
      <c r="B68" s="341"/>
      <c r="C68" s="834"/>
      <c r="D68" s="829" t="s">
        <v>792</v>
      </c>
      <c r="E68" s="843"/>
      <c r="F68" s="839"/>
      <c r="G68" s="78"/>
      <c r="H68" s="831">
        <f>ROUND(H67*$K$3,2)</f>
        <v>2834.78</v>
      </c>
    </row>
    <row r="69" spans="1:10" s="832" customFormat="1" ht="15">
      <c r="A69" s="321"/>
      <c r="B69" s="341"/>
      <c r="C69" s="834"/>
      <c r="D69" s="847" t="s">
        <v>783</v>
      </c>
      <c r="E69" s="95"/>
      <c r="F69" s="78"/>
      <c r="G69" s="78"/>
      <c r="H69" s="844">
        <f>SUM(H67:H68)</f>
        <v>23655.789999999997</v>
      </c>
    </row>
    <row r="70" spans="1:10" s="832" customFormat="1" ht="15">
      <c r="A70" s="321"/>
      <c r="B70" s="833"/>
      <c r="C70" s="834"/>
      <c r="D70" s="848" t="s">
        <v>586</v>
      </c>
      <c r="E70" s="843"/>
      <c r="F70" s="839"/>
      <c r="G70" s="78"/>
      <c r="H70" s="840">
        <f>ROUND(H69/100,2)</f>
        <v>236.56</v>
      </c>
    </row>
    <row r="71" spans="1:10" s="22" customFormat="1" ht="102">
      <c r="A71" s="73">
        <v>4</v>
      </c>
      <c r="B71" s="1152" t="s">
        <v>802</v>
      </c>
      <c r="C71" s="1153"/>
      <c r="D71" s="666" t="s">
        <v>801</v>
      </c>
      <c r="E71" s="95"/>
      <c r="F71" s="74"/>
      <c r="G71" s="74"/>
      <c r="H71" s="849"/>
      <c r="I71" s="53"/>
      <c r="J71" s="33"/>
    </row>
    <row r="72" spans="1:10" s="22" customFormat="1">
      <c r="A72" s="73"/>
      <c r="B72" s="76"/>
      <c r="C72" s="80"/>
      <c r="D72" s="666" t="s">
        <v>112</v>
      </c>
      <c r="E72" s="95"/>
      <c r="F72" s="74"/>
      <c r="G72" s="74"/>
      <c r="H72" s="97"/>
      <c r="I72" s="53"/>
      <c r="J72" s="33"/>
    </row>
    <row r="73" spans="1:10" s="22" customFormat="1">
      <c r="A73" s="73"/>
      <c r="B73" s="850"/>
      <c r="C73" s="851"/>
      <c r="D73" s="852" t="s">
        <v>113</v>
      </c>
      <c r="E73" s="853"/>
      <c r="F73" s="854"/>
      <c r="G73" s="74"/>
      <c r="H73" s="97"/>
      <c r="I73" s="53"/>
      <c r="J73" s="33"/>
    </row>
    <row r="74" spans="1:10" s="22" customFormat="1">
      <c r="A74" s="73"/>
      <c r="B74" s="850">
        <v>2.4</v>
      </c>
      <c r="C74" s="851" t="s">
        <v>57</v>
      </c>
      <c r="D74" s="855" t="s">
        <v>25</v>
      </c>
      <c r="E74" s="767" t="s">
        <v>147</v>
      </c>
      <c r="F74" s="78">
        <v>615</v>
      </c>
      <c r="G74" s="74" t="s">
        <v>71</v>
      </c>
      <c r="H74" s="97">
        <f t="shared" ref="H74:H75" si="3">ROUND(B74*F74,2)</f>
        <v>1476</v>
      </c>
      <c r="I74" s="53"/>
      <c r="J74" s="33"/>
    </row>
    <row r="75" spans="1:10" s="22" customFormat="1">
      <c r="A75" s="73"/>
      <c r="B75" s="850">
        <v>8</v>
      </c>
      <c r="C75" s="851" t="s">
        <v>57</v>
      </c>
      <c r="D75" s="855" t="s">
        <v>114</v>
      </c>
      <c r="E75" s="767" t="s">
        <v>147</v>
      </c>
      <c r="F75" s="78">
        <v>615</v>
      </c>
      <c r="G75" s="74" t="s">
        <v>71</v>
      </c>
      <c r="H75" s="97">
        <f t="shared" si="3"/>
        <v>4920</v>
      </c>
      <c r="I75" s="53"/>
      <c r="J75" s="33"/>
    </row>
    <row r="76" spans="1:10" s="22" customFormat="1">
      <c r="A76" s="73"/>
      <c r="B76" s="850"/>
      <c r="C76" s="851"/>
      <c r="D76" s="852" t="s">
        <v>115</v>
      </c>
      <c r="E76" s="853"/>
      <c r="F76" s="856"/>
      <c r="G76" s="74"/>
      <c r="H76" s="97"/>
      <c r="I76" s="53"/>
      <c r="J76" s="33"/>
    </row>
    <row r="77" spans="1:10" s="22" customFormat="1">
      <c r="A77" s="73"/>
      <c r="B77" s="850">
        <v>6</v>
      </c>
      <c r="C77" s="851" t="s">
        <v>11</v>
      </c>
      <c r="D77" s="802" t="s">
        <v>691</v>
      </c>
      <c r="E77" s="857" t="s">
        <v>261</v>
      </c>
      <c r="F77" s="660">
        <v>3518.6</v>
      </c>
      <c r="G77" s="74" t="s">
        <v>121</v>
      </c>
      <c r="H77" s="97">
        <f t="shared" ref="H77" si="4">ROUND(B77*F77,2)</f>
        <v>21111.599999999999</v>
      </c>
      <c r="I77" s="53"/>
      <c r="J77" s="33"/>
    </row>
    <row r="78" spans="1:10" s="22" customFormat="1">
      <c r="A78" s="73"/>
      <c r="B78" s="850">
        <v>3</v>
      </c>
      <c r="C78" s="851" t="s">
        <v>11</v>
      </c>
      <c r="D78" s="855" t="s">
        <v>116</v>
      </c>
      <c r="E78" s="767" t="s">
        <v>150</v>
      </c>
      <c r="F78" s="660">
        <v>830</v>
      </c>
      <c r="G78" s="74" t="s">
        <v>121</v>
      </c>
      <c r="H78" s="97">
        <f>ROUND(B78*F78,2)</f>
        <v>2490</v>
      </c>
      <c r="I78" s="53"/>
      <c r="J78" s="33"/>
    </row>
    <row r="79" spans="1:10" s="22" customFormat="1">
      <c r="A79" s="73"/>
      <c r="B79" s="850">
        <v>12</v>
      </c>
      <c r="C79" s="851" t="s">
        <v>11</v>
      </c>
      <c r="D79" s="859" t="s">
        <v>117</v>
      </c>
      <c r="E79" s="860" t="s">
        <v>149</v>
      </c>
      <c r="F79" s="660">
        <v>553</v>
      </c>
      <c r="G79" s="74" t="s">
        <v>121</v>
      </c>
      <c r="H79" s="97">
        <f>ROUND(B79*F79,2)</f>
        <v>6636</v>
      </c>
      <c r="I79" s="53"/>
      <c r="J79" s="33"/>
    </row>
    <row r="80" spans="1:10" s="22" customFormat="1">
      <c r="A80" s="73"/>
      <c r="B80" s="76"/>
      <c r="C80" s="863"/>
      <c r="D80" s="864" t="s">
        <v>118</v>
      </c>
      <c r="E80" s="42"/>
      <c r="F80" s="861"/>
      <c r="G80" s="74"/>
      <c r="H80" s="97"/>
      <c r="I80" s="53"/>
      <c r="J80" s="33"/>
    </row>
    <row r="81" spans="1:10" s="22" customFormat="1">
      <c r="A81" s="73"/>
      <c r="B81" s="76">
        <v>237.6</v>
      </c>
      <c r="C81" s="863" t="s">
        <v>13</v>
      </c>
      <c r="D81" s="306" t="s">
        <v>1252</v>
      </c>
      <c r="E81" s="321"/>
      <c r="F81" s="861">
        <f>'lead 2025-26'!L22</f>
        <v>2127.1049999999982</v>
      </c>
      <c r="G81" s="74" t="s">
        <v>23</v>
      </c>
      <c r="H81" s="97">
        <f t="shared" ref="H81:H83" si="5">ROUND(B81*F81,2)</f>
        <v>505400.15</v>
      </c>
      <c r="I81" s="53"/>
      <c r="J81" s="33"/>
    </row>
    <row r="82" spans="1:10" s="22" customFormat="1">
      <c r="A82" s="73"/>
      <c r="B82" s="76"/>
      <c r="C82" s="863" t="s">
        <v>13</v>
      </c>
      <c r="D82" s="306" t="s">
        <v>897</v>
      </c>
      <c r="E82" s="321"/>
      <c r="F82" s="861">
        <f>'lead 2025-26'!K23</f>
        <v>1982.7299999999982</v>
      </c>
      <c r="G82" s="74" t="s">
        <v>23</v>
      </c>
      <c r="H82" s="97">
        <f t="shared" si="5"/>
        <v>0</v>
      </c>
      <c r="I82" s="53"/>
      <c r="J82" s="33"/>
    </row>
    <row r="83" spans="1:10" s="22" customFormat="1">
      <c r="A83" s="73"/>
      <c r="B83" s="76">
        <v>122.4</v>
      </c>
      <c r="C83" s="863" t="s">
        <v>13</v>
      </c>
      <c r="D83" s="306" t="s">
        <v>898</v>
      </c>
      <c r="E83" s="321"/>
      <c r="F83" s="861">
        <f>'lead 2025-26'!K24</f>
        <v>1888.9799999999982</v>
      </c>
      <c r="G83" s="74" t="s">
        <v>23</v>
      </c>
      <c r="H83" s="97">
        <f t="shared" si="5"/>
        <v>231211.15</v>
      </c>
      <c r="I83" s="53"/>
      <c r="J83" s="33"/>
    </row>
    <row r="84" spans="1:10" s="22" customFormat="1">
      <c r="A84" s="73"/>
      <c r="B84" s="76">
        <v>12</v>
      </c>
      <c r="C84" s="863" t="s">
        <v>803</v>
      </c>
      <c r="D84" s="306" t="s">
        <v>782</v>
      </c>
      <c r="E84" s="321"/>
      <c r="F84" s="861">
        <v>105</v>
      </c>
      <c r="G84" s="74" t="s">
        <v>23</v>
      </c>
      <c r="H84" s="97"/>
      <c r="I84" s="53"/>
      <c r="J84" s="33"/>
    </row>
    <row r="85" spans="1:10" s="22" customFormat="1">
      <c r="A85" s="73"/>
      <c r="B85" s="76"/>
      <c r="C85" s="80"/>
      <c r="D85" s="666"/>
      <c r="E85" s="95"/>
      <c r="F85" s="74"/>
      <c r="G85" s="74"/>
      <c r="H85" s="97">
        <f>SUM(H74:H84)</f>
        <v>773244.9</v>
      </c>
      <c r="I85" s="53"/>
      <c r="J85" s="33"/>
    </row>
    <row r="86" spans="1:10" s="22" customFormat="1">
      <c r="A86" s="73"/>
      <c r="B86" s="76"/>
      <c r="C86" s="80"/>
      <c r="D86" s="829" t="s">
        <v>792</v>
      </c>
      <c r="E86" s="843"/>
      <c r="F86" s="839"/>
      <c r="G86" s="78"/>
      <c r="H86" s="831">
        <f>ROUND(H85*$K$3,2)</f>
        <v>105277.29</v>
      </c>
      <c r="I86" s="53"/>
      <c r="J86" s="33"/>
    </row>
    <row r="87" spans="1:10" s="22" customFormat="1">
      <c r="A87" s="73"/>
      <c r="B87" s="76"/>
      <c r="C87" s="80"/>
      <c r="D87" s="666" t="s">
        <v>119</v>
      </c>
      <c r="E87" s="95"/>
      <c r="F87" s="78"/>
      <c r="G87" s="78"/>
      <c r="H87" s="844">
        <f>SUM(H85:H86)</f>
        <v>878522.19000000006</v>
      </c>
      <c r="I87" s="53"/>
      <c r="J87" s="33"/>
    </row>
    <row r="88" spans="1:10" s="22" customFormat="1">
      <c r="A88" s="73"/>
      <c r="B88" s="76"/>
      <c r="C88" s="80"/>
      <c r="D88" s="666" t="s">
        <v>120</v>
      </c>
      <c r="E88" s="95"/>
      <c r="F88" s="74"/>
      <c r="G88" s="74"/>
      <c r="H88" s="97">
        <f>ROUND(H87/300,2)</f>
        <v>2928.41</v>
      </c>
      <c r="I88" s="53"/>
      <c r="J88" s="33"/>
    </row>
    <row r="89" spans="1:10" s="869" customFormat="1">
      <c r="A89" s="865">
        <v>5</v>
      </c>
      <c r="B89" s="765"/>
      <c r="C89" s="866"/>
      <c r="D89" s="867" t="s">
        <v>676</v>
      </c>
      <c r="E89" s="321"/>
      <c r="F89" s="321"/>
      <c r="G89" s="830"/>
      <c r="H89" s="868"/>
    </row>
    <row r="90" spans="1:10" s="869" customFormat="1" ht="140.25">
      <c r="A90" s="865"/>
      <c r="B90" s="1128" t="s">
        <v>808</v>
      </c>
      <c r="C90" s="1130"/>
      <c r="D90" s="323" t="s">
        <v>677</v>
      </c>
      <c r="E90" s="73"/>
      <c r="F90" s="321"/>
      <c r="G90" s="830"/>
      <c r="H90" s="868"/>
    </row>
    <row r="91" spans="1:10" s="869" customFormat="1">
      <c r="A91" s="865"/>
      <c r="B91" s="332"/>
      <c r="C91" s="801"/>
      <c r="D91" s="867" t="s">
        <v>678</v>
      </c>
      <c r="E91" s="73"/>
      <c r="F91" s="321"/>
      <c r="G91" s="830"/>
      <c r="H91" s="868"/>
    </row>
    <row r="92" spans="1:10" s="869" customFormat="1">
      <c r="A92" s="865"/>
      <c r="B92" s="765" t="s">
        <v>679</v>
      </c>
      <c r="C92" s="866"/>
      <c r="D92" s="867" t="s">
        <v>680</v>
      </c>
      <c r="E92" s="73"/>
      <c r="F92" s="321"/>
      <c r="G92" s="830"/>
      <c r="H92" s="868"/>
    </row>
    <row r="93" spans="1:10" s="869" customFormat="1">
      <c r="A93" s="865"/>
      <c r="B93" s="765"/>
      <c r="C93" s="866"/>
      <c r="D93" s="802" t="s">
        <v>40</v>
      </c>
      <c r="E93" s="73"/>
      <c r="F93" s="321"/>
      <c r="G93" s="830"/>
      <c r="H93" s="868"/>
    </row>
    <row r="94" spans="1:10" s="869" customFormat="1">
      <c r="A94" s="865"/>
      <c r="B94" s="765"/>
      <c r="C94" s="866"/>
      <c r="D94" s="802" t="s">
        <v>681</v>
      </c>
      <c r="E94" s="73"/>
      <c r="F94" s="321"/>
      <c r="G94" s="830"/>
      <c r="H94" s="868"/>
    </row>
    <row r="95" spans="1:10" s="869" customFormat="1">
      <c r="A95" s="865"/>
      <c r="B95" s="765"/>
      <c r="C95" s="866"/>
      <c r="D95" s="838" t="s">
        <v>682</v>
      </c>
      <c r="E95" s="73"/>
      <c r="F95" s="321"/>
      <c r="G95" s="830"/>
      <c r="H95" s="868"/>
    </row>
    <row r="96" spans="1:10" s="869" customFormat="1">
      <c r="A96" s="865"/>
      <c r="B96" s="870">
        <v>8</v>
      </c>
      <c r="C96" s="801" t="s">
        <v>24</v>
      </c>
      <c r="D96" s="802" t="s">
        <v>684</v>
      </c>
      <c r="E96" s="767" t="s">
        <v>147</v>
      </c>
      <c r="F96" s="78">
        <v>615</v>
      </c>
      <c r="G96" s="830" t="s">
        <v>71</v>
      </c>
      <c r="H96" s="97">
        <f t="shared" ref="H96:H97" si="6">ROUND(B96*F96,2)</f>
        <v>4920</v>
      </c>
    </row>
    <row r="97" spans="1:10" s="869" customFormat="1">
      <c r="A97" s="865"/>
      <c r="B97" s="870">
        <v>2.4</v>
      </c>
      <c r="C97" s="801" t="s">
        <v>24</v>
      </c>
      <c r="D97" s="802" t="s">
        <v>685</v>
      </c>
      <c r="E97" s="767" t="s">
        <v>147</v>
      </c>
      <c r="F97" s="78">
        <v>615</v>
      </c>
      <c r="G97" s="830" t="s">
        <v>71</v>
      </c>
      <c r="H97" s="97">
        <f t="shared" si="6"/>
        <v>1476</v>
      </c>
    </row>
    <row r="98" spans="1:10" s="869" customFormat="1">
      <c r="A98" s="865"/>
      <c r="B98" s="870"/>
      <c r="C98" s="801"/>
      <c r="D98" s="867" t="s">
        <v>686</v>
      </c>
      <c r="E98" s="73"/>
      <c r="F98" s="830"/>
      <c r="G98" s="830"/>
      <c r="H98" s="868"/>
    </row>
    <row r="99" spans="1:10" s="869" customFormat="1">
      <c r="A99" s="865"/>
      <c r="B99" s="870">
        <v>4</v>
      </c>
      <c r="C99" s="801" t="s">
        <v>422</v>
      </c>
      <c r="D99" s="802" t="s">
        <v>687</v>
      </c>
      <c r="E99" s="73" t="s">
        <v>804</v>
      </c>
      <c r="F99" s="830">
        <v>2063</v>
      </c>
      <c r="G99" s="830" t="s">
        <v>795</v>
      </c>
      <c r="H99" s="97">
        <f t="shared" ref="H99:H104" si="7">ROUND(B99*F99,2)</f>
        <v>8252</v>
      </c>
    </row>
    <row r="100" spans="1:10" s="869" customFormat="1">
      <c r="A100" s="865"/>
      <c r="B100" s="870">
        <v>4</v>
      </c>
      <c r="C100" s="801" t="s">
        <v>422</v>
      </c>
      <c r="D100" s="802" t="s">
        <v>688</v>
      </c>
      <c r="E100" s="73" t="s">
        <v>805</v>
      </c>
      <c r="F100" s="830">
        <v>2024</v>
      </c>
      <c r="G100" s="830" t="s">
        <v>795</v>
      </c>
      <c r="H100" s="97">
        <f t="shared" si="7"/>
        <v>8096</v>
      </c>
      <c r="I100" s="871"/>
    </row>
    <row r="101" spans="1:10" s="869" customFormat="1">
      <c r="A101" s="865"/>
      <c r="B101" s="341">
        <v>5</v>
      </c>
      <c r="C101" s="801" t="s">
        <v>422</v>
      </c>
      <c r="D101" s="802" t="s">
        <v>689</v>
      </c>
      <c r="E101" s="767" t="s">
        <v>268</v>
      </c>
      <c r="F101" s="660">
        <v>1287.5</v>
      </c>
      <c r="G101" s="830" t="s">
        <v>795</v>
      </c>
      <c r="H101" s="97">
        <f t="shared" si="7"/>
        <v>6437.5</v>
      </c>
      <c r="I101" s="871"/>
    </row>
    <row r="102" spans="1:10" s="869" customFormat="1">
      <c r="A102" s="865"/>
      <c r="B102" s="870">
        <v>4</v>
      </c>
      <c r="C102" s="801" t="s">
        <v>422</v>
      </c>
      <c r="D102" s="802" t="s">
        <v>690</v>
      </c>
      <c r="E102" s="860" t="s">
        <v>149</v>
      </c>
      <c r="F102" s="861">
        <v>553</v>
      </c>
      <c r="G102" s="830" t="s">
        <v>795</v>
      </c>
      <c r="H102" s="97">
        <f t="shared" si="7"/>
        <v>2212</v>
      </c>
      <c r="I102" s="871"/>
    </row>
    <row r="103" spans="1:10" s="869" customFormat="1">
      <c r="A103" s="865"/>
      <c r="B103" s="870">
        <v>1.67</v>
      </c>
      <c r="C103" s="801" t="s">
        <v>422</v>
      </c>
      <c r="D103" s="802" t="s">
        <v>691</v>
      </c>
      <c r="E103" s="857" t="s">
        <v>1267</v>
      </c>
      <c r="F103" s="858">
        <v>3518.6</v>
      </c>
      <c r="G103" s="830" t="s">
        <v>795</v>
      </c>
      <c r="H103" s="97">
        <f t="shared" si="7"/>
        <v>5876.06</v>
      </c>
      <c r="I103" s="871"/>
    </row>
    <row r="104" spans="1:10" s="869" customFormat="1">
      <c r="A104" s="865"/>
      <c r="B104" s="870">
        <v>1.33</v>
      </c>
      <c r="C104" s="801" t="s">
        <v>422</v>
      </c>
      <c r="D104" s="802" t="s">
        <v>424</v>
      </c>
      <c r="E104" s="767" t="s">
        <v>150</v>
      </c>
      <c r="F104" s="862">
        <v>830</v>
      </c>
      <c r="G104" s="830" t="s">
        <v>795</v>
      </c>
      <c r="H104" s="97">
        <f t="shared" si="7"/>
        <v>1103.9000000000001</v>
      </c>
      <c r="I104" s="871"/>
    </row>
    <row r="105" spans="1:10" s="869" customFormat="1">
      <c r="A105" s="865"/>
      <c r="B105" s="870"/>
      <c r="C105" s="801"/>
      <c r="D105" s="867" t="s">
        <v>692</v>
      </c>
      <c r="E105" s="73"/>
      <c r="F105" s="830"/>
      <c r="G105" s="830"/>
      <c r="H105" s="868"/>
      <c r="I105" s="871"/>
    </row>
    <row r="106" spans="1:10" s="869" customFormat="1" ht="25.5">
      <c r="A106" s="865"/>
      <c r="B106" s="870">
        <v>39.9</v>
      </c>
      <c r="C106" s="801" t="s">
        <v>13</v>
      </c>
      <c r="D106" s="306" t="s">
        <v>693</v>
      </c>
      <c r="E106" s="73" t="s">
        <v>809</v>
      </c>
      <c r="F106" s="835">
        <f>'lead 2025-26'!L18</f>
        <v>2692.73</v>
      </c>
      <c r="G106" s="835" t="s">
        <v>23</v>
      </c>
      <c r="H106" s="97">
        <f t="shared" ref="H106:H108" si="8">ROUND(B106*F106,2)</f>
        <v>107439.93</v>
      </c>
      <c r="I106" s="871"/>
    </row>
    <row r="107" spans="1:10" s="869" customFormat="1" ht="38.25">
      <c r="A107" s="865"/>
      <c r="B107" s="870">
        <v>53.2</v>
      </c>
      <c r="C107" s="801" t="s">
        <v>13</v>
      </c>
      <c r="D107" s="306" t="s">
        <v>694</v>
      </c>
      <c r="E107" s="73" t="s">
        <v>809</v>
      </c>
      <c r="F107" s="835">
        <f>'lead 2025-26'!L19</f>
        <v>2430.98</v>
      </c>
      <c r="G107" s="835" t="s">
        <v>23</v>
      </c>
      <c r="H107" s="97">
        <f t="shared" si="8"/>
        <v>129328.14</v>
      </c>
      <c r="I107" s="871"/>
    </row>
    <row r="108" spans="1:10" s="869" customFormat="1" ht="25.5">
      <c r="A108" s="865"/>
      <c r="B108" s="870">
        <v>39.9</v>
      </c>
      <c r="C108" s="801" t="s">
        <v>13</v>
      </c>
      <c r="D108" s="306" t="s">
        <v>695</v>
      </c>
      <c r="E108" s="73"/>
      <c r="F108" s="830">
        <f>'lead 2025-26'!K24</f>
        <v>1888.9799999999982</v>
      </c>
      <c r="G108" s="835" t="s">
        <v>23</v>
      </c>
      <c r="H108" s="97">
        <f t="shared" si="8"/>
        <v>75370.3</v>
      </c>
      <c r="I108" s="871"/>
    </row>
    <row r="109" spans="1:10" s="22" customFormat="1">
      <c r="A109" s="73"/>
      <c r="B109" s="76">
        <v>8</v>
      </c>
      <c r="C109" s="863" t="s">
        <v>803</v>
      </c>
      <c r="D109" s="306" t="s">
        <v>782</v>
      </c>
      <c r="E109" s="321"/>
      <c r="F109" s="861">
        <v>105</v>
      </c>
      <c r="G109" s="74" t="s">
        <v>23</v>
      </c>
      <c r="H109" s="97"/>
      <c r="I109" s="53"/>
      <c r="J109" s="33"/>
    </row>
    <row r="110" spans="1:10" s="869" customFormat="1">
      <c r="A110" s="42"/>
      <c r="B110" s="872"/>
      <c r="C110" s="873"/>
      <c r="D110" s="874"/>
      <c r="E110" s="42"/>
      <c r="F110" s="42"/>
      <c r="G110" s="42"/>
      <c r="H110" s="875">
        <f>SUM(H96:H109)</f>
        <v>350511.82999999996</v>
      </c>
    </row>
    <row r="111" spans="1:10" s="869" customFormat="1">
      <c r="A111" s="42"/>
      <c r="B111" s="872"/>
      <c r="C111" s="873"/>
      <c r="D111" s="829" t="s">
        <v>792</v>
      </c>
      <c r="E111" s="843"/>
      <c r="F111" s="839"/>
      <c r="G111" s="78"/>
      <c r="H111" s="831">
        <f>ROUND(H110*$K$3,2)</f>
        <v>47722.19</v>
      </c>
    </row>
    <row r="112" spans="1:10" s="869" customFormat="1">
      <c r="A112" s="42"/>
      <c r="B112" s="872"/>
      <c r="C112" s="873"/>
      <c r="D112" s="666" t="s">
        <v>807</v>
      </c>
      <c r="E112" s="95"/>
      <c r="F112" s="78"/>
      <c r="G112" s="78"/>
      <c r="H112" s="844">
        <f>SUM(H110:H111)</f>
        <v>398234.01999999996</v>
      </c>
    </row>
    <row r="113" spans="1:10" s="869" customFormat="1">
      <c r="A113" s="42"/>
      <c r="B113" s="872"/>
      <c r="C113" s="873"/>
      <c r="D113" s="864" t="s">
        <v>696</v>
      </c>
      <c r="E113" s="95"/>
      <c r="F113" s="95"/>
      <c r="G113" s="184"/>
      <c r="H113" s="875">
        <f>ROUND(H112/100,2)</f>
        <v>3982.34</v>
      </c>
    </row>
    <row r="114" spans="1:10" s="877" customFormat="1" ht="76.5">
      <c r="A114" s="73">
        <v>6</v>
      </c>
      <c r="B114" s="1128" t="s">
        <v>815</v>
      </c>
      <c r="C114" s="1130"/>
      <c r="D114" s="306" t="s">
        <v>703</v>
      </c>
      <c r="E114" s="306"/>
      <c r="F114" s="306"/>
      <c r="G114" s="830"/>
      <c r="H114" s="876"/>
      <c r="I114" s="871"/>
    </row>
    <row r="115" spans="1:10" s="877" customFormat="1">
      <c r="A115" s="73"/>
      <c r="B115" s="765"/>
      <c r="C115" s="866"/>
      <c r="D115" s="323" t="s">
        <v>704</v>
      </c>
      <c r="E115" s="321"/>
      <c r="F115" s="878"/>
      <c r="G115" s="830"/>
      <c r="H115" s="876"/>
      <c r="I115" s="871"/>
    </row>
    <row r="116" spans="1:10" s="877" customFormat="1">
      <c r="A116" s="73"/>
      <c r="B116" s="765"/>
      <c r="C116" s="866"/>
      <c r="D116" s="323" t="s">
        <v>705</v>
      </c>
      <c r="E116" s="321"/>
      <c r="F116" s="878"/>
      <c r="G116" s="830"/>
      <c r="H116" s="876"/>
      <c r="I116" s="871"/>
    </row>
    <row r="117" spans="1:10" s="877" customFormat="1">
      <c r="A117" s="73"/>
      <c r="B117" s="765"/>
      <c r="C117" s="866"/>
      <c r="D117" s="838" t="s">
        <v>682</v>
      </c>
      <c r="E117" s="879"/>
      <c r="F117" s="878"/>
      <c r="G117" s="830"/>
      <c r="H117" s="876"/>
      <c r="I117" s="871"/>
    </row>
    <row r="118" spans="1:10" s="877" customFormat="1">
      <c r="A118" s="73"/>
      <c r="B118" s="765"/>
      <c r="C118" s="866"/>
      <c r="D118" s="323" t="s">
        <v>683</v>
      </c>
      <c r="E118" s="879"/>
      <c r="F118" s="878" t="s">
        <v>52</v>
      </c>
      <c r="G118" s="830"/>
      <c r="H118" s="876"/>
      <c r="I118" s="871"/>
    </row>
    <row r="119" spans="1:10" s="877" customFormat="1">
      <c r="A119" s="73"/>
      <c r="B119" s="880">
        <v>1.04</v>
      </c>
      <c r="C119" s="881" t="s">
        <v>24</v>
      </c>
      <c r="D119" s="323" t="s">
        <v>421</v>
      </c>
      <c r="E119" s="767" t="s">
        <v>147</v>
      </c>
      <c r="F119" s="78">
        <v>615</v>
      </c>
      <c r="G119" s="95" t="s">
        <v>71</v>
      </c>
      <c r="H119" s="97">
        <f t="shared" ref="H119" si="9">ROUND(B119*F119,2)</f>
        <v>639.6</v>
      </c>
      <c r="I119" s="871"/>
    </row>
    <row r="120" spans="1:10" s="877" customFormat="1">
      <c r="A120" s="73"/>
      <c r="B120" s="880"/>
      <c r="C120" s="881"/>
      <c r="D120" s="836" t="s">
        <v>686</v>
      </c>
      <c r="E120" s="879"/>
      <c r="F120" s="830"/>
      <c r="G120" s="830"/>
      <c r="H120" s="876"/>
      <c r="I120" s="871"/>
    </row>
    <row r="121" spans="1:10" s="877" customFormat="1">
      <c r="A121" s="73"/>
      <c r="B121" s="880">
        <v>1.4</v>
      </c>
      <c r="C121" s="881" t="s">
        <v>422</v>
      </c>
      <c r="D121" s="882" t="s">
        <v>706</v>
      </c>
      <c r="E121" s="879" t="s">
        <v>810</v>
      </c>
      <c r="F121" s="830">
        <v>464</v>
      </c>
      <c r="G121" s="830" t="s">
        <v>795</v>
      </c>
      <c r="H121" s="97">
        <f t="shared" ref="H121:H124" si="10">ROUND(B121*F121,2)</f>
        <v>649.6</v>
      </c>
      <c r="I121" s="871"/>
    </row>
    <row r="122" spans="1:10" s="877" customFormat="1">
      <c r="A122" s="73"/>
      <c r="B122" s="880">
        <v>1.4</v>
      </c>
      <c r="C122" s="881" t="s">
        <v>422</v>
      </c>
      <c r="D122" s="323" t="s">
        <v>707</v>
      </c>
      <c r="E122" s="879" t="s">
        <v>811</v>
      </c>
      <c r="F122" s="830">
        <v>665.08</v>
      </c>
      <c r="G122" s="830" t="s">
        <v>795</v>
      </c>
      <c r="H122" s="97">
        <f t="shared" si="10"/>
        <v>931.11</v>
      </c>
      <c r="I122" s="871"/>
    </row>
    <row r="123" spans="1:10" s="877" customFormat="1">
      <c r="A123" s="73"/>
      <c r="B123" s="880">
        <v>1</v>
      </c>
      <c r="C123" s="881" t="s">
        <v>422</v>
      </c>
      <c r="D123" s="323" t="s">
        <v>708</v>
      </c>
      <c r="E123" s="879" t="s">
        <v>812</v>
      </c>
      <c r="F123" s="830">
        <v>1094</v>
      </c>
      <c r="G123" s="830" t="s">
        <v>795</v>
      </c>
      <c r="H123" s="97">
        <f t="shared" si="10"/>
        <v>1094</v>
      </c>
      <c r="I123" s="871"/>
    </row>
    <row r="124" spans="1:10" s="877" customFormat="1">
      <c r="A124" s="73"/>
      <c r="B124" s="880">
        <v>0.5</v>
      </c>
      <c r="C124" s="881" t="s">
        <v>422</v>
      </c>
      <c r="D124" s="323" t="s">
        <v>709</v>
      </c>
      <c r="E124" s="767" t="s">
        <v>150</v>
      </c>
      <c r="F124" s="862">
        <v>830</v>
      </c>
      <c r="G124" s="830" t="s">
        <v>795</v>
      </c>
      <c r="H124" s="97">
        <f t="shared" si="10"/>
        <v>415</v>
      </c>
      <c r="I124" s="871"/>
    </row>
    <row r="125" spans="1:10" s="877" customFormat="1">
      <c r="A125" s="73"/>
      <c r="B125" s="880"/>
      <c r="C125" s="881"/>
      <c r="D125" s="836" t="s">
        <v>692</v>
      </c>
      <c r="E125" s="879"/>
      <c r="F125" s="830"/>
      <c r="G125" s="830"/>
      <c r="H125" s="876"/>
      <c r="I125" s="871"/>
    </row>
    <row r="126" spans="1:10" s="877" customFormat="1">
      <c r="A126" s="73"/>
      <c r="B126" s="880">
        <v>1.48</v>
      </c>
      <c r="C126" s="663" t="s">
        <v>45</v>
      </c>
      <c r="D126" s="323" t="s">
        <v>710</v>
      </c>
      <c r="E126" s="321"/>
      <c r="F126" s="883">
        <f>'lead 2025-26'!K28</f>
        <v>47785</v>
      </c>
      <c r="G126" s="883" t="s">
        <v>507</v>
      </c>
      <c r="H126" s="97">
        <f t="shared" ref="H126" si="11">ROUND(B126*F126,2)</f>
        <v>70721.8</v>
      </c>
      <c r="I126" s="871"/>
    </row>
    <row r="127" spans="1:10" s="22" customFormat="1">
      <c r="A127" s="73"/>
      <c r="B127" s="76">
        <v>3</v>
      </c>
      <c r="C127" s="863" t="s">
        <v>803</v>
      </c>
      <c r="D127" s="306" t="s">
        <v>782</v>
      </c>
      <c r="E127" s="321"/>
      <c r="F127" s="861">
        <v>105</v>
      </c>
      <c r="G127" s="74" t="s">
        <v>23</v>
      </c>
      <c r="H127" s="97"/>
      <c r="I127" s="53"/>
      <c r="J127" s="33"/>
    </row>
    <row r="128" spans="1:10" s="892" customFormat="1">
      <c r="A128" s="884"/>
      <c r="B128" s="885"/>
      <c r="C128" s="886"/>
      <c r="D128" s="887"/>
      <c r="E128" s="888"/>
      <c r="F128" s="889"/>
      <c r="G128" s="883"/>
      <c r="H128" s="890">
        <f>SUM(H119:H127)</f>
        <v>74451.11</v>
      </c>
      <c r="I128" s="891"/>
    </row>
    <row r="129" spans="1:9" s="892" customFormat="1">
      <c r="A129" s="884"/>
      <c r="B129" s="885"/>
      <c r="C129" s="886"/>
      <c r="D129" s="829" t="s">
        <v>792</v>
      </c>
      <c r="E129" s="843"/>
      <c r="F129" s="839"/>
      <c r="G129" s="78"/>
      <c r="H129" s="831">
        <f>ROUND(H128*$K$3,2)</f>
        <v>10136.52</v>
      </c>
      <c r="I129" s="891"/>
    </row>
    <row r="130" spans="1:9" s="892" customFormat="1">
      <c r="A130" s="884"/>
      <c r="B130" s="885"/>
      <c r="C130" s="886"/>
      <c r="D130" s="887" t="s">
        <v>813</v>
      </c>
      <c r="E130" s="95"/>
      <c r="F130" s="78"/>
      <c r="G130" s="78"/>
      <c r="H130" s="844">
        <f>SUM(H128:H129)</f>
        <v>84587.63</v>
      </c>
      <c r="I130" s="891"/>
    </row>
    <row r="131" spans="1:9" s="892" customFormat="1">
      <c r="A131" s="884"/>
      <c r="B131" s="885"/>
      <c r="C131" s="886"/>
      <c r="D131" s="893" t="s">
        <v>814</v>
      </c>
      <c r="E131" s="888"/>
      <c r="F131" s="889"/>
      <c r="G131" s="883"/>
      <c r="H131" s="890">
        <f>ROUND(H128/1750,2)</f>
        <v>42.54</v>
      </c>
      <c r="I131" s="891"/>
    </row>
    <row r="132" spans="1:9" s="869" customFormat="1" ht="63.75">
      <c r="A132" s="321">
        <v>7</v>
      </c>
      <c r="B132" s="1128" t="s">
        <v>816</v>
      </c>
      <c r="C132" s="1130"/>
      <c r="D132" s="306" t="s">
        <v>711</v>
      </c>
      <c r="E132" s="306"/>
      <c r="F132" s="306"/>
      <c r="G132" s="321"/>
      <c r="H132" s="661"/>
    </row>
    <row r="133" spans="1:9" s="869" customFormat="1">
      <c r="A133" s="865"/>
      <c r="B133" s="765"/>
      <c r="C133" s="866"/>
      <c r="D133" s="323" t="s">
        <v>704</v>
      </c>
      <c r="E133" s="321"/>
      <c r="F133" s="878"/>
      <c r="G133" s="95"/>
      <c r="H133" s="876"/>
      <c r="I133" s="53"/>
    </row>
    <row r="134" spans="1:9" s="869" customFormat="1">
      <c r="A134" s="865"/>
      <c r="B134" s="765"/>
      <c r="C134" s="866"/>
      <c r="D134" s="323" t="s">
        <v>705</v>
      </c>
      <c r="E134" s="321"/>
      <c r="F134" s="878"/>
      <c r="G134" s="95"/>
      <c r="H134" s="876"/>
      <c r="I134" s="53"/>
    </row>
    <row r="135" spans="1:9" s="869" customFormat="1">
      <c r="A135" s="865"/>
      <c r="B135" s="765"/>
      <c r="C135" s="866"/>
      <c r="D135" s="838" t="s">
        <v>682</v>
      </c>
      <c r="E135" s="321"/>
      <c r="F135" s="878"/>
      <c r="G135" s="95"/>
      <c r="H135" s="876"/>
      <c r="I135" s="53"/>
    </row>
    <row r="136" spans="1:9" s="869" customFormat="1">
      <c r="A136" s="865"/>
      <c r="B136" s="880">
        <v>1.04</v>
      </c>
      <c r="C136" s="663" t="s">
        <v>24</v>
      </c>
      <c r="D136" s="323" t="s">
        <v>421</v>
      </c>
      <c r="E136" s="767" t="s">
        <v>147</v>
      </c>
      <c r="F136" s="78">
        <v>615</v>
      </c>
      <c r="G136" s="95" t="s">
        <v>71</v>
      </c>
      <c r="H136" s="97">
        <f t="shared" ref="H136" si="12">ROUND(B136*F136,2)</f>
        <v>639.6</v>
      </c>
      <c r="I136" s="53"/>
    </row>
    <row r="137" spans="1:9" s="869" customFormat="1">
      <c r="A137" s="865"/>
      <c r="B137" s="880"/>
      <c r="C137" s="663"/>
      <c r="D137" s="836" t="s">
        <v>686</v>
      </c>
      <c r="E137" s="321"/>
      <c r="F137" s="95"/>
      <c r="G137" s="95"/>
      <c r="H137" s="876"/>
      <c r="I137" s="53"/>
    </row>
    <row r="138" spans="1:9" s="869" customFormat="1">
      <c r="A138" s="865"/>
      <c r="B138" s="880">
        <v>1.4</v>
      </c>
      <c r="C138" s="663" t="s">
        <v>422</v>
      </c>
      <c r="D138" s="323" t="s">
        <v>712</v>
      </c>
      <c r="E138" s="879" t="s">
        <v>810</v>
      </c>
      <c r="F138" s="830">
        <v>464</v>
      </c>
      <c r="G138" s="830" t="s">
        <v>795</v>
      </c>
      <c r="H138" s="97">
        <f t="shared" ref="H138:H140" si="13">ROUND(B138*F138,2)</f>
        <v>649.6</v>
      </c>
      <c r="I138" s="53"/>
    </row>
    <row r="139" spans="1:9" s="869" customFormat="1">
      <c r="A139" s="865"/>
      <c r="B139" s="880">
        <v>1.4</v>
      </c>
      <c r="C139" s="663" t="s">
        <v>422</v>
      </c>
      <c r="D139" s="323" t="s">
        <v>713</v>
      </c>
      <c r="E139" s="879" t="s">
        <v>811</v>
      </c>
      <c r="F139" s="830">
        <v>665.08</v>
      </c>
      <c r="G139" s="830" t="s">
        <v>795</v>
      </c>
      <c r="H139" s="97">
        <f t="shared" si="13"/>
        <v>931.11</v>
      </c>
      <c r="I139" s="53"/>
    </row>
    <row r="140" spans="1:9" s="869" customFormat="1">
      <c r="A140" s="865"/>
      <c r="B140" s="880">
        <v>1</v>
      </c>
      <c r="C140" s="663" t="s">
        <v>422</v>
      </c>
      <c r="D140" s="323" t="s">
        <v>714</v>
      </c>
      <c r="E140" s="879" t="s">
        <v>812</v>
      </c>
      <c r="F140" s="830">
        <v>1094</v>
      </c>
      <c r="G140" s="830" t="s">
        <v>795</v>
      </c>
      <c r="H140" s="97">
        <f t="shared" si="13"/>
        <v>1094</v>
      </c>
      <c r="I140" s="53"/>
    </row>
    <row r="141" spans="1:9" s="869" customFormat="1">
      <c r="A141" s="865"/>
      <c r="B141" s="880"/>
      <c r="C141" s="663"/>
      <c r="D141" s="836" t="s">
        <v>692</v>
      </c>
      <c r="E141" s="321"/>
      <c r="F141" s="95"/>
      <c r="G141" s="95"/>
      <c r="H141" s="876"/>
      <c r="I141" s="53"/>
    </row>
    <row r="142" spans="1:9" s="869" customFormat="1">
      <c r="A142" s="865"/>
      <c r="B142" s="880">
        <v>0.48</v>
      </c>
      <c r="C142" s="663" t="s">
        <v>416</v>
      </c>
      <c r="D142" s="323" t="s">
        <v>715</v>
      </c>
      <c r="E142" s="321" t="s">
        <v>416</v>
      </c>
      <c r="F142" s="95">
        <f>'lead 2025-26'!K29</f>
        <v>45215</v>
      </c>
      <c r="G142" s="95" t="s">
        <v>507</v>
      </c>
      <c r="H142" s="97">
        <f t="shared" ref="H142" si="14">ROUND(B142*F142,2)</f>
        <v>21703.200000000001</v>
      </c>
      <c r="I142" s="53"/>
    </row>
    <row r="143" spans="1:9" s="869" customFormat="1">
      <c r="A143" s="865"/>
      <c r="B143" s="765"/>
      <c r="C143" s="866"/>
      <c r="D143" s="323"/>
      <c r="E143" s="321"/>
      <c r="F143" s="878"/>
      <c r="G143" s="95"/>
      <c r="H143" s="876">
        <f>SUM(H136:H142)</f>
        <v>25017.510000000002</v>
      </c>
      <c r="I143" s="53"/>
    </row>
    <row r="144" spans="1:9" s="892" customFormat="1">
      <c r="A144" s="884"/>
      <c r="B144" s="885"/>
      <c r="C144" s="886"/>
      <c r="D144" s="829" t="s">
        <v>792</v>
      </c>
      <c r="E144" s="843"/>
      <c r="F144" s="839"/>
      <c r="G144" s="78"/>
      <c r="H144" s="831">
        <f>ROUND(H143*$K$3,2)</f>
        <v>3406.13</v>
      </c>
      <c r="I144" s="891"/>
    </row>
    <row r="145" spans="1:9" s="892" customFormat="1">
      <c r="A145" s="884"/>
      <c r="B145" s="885"/>
      <c r="C145" s="886"/>
      <c r="D145" s="887" t="s">
        <v>813</v>
      </c>
      <c r="E145" s="95"/>
      <c r="F145" s="78"/>
      <c r="G145" s="78"/>
      <c r="H145" s="844">
        <f>SUM(H143:H144)</f>
        <v>28423.640000000003</v>
      </c>
      <c r="I145" s="891"/>
    </row>
    <row r="146" spans="1:9" s="869" customFormat="1">
      <c r="A146" s="865"/>
      <c r="B146" s="894"/>
      <c r="C146" s="895"/>
      <c r="D146" s="836" t="s">
        <v>817</v>
      </c>
      <c r="E146" s="321"/>
      <c r="F146" s="878"/>
      <c r="G146" s="896"/>
      <c r="H146" s="897">
        <f>ROUND(H145/1750,2)</f>
        <v>16.239999999999998</v>
      </c>
      <c r="I146" s="53"/>
    </row>
    <row r="147" spans="1:9" s="869" customFormat="1" ht="25.5" hidden="1">
      <c r="A147" s="865">
        <v>9</v>
      </c>
      <c r="B147" s="898" t="s">
        <v>1148</v>
      </c>
      <c r="C147" s="899"/>
      <c r="D147" s="836" t="s">
        <v>1149</v>
      </c>
      <c r="E147" s="879"/>
      <c r="F147" s="878"/>
      <c r="G147" s="896"/>
      <c r="H147" s="897"/>
      <c r="I147" s="53"/>
    </row>
    <row r="148" spans="1:9" s="869" customFormat="1" ht="127.5" hidden="1">
      <c r="A148" s="865"/>
      <c r="B148" s="898"/>
      <c r="C148" s="899"/>
      <c r="D148" s="323" t="s">
        <v>1150</v>
      </c>
      <c r="E148" s="879"/>
      <c r="F148" s="878"/>
      <c r="G148" s="896"/>
      <c r="H148" s="897"/>
      <c r="I148" s="53"/>
    </row>
    <row r="149" spans="1:9" s="869" customFormat="1" hidden="1">
      <c r="A149" s="865"/>
      <c r="B149" s="898"/>
      <c r="C149" s="899"/>
      <c r="D149" s="836" t="s">
        <v>40</v>
      </c>
      <c r="E149" s="879"/>
      <c r="F149" s="878"/>
      <c r="G149" s="896"/>
      <c r="H149" s="897"/>
      <c r="I149" s="53"/>
    </row>
    <row r="150" spans="1:9" s="869" customFormat="1" hidden="1">
      <c r="A150" s="865"/>
      <c r="B150" s="898"/>
      <c r="C150" s="899"/>
      <c r="D150" s="836" t="s">
        <v>1151</v>
      </c>
      <c r="E150" s="879"/>
      <c r="F150" s="878"/>
      <c r="G150" s="896"/>
      <c r="H150" s="897"/>
      <c r="I150" s="53"/>
    </row>
    <row r="151" spans="1:9" s="869" customFormat="1" hidden="1">
      <c r="A151" s="865"/>
      <c r="B151" s="898"/>
      <c r="C151" s="899"/>
      <c r="D151" s="836" t="s">
        <v>720</v>
      </c>
      <c r="E151" s="879"/>
      <c r="F151" s="878"/>
      <c r="G151" s="896"/>
      <c r="H151" s="897"/>
      <c r="I151" s="53"/>
    </row>
    <row r="152" spans="1:9" s="869" customFormat="1" hidden="1">
      <c r="A152" s="865"/>
      <c r="B152" s="880">
        <v>8</v>
      </c>
      <c r="C152" s="881" t="s">
        <v>24</v>
      </c>
      <c r="D152" s="323" t="s">
        <v>421</v>
      </c>
      <c r="E152" s="321" t="s">
        <v>147</v>
      </c>
      <c r="F152" s="78">
        <v>615</v>
      </c>
      <c r="G152" s="896" t="s">
        <v>71</v>
      </c>
      <c r="H152" s="96">
        <f t="shared" ref="H152:H153" si="15">ROUND(B152*F152,2)</f>
        <v>4920</v>
      </c>
      <c r="I152" s="53"/>
    </row>
    <row r="153" spans="1:9" s="869" customFormat="1" hidden="1">
      <c r="A153" s="865"/>
      <c r="B153" s="880">
        <v>3.52</v>
      </c>
      <c r="C153" s="881" t="s">
        <v>24</v>
      </c>
      <c r="D153" s="323" t="s">
        <v>685</v>
      </c>
      <c r="E153" s="321" t="s">
        <v>147</v>
      </c>
      <c r="F153" s="78">
        <v>615</v>
      </c>
      <c r="G153" s="896" t="s">
        <v>71</v>
      </c>
      <c r="H153" s="96">
        <f t="shared" si="15"/>
        <v>2164.8000000000002</v>
      </c>
      <c r="I153" s="53"/>
    </row>
    <row r="154" spans="1:9" s="869" customFormat="1" hidden="1">
      <c r="A154" s="865"/>
      <c r="B154" s="880"/>
      <c r="C154" s="881"/>
      <c r="D154" s="836" t="s">
        <v>723</v>
      </c>
      <c r="E154" s="879"/>
      <c r="F154" s="896"/>
      <c r="G154" s="896"/>
      <c r="H154" s="897"/>
      <c r="I154" s="53"/>
    </row>
    <row r="155" spans="1:9" s="869" customFormat="1" hidden="1">
      <c r="A155" s="865"/>
      <c r="B155" s="927">
        <v>6</v>
      </c>
      <c r="C155" s="881" t="s">
        <v>422</v>
      </c>
      <c r="D155" s="323" t="s">
        <v>1152</v>
      </c>
      <c r="E155" s="879" t="s">
        <v>819</v>
      </c>
      <c r="F155" s="896">
        <v>24850</v>
      </c>
      <c r="G155" s="896" t="s">
        <v>795</v>
      </c>
      <c r="H155" s="96">
        <f t="shared" ref="H155:H163" si="16">ROUND(B155*F155,2)</f>
        <v>149100</v>
      </c>
      <c r="I155" s="53"/>
    </row>
    <row r="156" spans="1:9" s="869" customFormat="1" hidden="1">
      <c r="A156" s="865"/>
      <c r="B156" s="927">
        <v>1.1000000000000001</v>
      </c>
      <c r="C156" s="881" t="s">
        <v>422</v>
      </c>
      <c r="D156" s="323" t="s">
        <v>1153</v>
      </c>
      <c r="E156" s="879" t="s">
        <v>810</v>
      </c>
      <c r="F156" s="896">
        <v>464</v>
      </c>
      <c r="G156" s="896" t="s">
        <v>795</v>
      </c>
      <c r="H156" s="96"/>
      <c r="I156" s="53"/>
    </row>
    <row r="157" spans="1:9" s="869" customFormat="1" hidden="1">
      <c r="A157" s="865"/>
      <c r="B157" s="927">
        <v>1.1000000000000001</v>
      </c>
      <c r="C157" s="881" t="s">
        <v>422</v>
      </c>
      <c r="D157" s="323" t="s">
        <v>713</v>
      </c>
      <c r="E157" s="879" t="s">
        <v>811</v>
      </c>
      <c r="F157" s="830">
        <v>665.08</v>
      </c>
      <c r="G157" s="896" t="s">
        <v>795</v>
      </c>
      <c r="H157" s="96">
        <f t="shared" si="16"/>
        <v>731.59</v>
      </c>
      <c r="I157" s="53"/>
    </row>
    <row r="158" spans="1:9" s="869" customFormat="1" hidden="1">
      <c r="A158" s="865"/>
      <c r="B158" s="927">
        <v>6</v>
      </c>
      <c r="C158" s="881" t="s">
        <v>422</v>
      </c>
      <c r="D158" s="323" t="s">
        <v>1154</v>
      </c>
      <c r="E158" s="879" t="s">
        <v>820</v>
      </c>
      <c r="F158" s="896">
        <v>2890</v>
      </c>
      <c r="G158" s="896" t="s">
        <v>795</v>
      </c>
      <c r="H158" s="96">
        <f t="shared" ref="H158:H160" si="17">ROUND(B158*F158,2)</f>
        <v>17340</v>
      </c>
      <c r="I158" s="53"/>
    </row>
    <row r="159" spans="1:9" s="869" customFormat="1" hidden="1">
      <c r="A159" s="865"/>
      <c r="B159" s="927">
        <v>6</v>
      </c>
      <c r="C159" s="881" t="s">
        <v>422</v>
      </c>
      <c r="D159" s="323" t="s">
        <v>1155</v>
      </c>
      <c r="E159" s="879" t="s">
        <v>1253</v>
      </c>
      <c r="F159" s="896">
        <v>1854</v>
      </c>
      <c r="G159" s="896" t="s">
        <v>795</v>
      </c>
      <c r="H159" s="96">
        <f t="shared" si="17"/>
        <v>11124</v>
      </c>
      <c r="I159" s="53"/>
    </row>
    <row r="160" spans="1:9" s="869" customFormat="1" hidden="1">
      <c r="A160" s="865"/>
      <c r="B160" s="927">
        <v>6</v>
      </c>
      <c r="C160" s="881" t="s">
        <v>422</v>
      </c>
      <c r="D160" s="323" t="s">
        <v>1156</v>
      </c>
      <c r="E160" s="879" t="s">
        <v>804</v>
      </c>
      <c r="F160" s="896">
        <v>2063</v>
      </c>
      <c r="G160" s="896" t="s">
        <v>795</v>
      </c>
      <c r="H160" s="96">
        <f t="shared" si="17"/>
        <v>12378</v>
      </c>
      <c r="I160" s="53"/>
    </row>
    <row r="161" spans="1:9" s="869" customFormat="1" hidden="1">
      <c r="A161" s="865"/>
      <c r="B161" s="927">
        <v>6.21</v>
      </c>
      <c r="C161" s="881" t="s">
        <v>422</v>
      </c>
      <c r="D161" s="323" t="s">
        <v>1157</v>
      </c>
      <c r="E161" s="879" t="s">
        <v>268</v>
      </c>
      <c r="F161" s="896">
        <v>1287.5</v>
      </c>
      <c r="G161" s="896" t="s">
        <v>795</v>
      </c>
      <c r="H161" s="96">
        <f t="shared" si="16"/>
        <v>7995.38</v>
      </c>
      <c r="I161" s="53"/>
    </row>
    <row r="162" spans="1:9" s="869" customFormat="1" ht="25.5" hidden="1">
      <c r="A162" s="865"/>
      <c r="B162" s="928">
        <v>12</v>
      </c>
      <c r="C162" s="881" t="s">
        <v>422</v>
      </c>
      <c r="D162" s="323" t="s">
        <v>1158</v>
      </c>
      <c r="E162" s="879" t="s">
        <v>822</v>
      </c>
      <c r="F162" s="896">
        <v>1752.77</v>
      </c>
      <c r="G162" s="896" t="s">
        <v>795</v>
      </c>
      <c r="H162" s="96">
        <f t="shared" si="16"/>
        <v>21033.24</v>
      </c>
      <c r="I162" s="53"/>
    </row>
    <row r="163" spans="1:9" s="869" customFormat="1" hidden="1">
      <c r="A163" s="865"/>
      <c r="B163" s="927">
        <v>6</v>
      </c>
      <c r="C163" s="881" t="s">
        <v>422</v>
      </c>
      <c r="D163" s="323" t="s">
        <v>1159</v>
      </c>
      <c r="E163" s="767" t="s">
        <v>1267</v>
      </c>
      <c r="F163" s="660">
        <v>3518.6</v>
      </c>
      <c r="G163" s="896" t="s">
        <v>795</v>
      </c>
      <c r="H163" s="96">
        <f t="shared" si="16"/>
        <v>21111.599999999999</v>
      </c>
      <c r="I163" s="53"/>
    </row>
    <row r="164" spans="1:9" s="869" customFormat="1" hidden="1">
      <c r="A164" s="865"/>
      <c r="B164" s="880"/>
      <c r="C164" s="881"/>
      <c r="D164" s="836" t="s">
        <v>731</v>
      </c>
      <c r="E164" s="879"/>
      <c r="F164" s="896"/>
      <c r="G164" s="896"/>
      <c r="H164" s="897"/>
      <c r="I164" s="53"/>
    </row>
    <row r="165" spans="1:9" s="869" customFormat="1" ht="25.5" hidden="1">
      <c r="A165" s="865"/>
      <c r="B165" s="900">
        <v>7.4249999999999998</v>
      </c>
      <c r="C165" s="881" t="s">
        <v>416</v>
      </c>
      <c r="D165" s="836" t="s">
        <v>1160</v>
      </c>
      <c r="E165" s="879" t="s">
        <v>416</v>
      </c>
      <c r="F165" s="896">
        <f>'lead 2025-26'!K30</f>
        <v>46974</v>
      </c>
      <c r="G165" s="896" t="s">
        <v>818</v>
      </c>
      <c r="H165" s="96">
        <f t="shared" ref="H165" si="18">ROUND(B165*F165,2)</f>
        <v>348781.95</v>
      </c>
      <c r="I165" s="53"/>
    </row>
    <row r="166" spans="1:9" s="869" customFormat="1" hidden="1">
      <c r="A166" s="865"/>
      <c r="B166" s="898"/>
      <c r="C166" s="899"/>
      <c r="D166" s="836" t="s">
        <v>1161</v>
      </c>
      <c r="E166" s="879"/>
      <c r="F166" s="878"/>
      <c r="G166" s="896"/>
      <c r="H166" s="897"/>
      <c r="I166" s="53"/>
    </row>
    <row r="167" spans="1:9" s="869" customFormat="1" hidden="1">
      <c r="A167" s="865"/>
      <c r="B167" s="898"/>
      <c r="C167" s="899"/>
      <c r="D167" s="323" t="s">
        <v>1162</v>
      </c>
      <c r="E167" s="879"/>
      <c r="F167" s="878"/>
      <c r="G167" s="896"/>
      <c r="H167" s="897"/>
      <c r="I167" s="53"/>
    </row>
    <row r="168" spans="1:9" s="869" customFormat="1" hidden="1">
      <c r="A168" s="865"/>
      <c r="B168" s="898"/>
      <c r="C168" s="899"/>
      <c r="D168" s="323" t="s">
        <v>1163</v>
      </c>
      <c r="E168" s="879"/>
      <c r="F168" s="878"/>
      <c r="G168" s="896"/>
      <c r="H168" s="897"/>
      <c r="I168" s="53"/>
    </row>
    <row r="169" spans="1:9" s="869" customFormat="1" hidden="1">
      <c r="A169" s="865"/>
      <c r="B169" s="898"/>
      <c r="C169" s="899"/>
      <c r="D169" s="323" t="s">
        <v>1164</v>
      </c>
      <c r="E169" s="879"/>
      <c r="F169" s="878"/>
      <c r="G169" s="896"/>
      <c r="H169" s="897"/>
      <c r="I169" s="53"/>
    </row>
    <row r="170" spans="1:9" s="869" customFormat="1" hidden="1">
      <c r="A170" s="865"/>
      <c r="B170" s="898"/>
      <c r="C170" s="899"/>
      <c r="D170" s="323" t="s">
        <v>1165</v>
      </c>
      <c r="E170" s="879"/>
      <c r="F170" s="878"/>
      <c r="G170" s="896"/>
      <c r="H170" s="897"/>
      <c r="I170" s="53"/>
    </row>
    <row r="171" spans="1:9" s="869" customFormat="1" hidden="1">
      <c r="A171" s="865"/>
      <c r="B171" s="898"/>
      <c r="C171" s="899"/>
      <c r="D171" s="323" t="s">
        <v>1166</v>
      </c>
      <c r="E171" s="879"/>
      <c r="F171" s="878"/>
      <c r="G171" s="896"/>
      <c r="H171" s="897"/>
      <c r="I171" s="53"/>
    </row>
    <row r="172" spans="1:9" s="869" customFormat="1" hidden="1">
      <c r="A172" s="865"/>
      <c r="B172" s="898"/>
      <c r="C172" s="899"/>
      <c r="D172" s="836" t="s">
        <v>1167</v>
      </c>
      <c r="E172" s="879"/>
      <c r="F172" s="1333"/>
      <c r="G172" s="896"/>
      <c r="H172" s="897"/>
      <c r="I172" s="53"/>
    </row>
    <row r="173" spans="1:9" s="869" customFormat="1" hidden="1">
      <c r="A173" s="865"/>
      <c r="B173" s="880">
        <v>58.02</v>
      </c>
      <c r="C173" s="881" t="s">
        <v>13</v>
      </c>
      <c r="D173" s="323" t="s">
        <v>1168</v>
      </c>
      <c r="E173" s="879" t="s">
        <v>809</v>
      </c>
      <c r="F173" s="1334">
        <f>'lead 2025-26'!L11</f>
        <v>2742.42</v>
      </c>
      <c r="G173" s="879" t="s">
        <v>13</v>
      </c>
      <c r="H173" s="661">
        <f>ROUND(F173*B173,2)</f>
        <v>159115.21</v>
      </c>
      <c r="I173" s="53"/>
    </row>
    <row r="174" spans="1:9" s="869" customFormat="1" hidden="1">
      <c r="A174" s="865"/>
      <c r="B174" s="880">
        <v>58.02</v>
      </c>
      <c r="C174" s="881" t="s">
        <v>13</v>
      </c>
      <c r="D174" s="323" t="s">
        <v>1169</v>
      </c>
      <c r="E174" s="879" t="s">
        <v>809</v>
      </c>
      <c r="F174" s="1334">
        <f>'lead 2025-26'!L14</f>
        <v>2332.73</v>
      </c>
      <c r="G174" s="879" t="s">
        <v>13</v>
      </c>
      <c r="H174" s="661">
        <f>ROUND(F174*B174,2)</f>
        <v>135344.99</v>
      </c>
      <c r="I174" s="53"/>
    </row>
    <row r="175" spans="1:9" s="869" customFormat="1" hidden="1">
      <c r="A175" s="865"/>
      <c r="B175" s="880">
        <v>29.01</v>
      </c>
      <c r="C175" s="881" t="s">
        <v>13</v>
      </c>
      <c r="D175" s="323" t="s">
        <v>1170</v>
      </c>
      <c r="E175" s="879" t="s">
        <v>809</v>
      </c>
      <c r="F175" s="1335">
        <f>'lead 2025-26'!L23</f>
        <v>1935.86</v>
      </c>
      <c r="G175" s="879" t="s">
        <v>13</v>
      </c>
      <c r="H175" s="661">
        <f>ROUND(F175*B175,2)</f>
        <v>56159.3</v>
      </c>
      <c r="I175" s="53"/>
    </row>
    <row r="176" spans="1:9" s="869" customFormat="1" hidden="1">
      <c r="A176" s="865"/>
      <c r="B176" s="898"/>
      <c r="C176" s="899"/>
      <c r="D176" s="887"/>
      <c r="E176" s="902"/>
      <c r="F176" s="889"/>
      <c r="G176" s="896"/>
      <c r="H176" s="897">
        <f>SUM(H152:H175)</f>
        <v>947300.06</v>
      </c>
      <c r="I176" s="53"/>
    </row>
    <row r="177" spans="1:9" s="869" customFormat="1" hidden="1">
      <c r="A177" s="865"/>
      <c r="B177" s="898"/>
      <c r="C177" s="899"/>
      <c r="D177" s="829" t="s">
        <v>792</v>
      </c>
      <c r="E177" s="843"/>
      <c r="F177" s="839"/>
      <c r="G177" s="78"/>
      <c r="H177" s="831">
        <f>ROUND(H176*$K$3,2)</f>
        <v>128974.9</v>
      </c>
      <c r="I177" s="53"/>
    </row>
    <row r="178" spans="1:9" s="869" customFormat="1" hidden="1">
      <c r="A178" s="865"/>
      <c r="B178" s="898"/>
      <c r="C178" s="899"/>
      <c r="D178" s="893" t="s">
        <v>1171</v>
      </c>
      <c r="E178" s="95"/>
      <c r="F178" s="78"/>
      <c r="G178" s="78"/>
      <c r="H178" s="926">
        <f>SUM(H176:H177)</f>
        <v>1076274.96</v>
      </c>
      <c r="I178" s="53"/>
    </row>
    <row r="179" spans="1:9" s="869" customFormat="1" hidden="1">
      <c r="A179" s="865"/>
      <c r="B179" s="898"/>
      <c r="C179" s="899"/>
      <c r="D179" s="893" t="s">
        <v>825</v>
      </c>
      <c r="E179" s="902"/>
      <c r="F179" s="889"/>
      <c r="G179" s="896"/>
      <c r="H179" s="897">
        <f>ROUND(H178/102.5,2)</f>
        <v>10500.24</v>
      </c>
      <c r="I179" s="53"/>
    </row>
    <row r="180" spans="1:9" s="869" customFormat="1" ht="25.5">
      <c r="A180" s="865">
        <v>8</v>
      </c>
      <c r="B180" s="898" t="s">
        <v>716</v>
      </c>
      <c r="C180" s="899"/>
      <c r="D180" s="836" t="s">
        <v>717</v>
      </c>
      <c r="E180" s="879"/>
      <c r="F180" s="878"/>
      <c r="G180" s="896"/>
      <c r="H180" s="897"/>
      <c r="I180" s="53"/>
    </row>
    <row r="181" spans="1:9" s="869" customFormat="1" ht="127.5">
      <c r="A181" s="865"/>
      <c r="B181" s="898"/>
      <c r="C181" s="899"/>
      <c r="D181" s="323" t="s">
        <v>718</v>
      </c>
      <c r="E181" s="879"/>
      <c r="F181" s="878"/>
      <c r="G181" s="896"/>
      <c r="H181" s="897"/>
      <c r="I181" s="53"/>
    </row>
    <row r="182" spans="1:9" s="869" customFormat="1">
      <c r="A182" s="865"/>
      <c r="B182" s="898"/>
      <c r="C182" s="899"/>
      <c r="D182" s="836" t="s">
        <v>40</v>
      </c>
      <c r="E182" s="879"/>
      <c r="F182" s="878"/>
      <c r="G182" s="896"/>
      <c r="H182" s="897"/>
      <c r="I182" s="53"/>
    </row>
    <row r="183" spans="1:9" s="869" customFormat="1">
      <c r="A183" s="865"/>
      <c r="B183" s="898"/>
      <c r="C183" s="899"/>
      <c r="D183" s="836" t="s">
        <v>719</v>
      </c>
      <c r="E183" s="879"/>
      <c r="F183" s="878"/>
      <c r="G183" s="896"/>
      <c r="H183" s="897"/>
      <c r="I183" s="53"/>
    </row>
    <row r="184" spans="1:9" s="869" customFormat="1">
      <c r="A184" s="865"/>
      <c r="B184" s="898"/>
      <c r="C184" s="899"/>
      <c r="D184" s="836" t="s">
        <v>720</v>
      </c>
      <c r="E184" s="879"/>
      <c r="F184" s="878"/>
      <c r="G184" s="896"/>
      <c r="H184" s="897"/>
      <c r="I184" s="53"/>
    </row>
    <row r="185" spans="1:9" s="869" customFormat="1" ht="38.25">
      <c r="A185" s="865"/>
      <c r="B185" s="880">
        <v>12</v>
      </c>
      <c r="C185" s="881" t="s">
        <v>24</v>
      </c>
      <c r="D185" s="323" t="s">
        <v>721</v>
      </c>
      <c r="E185" s="767" t="s">
        <v>147</v>
      </c>
      <c r="F185" s="78">
        <v>615</v>
      </c>
      <c r="G185" s="896" t="s">
        <v>71</v>
      </c>
      <c r="H185" s="96">
        <f t="shared" ref="H185:H196" si="19">ROUND(B185*F185,2)</f>
        <v>7380</v>
      </c>
      <c r="I185" s="53"/>
    </row>
    <row r="186" spans="1:9" s="869" customFormat="1">
      <c r="A186" s="865"/>
      <c r="B186" s="880">
        <v>5.84</v>
      </c>
      <c r="C186" s="881" t="s">
        <v>24</v>
      </c>
      <c r="D186" s="323" t="s">
        <v>722</v>
      </c>
      <c r="E186" s="767" t="s">
        <v>147</v>
      </c>
      <c r="F186" s="78">
        <v>615</v>
      </c>
      <c r="G186" s="896" t="s">
        <v>71</v>
      </c>
      <c r="H186" s="96">
        <f t="shared" si="19"/>
        <v>3591.6</v>
      </c>
      <c r="I186" s="53"/>
    </row>
    <row r="187" spans="1:9" s="869" customFormat="1">
      <c r="A187" s="865"/>
      <c r="B187" s="880"/>
      <c r="C187" s="881"/>
      <c r="D187" s="836" t="s">
        <v>723</v>
      </c>
      <c r="E187" s="879"/>
      <c r="F187" s="896"/>
      <c r="G187" s="896"/>
      <c r="H187" s="897"/>
      <c r="I187" s="53"/>
    </row>
    <row r="188" spans="1:9" s="869" customFormat="1">
      <c r="A188" s="865"/>
      <c r="B188" s="880">
        <v>11</v>
      </c>
      <c r="C188" s="881" t="s">
        <v>422</v>
      </c>
      <c r="D188" s="323" t="s">
        <v>724</v>
      </c>
      <c r="E188" s="879" t="s">
        <v>819</v>
      </c>
      <c r="F188" s="896">
        <v>24850</v>
      </c>
      <c r="G188" s="896" t="s">
        <v>795</v>
      </c>
      <c r="H188" s="96">
        <f t="shared" si="19"/>
        <v>273350</v>
      </c>
      <c r="I188" s="53"/>
    </row>
    <row r="189" spans="1:9" s="869" customFormat="1" ht="25.5">
      <c r="A189" s="865"/>
      <c r="B189" s="880">
        <v>6</v>
      </c>
      <c r="C189" s="881" t="s">
        <v>422</v>
      </c>
      <c r="D189" s="323" t="s">
        <v>725</v>
      </c>
      <c r="E189" s="879" t="s">
        <v>820</v>
      </c>
      <c r="F189" s="896">
        <v>2890</v>
      </c>
      <c r="G189" s="896" t="s">
        <v>795</v>
      </c>
      <c r="H189" s="96">
        <f t="shared" si="19"/>
        <v>17340</v>
      </c>
      <c r="I189" s="53"/>
    </row>
    <row r="190" spans="1:9" s="869" customFormat="1">
      <c r="A190" s="865"/>
      <c r="B190" s="880">
        <v>6</v>
      </c>
      <c r="C190" s="881" t="s">
        <v>422</v>
      </c>
      <c r="D190" s="323" t="s">
        <v>726</v>
      </c>
      <c r="E190" s="879" t="s">
        <v>821</v>
      </c>
      <c r="F190" s="896">
        <v>2598</v>
      </c>
      <c r="G190" s="896" t="s">
        <v>795</v>
      </c>
      <c r="H190" s="96">
        <f t="shared" si="19"/>
        <v>15588</v>
      </c>
      <c r="I190" s="53"/>
    </row>
    <row r="191" spans="1:9" s="869" customFormat="1">
      <c r="A191" s="865"/>
      <c r="B191" s="880">
        <v>6</v>
      </c>
      <c r="C191" s="881" t="s">
        <v>422</v>
      </c>
      <c r="D191" s="323" t="s">
        <v>727</v>
      </c>
      <c r="E191" s="879" t="s">
        <v>804</v>
      </c>
      <c r="F191" s="896">
        <v>2063</v>
      </c>
      <c r="G191" s="896" t="s">
        <v>795</v>
      </c>
      <c r="H191" s="96">
        <f t="shared" si="19"/>
        <v>12378</v>
      </c>
      <c r="I191" s="53"/>
    </row>
    <row r="192" spans="1:9" s="869" customFormat="1" ht="25.5">
      <c r="A192" s="865"/>
      <c r="B192" s="880">
        <v>3.9</v>
      </c>
      <c r="C192" s="881" t="s">
        <v>422</v>
      </c>
      <c r="D192" s="323" t="s">
        <v>728</v>
      </c>
      <c r="E192" s="879" t="s">
        <v>822</v>
      </c>
      <c r="F192" s="896">
        <v>1752.77</v>
      </c>
      <c r="G192" s="896" t="s">
        <v>795</v>
      </c>
      <c r="H192" s="96">
        <f t="shared" si="19"/>
        <v>6835.8</v>
      </c>
      <c r="I192" s="53"/>
    </row>
    <row r="193" spans="1:9" s="869" customFormat="1">
      <c r="A193" s="865"/>
      <c r="B193" s="880">
        <v>3.9</v>
      </c>
      <c r="C193" s="881" t="s">
        <v>422</v>
      </c>
      <c r="D193" s="323" t="s">
        <v>729</v>
      </c>
      <c r="E193" s="857" t="s">
        <v>1267</v>
      </c>
      <c r="F193" s="858">
        <v>3518.6</v>
      </c>
      <c r="G193" s="896" t="s">
        <v>795</v>
      </c>
      <c r="H193" s="96">
        <f t="shared" si="19"/>
        <v>13722.54</v>
      </c>
      <c r="I193" s="53"/>
    </row>
    <row r="194" spans="1:9" s="869" customFormat="1" ht="25.5">
      <c r="A194" s="865"/>
      <c r="B194" s="880">
        <v>3.9</v>
      </c>
      <c r="C194" s="881" t="s">
        <v>422</v>
      </c>
      <c r="D194" s="323" t="s">
        <v>730</v>
      </c>
      <c r="E194" s="879" t="s">
        <v>823</v>
      </c>
      <c r="F194" s="896">
        <v>2230</v>
      </c>
      <c r="G194" s="896" t="s">
        <v>795</v>
      </c>
      <c r="H194" s="96">
        <f t="shared" si="19"/>
        <v>8697</v>
      </c>
      <c r="I194" s="53"/>
    </row>
    <row r="195" spans="1:9" s="869" customFormat="1">
      <c r="A195" s="865"/>
      <c r="B195" s="880"/>
      <c r="C195" s="881"/>
      <c r="D195" s="836" t="s">
        <v>731</v>
      </c>
      <c r="E195" s="879"/>
      <c r="F195" s="896"/>
      <c r="G195" s="896"/>
      <c r="H195" s="897"/>
      <c r="I195" s="53"/>
    </row>
    <row r="196" spans="1:9" s="869" customFormat="1">
      <c r="A196" s="865"/>
      <c r="B196" s="880">
        <v>22.5</v>
      </c>
      <c r="C196" s="881" t="s">
        <v>416</v>
      </c>
      <c r="D196" s="836" t="s">
        <v>732</v>
      </c>
      <c r="E196" s="879" t="s">
        <v>416</v>
      </c>
      <c r="F196" s="896">
        <f>'lead 2025-26'!K30</f>
        <v>46974</v>
      </c>
      <c r="G196" s="896" t="s">
        <v>818</v>
      </c>
      <c r="H196" s="96">
        <f t="shared" si="19"/>
        <v>1056915</v>
      </c>
      <c r="I196" s="53"/>
    </row>
    <row r="197" spans="1:9" s="869" customFormat="1">
      <c r="A197" s="865"/>
      <c r="B197" s="898"/>
      <c r="C197" s="899"/>
      <c r="D197" s="323" t="s">
        <v>733</v>
      </c>
      <c r="E197" s="879"/>
      <c r="F197" s="878"/>
      <c r="G197" s="896"/>
      <c r="H197" s="897"/>
      <c r="I197" s="53"/>
    </row>
    <row r="198" spans="1:9" s="869" customFormat="1">
      <c r="A198" s="865"/>
      <c r="B198" s="898"/>
      <c r="C198" s="899"/>
      <c r="D198" s="836" t="s">
        <v>734</v>
      </c>
      <c r="E198" s="879"/>
      <c r="F198" s="878"/>
      <c r="G198" s="896"/>
      <c r="H198" s="897"/>
      <c r="I198" s="53"/>
    </row>
    <row r="199" spans="1:9" s="869" customFormat="1">
      <c r="A199" s="865"/>
      <c r="B199" s="898"/>
      <c r="C199" s="899"/>
      <c r="D199" s="323" t="s">
        <v>735</v>
      </c>
      <c r="E199" s="879"/>
      <c r="F199" s="878"/>
      <c r="G199" s="896"/>
      <c r="H199" s="897"/>
      <c r="I199" s="53"/>
    </row>
    <row r="200" spans="1:9" s="869" customFormat="1">
      <c r="A200" s="865"/>
      <c r="B200" s="898"/>
      <c r="C200" s="899"/>
      <c r="D200" s="323" t="s">
        <v>736</v>
      </c>
      <c r="E200" s="879"/>
      <c r="F200" s="878"/>
      <c r="G200" s="896"/>
      <c r="H200" s="897"/>
      <c r="I200" s="53"/>
    </row>
    <row r="201" spans="1:9" s="869" customFormat="1">
      <c r="A201" s="865"/>
      <c r="B201" s="898"/>
      <c r="C201" s="899"/>
      <c r="D201" s="323" t="s">
        <v>737</v>
      </c>
      <c r="E201" s="879"/>
      <c r="F201" s="878"/>
      <c r="G201" s="896"/>
      <c r="H201" s="897"/>
      <c r="I201" s="53"/>
    </row>
    <row r="202" spans="1:9" s="869" customFormat="1">
      <c r="A202" s="865"/>
      <c r="B202" s="898"/>
      <c r="C202" s="899"/>
      <c r="D202" s="323" t="s">
        <v>738</v>
      </c>
      <c r="E202" s="879"/>
      <c r="F202" s="878"/>
      <c r="G202" s="896"/>
      <c r="H202" s="897"/>
      <c r="I202" s="53"/>
    </row>
    <row r="203" spans="1:9" s="869" customFormat="1">
      <c r="A203" s="865"/>
      <c r="B203" s="898"/>
      <c r="C203" s="899"/>
      <c r="D203" s="323" t="s">
        <v>739</v>
      </c>
      <c r="E203" s="879"/>
      <c r="F203" s="878"/>
      <c r="G203" s="896"/>
      <c r="H203" s="897"/>
      <c r="I203" s="53"/>
    </row>
    <row r="204" spans="1:9" s="869" customFormat="1">
      <c r="A204" s="865"/>
      <c r="B204" s="900">
        <v>81.224999999999994</v>
      </c>
      <c r="C204" s="901" t="s">
        <v>13</v>
      </c>
      <c r="D204" s="323" t="s">
        <v>740</v>
      </c>
      <c r="E204" s="879"/>
      <c r="F204" s="896">
        <f>'lead 2025-26'!K21</f>
        <v>2433.9799999999982</v>
      </c>
      <c r="G204" s="879" t="s">
        <v>13</v>
      </c>
      <c r="H204" s="661">
        <f>ROUND(F204*B204,2)</f>
        <v>197700.03</v>
      </c>
      <c r="I204" s="53"/>
    </row>
    <row r="205" spans="1:9" s="869" customFormat="1">
      <c r="A205" s="865"/>
      <c r="B205" s="900">
        <v>81.224999999999994</v>
      </c>
      <c r="C205" s="901" t="s">
        <v>13</v>
      </c>
      <c r="D205" s="323" t="s">
        <v>741</v>
      </c>
      <c r="E205" s="879"/>
      <c r="F205" s="896">
        <f>'lead 2025-26'!K22</f>
        <v>2271.4799999999982</v>
      </c>
      <c r="G205" s="879" t="s">
        <v>13</v>
      </c>
      <c r="H205" s="661">
        <f>ROUND(F205*B205,2)</f>
        <v>184500.96</v>
      </c>
      <c r="I205" s="53"/>
    </row>
    <row r="206" spans="1:9" s="869" customFormat="1">
      <c r="A206" s="865"/>
      <c r="B206" s="900">
        <v>58.424999999999997</v>
      </c>
      <c r="C206" s="901" t="s">
        <v>13</v>
      </c>
      <c r="D206" s="323" t="s">
        <v>742</v>
      </c>
      <c r="E206" s="879"/>
      <c r="F206" s="896">
        <f>'lead 2025-26'!K23</f>
        <v>1982.7299999999982</v>
      </c>
      <c r="G206" s="879" t="s">
        <v>13</v>
      </c>
      <c r="H206" s="661">
        <f>ROUND(F206*B206,2)</f>
        <v>115841</v>
      </c>
      <c r="I206" s="53"/>
    </row>
    <row r="207" spans="1:9" s="869" customFormat="1">
      <c r="A207" s="865"/>
      <c r="B207" s="900">
        <v>58.424999999999997</v>
      </c>
      <c r="C207" s="901" t="s">
        <v>13</v>
      </c>
      <c r="D207" s="323" t="s">
        <v>743</v>
      </c>
      <c r="E207" s="879"/>
      <c r="F207" s="896">
        <f>'lead 2025-26'!K24</f>
        <v>1888.9799999999982</v>
      </c>
      <c r="G207" s="879" t="s">
        <v>13</v>
      </c>
      <c r="H207" s="661">
        <f>ROUND(F207*B207,2)</f>
        <v>110363.66</v>
      </c>
      <c r="I207" s="53"/>
    </row>
    <row r="208" spans="1:9" s="869" customFormat="1">
      <c r="A208" s="865"/>
      <c r="B208" s="900">
        <v>5.7</v>
      </c>
      <c r="C208" s="901" t="s">
        <v>13</v>
      </c>
      <c r="D208" s="323" t="s">
        <v>744</v>
      </c>
      <c r="E208" s="879"/>
      <c r="F208" s="896">
        <f>F207</f>
        <v>1888.9799999999982</v>
      </c>
      <c r="G208" s="879" t="s">
        <v>13</v>
      </c>
      <c r="H208" s="661">
        <f>ROUND(F208*B208,2)</f>
        <v>10767.19</v>
      </c>
      <c r="I208" s="53"/>
    </row>
    <row r="209" spans="1:9" s="869" customFormat="1">
      <c r="A209" s="865"/>
      <c r="B209" s="898"/>
      <c r="C209" s="899"/>
      <c r="D209" s="887"/>
      <c r="E209" s="902"/>
      <c r="F209" s="889"/>
      <c r="G209" s="896"/>
      <c r="H209" s="897">
        <f>SUM(H185:H208)</f>
        <v>2034970.7799999998</v>
      </c>
      <c r="I209" s="53"/>
    </row>
    <row r="210" spans="1:9" s="869" customFormat="1">
      <c r="A210" s="865"/>
      <c r="B210" s="898"/>
      <c r="C210" s="899"/>
      <c r="D210" s="829" t="s">
        <v>792</v>
      </c>
      <c r="E210" s="843"/>
      <c r="F210" s="839"/>
      <c r="G210" s="78"/>
      <c r="H210" s="831">
        <f>ROUND(H209*$K$3,2)</f>
        <v>277061.27</v>
      </c>
      <c r="I210" s="53"/>
    </row>
    <row r="211" spans="1:9" s="869" customFormat="1">
      <c r="A211" s="865"/>
      <c r="B211" s="898"/>
      <c r="C211" s="899"/>
      <c r="D211" s="893" t="s">
        <v>824</v>
      </c>
      <c r="E211" s="95"/>
      <c r="F211" s="78"/>
      <c r="G211" s="78"/>
      <c r="H211" s="844">
        <f>SUM(H209:H210)</f>
        <v>2312032.0499999998</v>
      </c>
      <c r="I211" s="53"/>
    </row>
    <row r="212" spans="1:9" s="869" customFormat="1">
      <c r="A212" s="865"/>
      <c r="B212" s="898"/>
      <c r="C212" s="899"/>
      <c r="D212" s="893" t="s">
        <v>825</v>
      </c>
      <c r="E212" s="902"/>
      <c r="F212" s="889"/>
      <c r="G212" s="896"/>
      <c r="H212" s="897">
        <f>ROUND(H211/195,2)</f>
        <v>11856.57</v>
      </c>
      <c r="I212" s="53"/>
    </row>
    <row r="213" spans="1:9" s="869" customFormat="1" ht="38.25">
      <c r="A213" s="42">
        <v>9</v>
      </c>
      <c r="B213" s="765" t="s">
        <v>747</v>
      </c>
      <c r="C213" s="866"/>
      <c r="D213" s="864" t="s">
        <v>748</v>
      </c>
      <c r="E213" s="864"/>
      <c r="F213" s="864"/>
      <c r="G213" s="184"/>
      <c r="H213" s="875"/>
    </row>
    <row r="214" spans="1:9" s="869" customFormat="1" ht="114.75">
      <c r="A214" s="321"/>
      <c r="B214" s="765"/>
      <c r="C214" s="866"/>
      <c r="D214" s="306" t="s">
        <v>749</v>
      </c>
      <c r="E214" s="306"/>
      <c r="F214" s="306"/>
      <c r="G214" s="321"/>
      <c r="H214" s="661"/>
    </row>
    <row r="215" spans="1:9" s="869" customFormat="1">
      <c r="A215" s="42"/>
      <c r="B215" s="872"/>
      <c r="C215" s="873"/>
      <c r="D215" s="836" t="s">
        <v>750</v>
      </c>
      <c r="E215" s="321"/>
      <c r="F215" s="321"/>
      <c r="G215" s="95"/>
      <c r="H215" s="661"/>
    </row>
    <row r="216" spans="1:9" s="869" customFormat="1">
      <c r="A216" s="42"/>
      <c r="B216" s="872"/>
      <c r="C216" s="873"/>
      <c r="D216" s="836" t="s">
        <v>37</v>
      </c>
      <c r="E216" s="321"/>
      <c r="F216" s="321"/>
      <c r="G216" s="95"/>
      <c r="H216" s="661"/>
    </row>
    <row r="217" spans="1:9" s="869" customFormat="1">
      <c r="A217" s="42"/>
      <c r="B217" s="341">
        <v>1.04</v>
      </c>
      <c r="C217" s="903" t="s">
        <v>24</v>
      </c>
      <c r="D217" s="323" t="s">
        <v>599</v>
      </c>
      <c r="E217" s="767" t="s">
        <v>147</v>
      </c>
      <c r="F217" s="78">
        <v>615</v>
      </c>
      <c r="G217" s="95" t="s">
        <v>71</v>
      </c>
      <c r="H217" s="661">
        <f>ROUND(F217*B217,2)</f>
        <v>639.6</v>
      </c>
    </row>
    <row r="218" spans="1:9" s="869" customFormat="1">
      <c r="A218" s="42"/>
      <c r="B218" s="341"/>
      <c r="C218" s="903"/>
      <c r="D218" s="836" t="s">
        <v>38</v>
      </c>
      <c r="E218" s="95"/>
      <c r="F218" s="95"/>
      <c r="G218" s="95"/>
      <c r="H218" s="661"/>
    </row>
    <row r="219" spans="1:9" s="869" customFormat="1">
      <c r="A219" s="42"/>
      <c r="B219" s="341">
        <v>0.5</v>
      </c>
      <c r="C219" s="663" t="s">
        <v>422</v>
      </c>
      <c r="D219" s="323" t="s">
        <v>751</v>
      </c>
      <c r="E219" s="767" t="s">
        <v>778</v>
      </c>
      <c r="F219" s="660">
        <v>1945</v>
      </c>
      <c r="G219" s="95" t="s">
        <v>795</v>
      </c>
      <c r="H219" s="661">
        <f>ROUND(F219*B219,2)</f>
        <v>972.5</v>
      </c>
    </row>
    <row r="220" spans="1:9" s="869" customFormat="1">
      <c r="A220" s="42"/>
      <c r="B220" s="341">
        <v>1</v>
      </c>
      <c r="C220" s="903" t="s">
        <v>422</v>
      </c>
      <c r="D220" s="305" t="s">
        <v>752</v>
      </c>
      <c r="E220" s="767" t="s">
        <v>1267</v>
      </c>
      <c r="F220" s="660">
        <v>3518.6</v>
      </c>
      <c r="G220" s="95" t="s">
        <v>795</v>
      </c>
      <c r="H220" s="661">
        <f>ROUND(F220*B220,2)</f>
        <v>3518.6</v>
      </c>
    </row>
    <row r="221" spans="1:9" s="869" customFormat="1">
      <c r="A221" s="42"/>
      <c r="B221" s="341">
        <v>2</v>
      </c>
      <c r="C221" s="903" t="s">
        <v>422</v>
      </c>
      <c r="D221" s="306" t="s">
        <v>424</v>
      </c>
      <c r="E221" s="767" t="s">
        <v>150</v>
      </c>
      <c r="F221" s="862">
        <v>830</v>
      </c>
      <c r="G221" s="95" t="s">
        <v>795</v>
      </c>
      <c r="H221" s="661">
        <f>ROUND(F221*B221,2)</f>
        <v>1660</v>
      </c>
    </row>
    <row r="222" spans="1:9" s="804" customFormat="1">
      <c r="A222" s="42"/>
      <c r="B222" s="341">
        <v>4</v>
      </c>
      <c r="C222" s="903" t="s">
        <v>422</v>
      </c>
      <c r="D222" s="306" t="s">
        <v>753</v>
      </c>
      <c r="E222" s="767" t="s">
        <v>149</v>
      </c>
      <c r="F222" s="660">
        <v>553</v>
      </c>
      <c r="G222" s="95" t="s">
        <v>795</v>
      </c>
      <c r="H222" s="661">
        <f>ROUND(F222*B222,2)</f>
        <v>2212</v>
      </c>
    </row>
    <row r="223" spans="1:9" s="869" customFormat="1">
      <c r="A223" s="42"/>
      <c r="B223" s="341"/>
      <c r="C223" s="903"/>
      <c r="D223" s="864" t="s">
        <v>39</v>
      </c>
      <c r="E223" s="95"/>
      <c r="F223" s="95"/>
      <c r="G223" s="95"/>
      <c r="H223" s="661"/>
    </row>
    <row r="224" spans="1:9" s="869" customFormat="1">
      <c r="A224" s="42"/>
      <c r="B224" s="341">
        <v>100</v>
      </c>
      <c r="C224" s="903" t="s">
        <v>13</v>
      </c>
      <c r="D224" s="323" t="s">
        <v>562</v>
      </c>
      <c r="E224" s="95"/>
      <c r="F224" s="95">
        <f>'lead 2025-26'!K25</f>
        <v>248</v>
      </c>
      <c r="G224" s="95"/>
      <c r="H224" s="661">
        <f>ROUND(F224*B224,2)</f>
        <v>24800</v>
      </c>
    </row>
    <row r="225" spans="1:10" s="869" customFormat="1">
      <c r="A225" s="42"/>
      <c r="B225" s="765"/>
      <c r="C225" s="866"/>
      <c r="D225" s="864" t="s">
        <v>754</v>
      </c>
      <c r="E225" s="95"/>
      <c r="F225" s="95"/>
      <c r="G225" s="95"/>
      <c r="H225" s="875">
        <f>SUM(H217:H224)</f>
        <v>33802.699999999997</v>
      </c>
    </row>
    <row r="226" spans="1:10" s="869" customFormat="1">
      <c r="A226" s="42"/>
      <c r="B226" s="765"/>
      <c r="C226" s="866"/>
      <c r="D226" s="829" t="s">
        <v>792</v>
      </c>
      <c r="E226" s="843"/>
      <c r="F226" s="839"/>
      <c r="G226" s="78"/>
      <c r="H226" s="831">
        <f>ROUND(H225*$K$3,2)</f>
        <v>4602.24</v>
      </c>
    </row>
    <row r="227" spans="1:10" s="869" customFormat="1">
      <c r="A227" s="42"/>
      <c r="B227" s="765"/>
      <c r="C227" s="866"/>
      <c r="D227" s="893" t="s">
        <v>826</v>
      </c>
      <c r="E227" s="95"/>
      <c r="F227" s="78"/>
      <c r="G227" s="78"/>
      <c r="H227" s="844">
        <f>SUM(H225:H226)</f>
        <v>38404.939999999995</v>
      </c>
    </row>
    <row r="228" spans="1:10" s="869" customFormat="1">
      <c r="A228" s="42"/>
      <c r="B228" s="765"/>
      <c r="C228" s="866"/>
      <c r="D228" s="893" t="s">
        <v>825</v>
      </c>
      <c r="E228" s="95"/>
      <c r="F228" s="95"/>
      <c r="G228" s="95"/>
      <c r="H228" s="875">
        <f>ROUND(H227/100,2)</f>
        <v>384.05</v>
      </c>
    </row>
    <row r="234" spans="1:10">
      <c r="D234" s="33" t="str">
        <f>'lead 2025-26'!$G$37</f>
        <v>Deputy Executive Engineer</v>
      </c>
      <c r="E234" s="33"/>
      <c r="G234" s="33" t="str">
        <f>'lead 2025-26'!J37</f>
        <v>Assistant   Engineer</v>
      </c>
      <c r="H234" s="34"/>
      <c r="I234" s="22"/>
    </row>
    <row r="235" spans="1:10">
      <c r="D235" s="33" t="str">
        <f>'lead 2025-26'!$G$38</f>
        <v>PRI Sub Division: Kanigiri</v>
      </c>
      <c r="E235" s="33"/>
      <c r="G235" s="33" t="str">
        <f>'lead 2025-26'!J38</f>
        <v>Mandal Praja Parishad</v>
      </c>
      <c r="H235" s="34"/>
      <c r="I235" s="22"/>
    </row>
    <row r="236" spans="1:10">
      <c r="D236" s="33"/>
      <c r="E236" s="33"/>
      <c r="G236" s="33" t="str">
        <f>'lead 2025-26'!J39</f>
        <v>Pamuru</v>
      </c>
    </row>
    <row r="237" spans="1:10" s="39" customFormat="1">
      <c r="A237" s="36"/>
      <c r="B237" s="37"/>
      <c r="C237" s="38"/>
      <c r="D237" s="33"/>
      <c r="E237" s="33"/>
      <c r="F237" s="129"/>
      <c r="H237" s="37"/>
      <c r="I237" s="40"/>
      <c r="J237" s="40"/>
    </row>
  </sheetData>
  <autoFilter ref="A5:H230" xr:uid="{00000000-0009-0000-0000-00000E000000}"/>
  <mergeCells count="13">
    <mergeCell ref="B114:C114"/>
    <mergeCell ref="B132:C132"/>
    <mergeCell ref="A1:H1"/>
    <mergeCell ref="B31:C31"/>
    <mergeCell ref="B39:C39"/>
    <mergeCell ref="B9:C9"/>
    <mergeCell ref="B54:C54"/>
    <mergeCell ref="B6:C6"/>
    <mergeCell ref="A2:C2"/>
    <mergeCell ref="D2:H2"/>
    <mergeCell ref="G3:H3"/>
    <mergeCell ref="B71:C71"/>
    <mergeCell ref="B90:C90"/>
  </mergeCells>
  <phoneticPr fontId="0" type="noConversion"/>
  <printOptions horizontalCentered="1"/>
  <pageMargins left="0.23622047244094499" right="0.15748031496063" top="0.16" bottom="0.35" header="0.16" footer="0.23622047244094499"/>
  <pageSetup paperSize="9" scale="93" orientation="portrait" errors="blank"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F0"/>
  </sheetPr>
  <dimension ref="A1:L231"/>
  <sheetViews>
    <sheetView view="pageBreakPreview" topLeftCell="A149" zoomScale="130" zoomScaleNormal="85" zoomScaleSheetLayoutView="130" workbookViewId="0">
      <selection activeCell="D183" sqref="D183"/>
    </sheetView>
  </sheetViews>
  <sheetFormatPr defaultRowHeight="12.75"/>
  <cols>
    <col min="1" max="1" width="6" style="36" customWidth="1"/>
    <col min="2" max="2" width="7.140625" style="37" customWidth="1"/>
    <col min="3" max="3" width="5.7109375" style="38" customWidth="1"/>
    <col min="4" max="4" width="48.5703125" style="38" customWidth="1"/>
    <col min="5" max="5" width="10.5703125" style="40" customWidth="1"/>
    <col min="6" max="6" width="11" style="129" customWidth="1"/>
    <col min="7" max="7" width="8.42578125" style="39" bestFit="1" customWidth="1"/>
    <col min="8" max="8" width="11.7109375" style="37" customWidth="1"/>
    <col min="9" max="9" width="1.28515625" style="40" hidden="1" customWidth="1"/>
    <col min="10" max="10" width="9.140625" style="40"/>
    <col min="11" max="16384" width="9.140625" style="41"/>
  </cols>
  <sheetData>
    <row r="1" spans="1:10" ht="29.25" customHeight="1">
      <c r="A1" s="1151" t="s">
        <v>1269</v>
      </c>
      <c r="B1" s="1151"/>
      <c r="C1" s="1151"/>
      <c r="D1" s="1151"/>
      <c r="E1" s="1151"/>
      <c r="F1" s="1151"/>
      <c r="G1" s="1151"/>
      <c r="H1" s="1151"/>
    </row>
    <row r="2" spans="1:10" s="70" customFormat="1" ht="46.5" customHeight="1">
      <c r="A2" s="1156" t="str">
        <f>'lead 2025-26'!B3</f>
        <v xml:space="preserve">Name of the work : </v>
      </c>
      <c r="B2" s="1156"/>
      <c r="C2" s="1156"/>
      <c r="D2" s="1157" t="str">
        <f>'lead 2025-26'!C3</f>
        <v>Providing BT Surface to the road from Inimerla SC colony to National Highway at Nuchupoda in Inimerla GP of Pamuru Mandal.</v>
      </c>
      <c r="E2" s="1157"/>
      <c r="F2" s="1157"/>
      <c r="G2" s="1157"/>
      <c r="H2" s="1157"/>
      <c r="I2" s="69"/>
      <c r="J2" s="69"/>
    </row>
    <row r="3" spans="1:10" s="70" customFormat="1" ht="24" customHeight="1">
      <c r="A3" s="69"/>
      <c r="B3" s="71"/>
      <c r="C3" s="72"/>
      <c r="D3" s="764"/>
      <c r="E3" s="763"/>
      <c r="F3" s="280" t="str">
        <f>'lead 2025-26'!I4</f>
        <v xml:space="preserve">Est. Cost Rs: </v>
      </c>
      <c r="G3" s="1158" t="str">
        <f>'lead 2025-26'!K4</f>
        <v>140.00 Lakhs</v>
      </c>
      <c r="H3" s="1158"/>
      <c r="I3" s="69"/>
      <c r="J3" s="69"/>
    </row>
    <row r="4" spans="1:10" s="47" customFormat="1" ht="21.75" customHeight="1">
      <c r="A4" s="42" t="s">
        <v>35</v>
      </c>
      <c r="B4" s="43" t="s">
        <v>5</v>
      </c>
      <c r="C4" s="44" t="s">
        <v>3</v>
      </c>
      <c r="D4" s="45" t="s">
        <v>6</v>
      </c>
      <c r="E4" s="45" t="s">
        <v>137</v>
      </c>
      <c r="F4" s="46" t="s">
        <v>7</v>
      </c>
      <c r="G4" s="46" t="s">
        <v>8</v>
      </c>
      <c r="H4" s="46" t="s">
        <v>9</v>
      </c>
    </row>
    <row r="5" spans="1:10" s="23" customFormat="1">
      <c r="A5" s="48">
        <v>1</v>
      </c>
      <c r="B5" s="49">
        <v>2</v>
      </c>
      <c r="C5" s="50">
        <v>3</v>
      </c>
      <c r="D5" s="51">
        <v>4</v>
      </c>
      <c r="E5" s="51">
        <v>5</v>
      </c>
      <c r="F5" s="279">
        <v>6</v>
      </c>
      <c r="G5" s="52">
        <v>7</v>
      </c>
      <c r="H5" s="52">
        <v>8</v>
      </c>
    </row>
    <row r="6" spans="1:10" s="32" customFormat="1" ht="76.5" hidden="1">
      <c r="A6" s="321">
        <v>1</v>
      </c>
      <c r="B6" s="1154" t="s">
        <v>1200</v>
      </c>
      <c r="C6" s="1155"/>
      <c r="D6" s="323" t="s">
        <v>1199</v>
      </c>
      <c r="E6" s="42"/>
      <c r="F6" s="95"/>
      <c r="G6" s="78"/>
      <c r="H6" s="831"/>
      <c r="I6" s="659"/>
    </row>
    <row r="7" spans="1:10" s="32" customFormat="1" hidden="1">
      <c r="A7" s="321"/>
      <c r="B7" s="833"/>
      <c r="C7" s="904"/>
      <c r="D7" s="323" t="s">
        <v>40</v>
      </c>
      <c r="E7" s="321"/>
      <c r="F7" s="95"/>
      <c r="G7" s="78"/>
      <c r="H7" s="831"/>
      <c r="I7" s="659"/>
    </row>
    <row r="8" spans="1:10" s="1052" customFormat="1" hidden="1">
      <c r="A8" s="1042"/>
      <c r="B8" s="1043"/>
      <c r="C8" s="1044"/>
      <c r="D8" s="1045" t="s">
        <v>419</v>
      </c>
      <c r="E8" s="1046"/>
      <c r="F8" s="1047"/>
      <c r="G8" s="1048"/>
      <c r="H8" s="1049"/>
      <c r="I8" s="1050"/>
      <c r="J8" s="1051"/>
    </row>
    <row r="9" spans="1:10" s="1052" customFormat="1" hidden="1">
      <c r="A9" s="1042"/>
      <c r="B9" s="1053">
        <v>0.5</v>
      </c>
      <c r="C9" s="1044" t="s">
        <v>24</v>
      </c>
      <c r="D9" s="1054" t="s">
        <v>1201</v>
      </c>
      <c r="E9" s="1055" t="s">
        <v>147</v>
      </c>
      <c r="F9" s="1047">
        <v>615</v>
      </c>
      <c r="G9" s="1048" t="s">
        <v>23</v>
      </c>
      <c r="H9" s="1049">
        <f>ROUND(B9*F9,2)</f>
        <v>307.5</v>
      </c>
      <c r="I9" s="1050"/>
      <c r="J9" s="1051"/>
    </row>
    <row r="10" spans="1:10" s="1052" customFormat="1" hidden="1">
      <c r="A10" s="1042"/>
      <c r="B10" s="1053">
        <v>0.53</v>
      </c>
      <c r="C10" s="1044" t="s">
        <v>24</v>
      </c>
      <c r="D10" s="1054" t="s">
        <v>421</v>
      </c>
      <c r="E10" s="1055" t="s">
        <v>147</v>
      </c>
      <c r="F10" s="1047">
        <v>615</v>
      </c>
      <c r="G10" s="1048" t="s">
        <v>23</v>
      </c>
      <c r="H10" s="1049">
        <f>ROUND(B10*F10,2)</f>
        <v>325.95</v>
      </c>
      <c r="I10" s="1050"/>
      <c r="J10" s="1051"/>
    </row>
    <row r="11" spans="1:10" s="1052" customFormat="1" hidden="1">
      <c r="A11" s="1042"/>
      <c r="B11" s="1053"/>
      <c r="C11" s="1044"/>
      <c r="D11" s="1045" t="s">
        <v>38</v>
      </c>
      <c r="E11" s="1046"/>
      <c r="F11" s="1047"/>
      <c r="G11" s="1048"/>
      <c r="H11" s="1049"/>
      <c r="I11" s="1050"/>
      <c r="J11" s="1051"/>
    </row>
    <row r="12" spans="1:10" s="1052" customFormat="1" ht="25.5" hidden="1">
      <c r="A12" s="1042"/>
      <c r="B12" s="1053">
        <v>1</v>
      </c>
      <c r="C12" s="1044" t="s">
        <v>422</v>
      </c>
      <c r="D12" s="1054" t="s">
        <v>1202</v>
      </c>
      <c r="E12" s="1055" t="s">
        <v>1203</v>
      </c>
      <c r="F12" s="1047">
        <v>665.08</v>
      </c>
      <c r="G12" s="1047" t="s">
        <v>121</v>
      </c>
      <c r="H12" s="1049">
        <f>ROUND(B12*F12,2)</f>
        <v>665.08</v>
      </c>
      <c r="I12" s="1050"/>
      <c r="J12" s="1051"/>
    </row>
    <row r="13" spans="1:10" s="1052" customFormat="1" hidden="1">
      <c r="A13" s="1042"/>
      <c r="B13" s="1053">
        <v>0.4</v>
      </c>
      <c r="C13" s="1044" t="s">
        <v>422</v>
      </c>
      <c r="D13" s="1054" t="s">
        <v>789</v>
      </c>
      <c r="E13" s="1055" t="s">
        <v>790</v>
      </c>
      <c r="F13" s="1047">
        <v>541</v>
      </c>
      <c r="G13" s="1047" t="s">
        <v>121</v>
      </c>
      <c r="H13" s="1049">
        <f>ROUND(B13*F13,2)</f>
        <v>216.4</v>
      </c>
      <c r="I13" s="1050"/>
      <c r="J13" s="1051"/>
    </row>
    <row r="14" spans="1:10" s="1052" customFormat="1" hidden="1">
      <c r="A14" s="1042"/>
      <c r="B14" s="1053">
        <v>1</v>
      </c>
      <c r="C14" s="1044" t="s">
        <v>422</v>
      </c>
      <c r="D14" s="1054" t="s">
        <v>1204</v>
      </c>
      <c r="E14" s="1055" t="s">
        <v>1205</v>
      </c>
      <c r="F14" s="1047">
        <v>11.08</v>
      </c>
      <c r="G14" s="1047" t="s">
        <v>121</v>
      </c>
      <c r="H14" s="1049">
        <f>ROUND(B14*F14,2)</f>
        <v>11.08</v>
      </c>
      <c r="I14" s="1050"/>
      <c r="J14" s="1051"/>
    </row>
    <row r="15" spans="1:10" s="32" customFormat="1" hidden="1">
      <c r="A15" s="321"/>
      <c r="B15" s="833"/>
      <c r="C15" s="904"/>
      <c r="D15" s="836" t="s">
        <v>425</v>
      </c>
      <c r="E15" s="321"/>
      <c r="F15" s="95"/>
      <c r="G15" s="78"/>
      <c r="H15" s="840">
        <f>SUM(H9:H14)</f>
        <v>1526.0100000000002</v>
      </c>
      <c r="I15" s="659"/>
    </row>
    <row r="16" spans="1:10" s="32" customFormat="1" ht="25.5" hidden="1">
      <c r="A16" s="321">
        <v>2</v>
      </c>
      <c r="B16" s="1154" t="s">
        <v>1208</v>
      </c>
      <c r="C16" s="1155"/>
      <c r="D16" s="323" t="s">
        <v>1209</v>
      </c>
      <c r="E16" s="42"/>
      <c r="F16" s="95"/>
      <c r="G16" s="78"/>
      <c r="H16" s="831"/>
    </row>
    <row r="17" spans="1:10" s="32" customFormat="1" ht="59.25" hidden="1" customHeight="1">
      <c r="A17" s="321"/>
      <c r="B17" s="767"/>
      <c r="C17" s="1056"/>
      <c r="D17" s="323" t="s">
        <v>1207</v>
      </c>
      <c r="E17" s="42"/>
      <c r="F17" s="95"/>
      <c r="G17" s="78"/>
      <c r="H17" s="831"/>
    </row>
    <row r="18" spans="1:10" s="32" customFormat="1" hidden="1">
      <c r="A18" s="321"/>
      <c r="B18" s="833"/>
      <c r="C18" s="904"/>
      <c r="D18" s="323" t="s">
        <v>40</v>
      </c>
      <c r="E18" s="321"/>
      <c r="F18" s="95"/>
      <c r="G18" s="78"/>
      <c r="H18" s="831"/>
    </row>
    <row r="19" spans="1:10" s="32" customFormat="1" hidden="1">
      <c r="A19" s="321"/>
      <c r="B19" s="833"/>
      <c r="C19" s="904"/>
      <c r="D19" s="323" t="s">
        <v>1210</v>
      </c>
      <c r="E19" s="321"/>
      <c r="F19" s="95"/>
      <c r="G19" s="78"/>
      <c r="H19" s="831"/>
    </row>
    <row r="20" spans="1:10" s="32" customFormat="1" hidden="1">
      <c r="A20" s="321"/>
      <c r="B20" s="833"/>
      <c r="C20" s="904"/>
      <c r="D20" s="836" t="s">
        <v>1211</v>
      </c>
      <c r="E20" s="321"/>
      <c r="F20" s="95"/>
      <c r="G20" s="78"/>
      <c r="H20" s="831"/>
    </row>
    <row r="21" spans="1:10" s="1064" customFormat="1" hidden="1">
      <c r="A21" s="1057"/>
      <c r="B21" s="1058"/>
      <c r="C21" s="1059"/>
      <c r="D21" s="1060" t="s">
        <v>419</v>
      </c>
      <c r="E21" s="1061"/>
      <c r="F21" s="795"/>
      <c r="G21" s="922"/>
      <c r="H21" s="1062"/>
      <c r="I21" s="1063"/>
      <c r="J21" s="102"/>
    </row>
    <row r="22" spans="1:10" s="1064" customFormat="1" hidden="1">
      <c r="A22" s="1057"/>
      <c r="B22" s="1065">
        <v>0.78</v>
      </c>
      <c r="C22" s="1059" t="s">
        <v>24</v>
      </c>
      <c r="D22" s="908" t="s">
        <v>421</v>
      </c>
      <c r="E22" s="1066" t="s">
        <v>147</v>
      </c>
      <c r="F22" s="795">
        <v>615</v>
      </c>
      <c r="G22" s="922" t="s">
        <v>23</v>
      </c>
      <c r="H22" s="1062">
        <f>ROUND(B22*F22,2)</f>
        <v>479.7</v>
      </c>
      <c r="I22" s="1063"/>
      <c r="J22" s="102"/>
    </row>
    <row r="23" spans="1:10" s="1064" customFormat="1" hidden="1">
      <c r="A23" s="1057"/>
      <c r="B23" s="1065"/>
      <c r="C23" s="1059"/>
      <c r="D23" s="1060" t="s">
        <v>38</v>
      </c>
      <c r="E23" s="1061"/>
      <c r="F23" s="795"/>
      <c r="G23" s="922"/>
      <c r="H23" s="1062"/>
      <c r="I23" s="1063"/>
      <c r="J23" s="102"/>
    </row>
    <row r="24" spans="1:10" s="1064" customFormat="1" hidden="1">
      <c r="A24" s="1057"/>
      <c r="B24" s="1065">
        <v>0.27</v>
      </c>
      <c r="C24" s="1059" t="s">
        <v>422</v>
      </c>
      <c r="D24" s="908" t="s">
        <v>789</v>
      </c>
      <c r="E24" s="1066" t="s">
        <v>790</v>
      </c>
      <c r="F24" s="795">
        <v>541</v>
      </c>
      <c r="G24" s="795" t="s">
        <v>121</v>
      </c>
      <c r="H24" s="1062">
        <f t="shared" ref="H24" si="0">ROUND(B24*F24,2)</f>
        <v>146.07</v>
      </c>
      <c r="I24" s="1063"/>
      <c r="J24" s="102"/>
    </row>
    <row r="25" spans="1:10" s="32" customFormat="1" hidden="1">
      <c r="A25" s="321"/>
      <c r="B25" s="833"/>
      <c r="C25" s="904"/>
      <c r="D25" s="836" t="s">
        <v>1212</v>
      </c>
      <c r="E25" s="321"/>
      <c r="F25" s="95"/>
      <c r="G25" s="78"/>
      <c r="H25" s="840">
        <f>SUM(H22:H24)</f>
        <v>625.77</v>
      </c>
    </row>
    <row r="26" spans="1:10" s="32" customFormat="1" hidden="1">
      <c r="A26" s="321"/>
      <c r="B26" s="833"/>
      <c r="C26" s="904"/>
      <c r="D26" s="836" t="s">
        <v>1213</v>
      </c>
      <c r="E26" s="321"/>
      <c r="F26" s="95"/>
      <c r="G26" s="78"/>
      <c r="H26" s="840">
        <f>ROUND(H25/1.25,2)</f>
        <v>500.62</v>
      </c>
    </row>
    <row r="27" spans="1:10" s="832" customFormat="1" ht="89.25">
      <c r="A27" s="73">
        <v>1</v>
      </c>
      <c r="B27" s="1154" t="s">
        <v>588</v>
      </c>
      <c r="C27" s="1155"/>
      <c r="D27" s="829" t="s">
        <v>587</v>
      </c>
      <c r="E27" s="830"/>
      <c r="F27" s="95"/>
      <c r="G27" s="78"/>
      <c r="H27" s="831"/>
    </row>
    <row r="28" spans="1:10" s="832" customFormat="1" ht="15">
      <c r="A28" s="73"/>
      <c r="B28" s="833"/>
      <c r="C28" s="904"/>
      <c r="D28" s="829" t="s">
        <v>40</v>
      </c>
      <c r="E28" s="835"/>
      <c r="F28" s="95"/>
      <c r="G28" s="78"/>
      <c r="H28" s="831"/>
    </row>
    <row r="29" spans="1:10" s="832" customFormat="1" ht="15">
      <c r="A29" s="321"/>
      <c r="B29" s="833"/>
      <c r="C29" s="904"/>
      <c r="D29" s="829" t="s">
        <v>581</v>
      </c>
      <c r="E29" s="835"/>
      <c r="F29" s="95"/>
      <c r="G29" s="95"/>
      <c r="H29" s="831"/>
    </row>
    <row r="30" spans="1:10" s="832" customFormat="1" ht="15">
      <c r="A30" s="321"/>
      <c r="B30" s="833"/>
      <c r="C30" s="904"/>
      <c r="D30" s="836" t="s">
        <v>582</v>
      </c>
      <c r="E30" s="837"/>
      <c r="F30" s="95"/>
      <c r="G30" s="78"/>
      <c r="H30" s="831"/>
    </row>
    <row r="31" spans="1:10" s="832" customFormat="1" ht="15">
      <c r="A31" s="321"/>
      <c r="B31" s="833"/>
      <c r="C31" s="904"/>
      <c r="D31" s="838" t="s">
        <v>37</v>
      </c>
      <c r="E31" s="830"/>
      <c r="F31" s="95"/>
      <c r="G31" s="78"/>
      <c r="H31" s="831"/>
    </row>
    <row r="32" spans="1:10" s="832" customFormat="1" ht="15">
      <c r="A32" s="321"/>
      <c r="B32" s="341">
        <v>8.32</v>
      </c>
      <c r="C32" s="904" t="s">
        <v>24</v>
      </c>
      <c r="D32" s="829" t="s">
        <v>583</v>
      </c>
      <c r="E32" s="767" t="s">
        <v>147</v>
      </c>
      <c r="F32" s="854">
        <v>615</v>
      </c>
      <c r="G32" s="74" t="s">
        <v>71</v>
      </c>
      <c r="H32" s="97">
        <f>ROUND(B32*F32,2)</f>
        <v>5116.8</v>
      </c>
    </row>
    <row r="33" spans="1:8" s="832" customFormat="1" ht="15">
      <c r="A33" s="321"/>
      <c r="B33" s="341">
        <v>6</v>
      </c>
      <c r="C33" s="904" t="s">
        <v>24</v>
      </c>
      <c r="D33" s="829" t="s">
        <v>584</v>
      </c>
      <c r="E33" s="767" t="s">
        <v>148</v>
      </c>
      <c r="F33" s="660">
        <v>3607.52</v>
      </c>
      <c r="G33" s="74" t="s">
        <v>71</v>
      </c>
      <c r="H33" s="97">
        <f>ROUND(B33*F33,2)</f>
        <v>21645.119999999999</v>
      </c>
    </row>
    <row r="34" spans="1:8" s="832" customFormat="1" ht="15">
      <c r="A34" s="321"/>
      <c r="B34" s="341"/>
      <c r="C34" s="904"/>
      <c r="D34" s="847"/>
      <c r="E34" s="843"/>
      <c r="F34" s="839"/>
      <c r="G34" s="78"/>
      <c r="H34" s="831">
        <f>SUM(H32:H33)</f>
        <v>26761.919999999998</v>
      </c>
    </row>
    <row r="35" spans="1:8" s="832" customFormat="1" ht="15">
      <c r="A35" s="321"/>
      <c r="B35" s="341"/>
      <c r="C35" s="904"/>
      <c r="D35" s="829" t="s">
        <v>792</v>
      </c>
      <c r="E35" s="835"/>
      <c r="F35" s="839"/>
      <c r="G35" s="78"/>
      <c r="H35" s="831">
        <f>ROUND(H34*'data 2025-26'!$K$3,2)</f>
        <v>3643.64</v>
      </c>
    </row>
    <row r="36" spans="1:8" s="832" customFormat="1" ht="15">
      <c r="A36" s="321"/>
      <c r="B36" s="341"/>
      <c r="C36" s="904"/>
      <c r="D36" s="847" t="s">
        <v>585</v>
      </c>
      <c r="E36" s="835"/>
      <c r="F36" s="839"/>
      <c r="G36" s="78"/>
      <c r="H36" s="840">
        <f>SUM(H34:H35)</f>
        <v>30405.559999999998</v>
      </c>
    </row>
    <row r="37" spans="1:8" s="832" customFormat="1" ht="15">
      <c r="A37" s="321"/>
      <c r="B37" s="833"/>
      <c r="C37" s="904"/>
      <c r="D37" s="848" t="s">
        <v>586</v>
      </c>
      <c r="E37" s="843"/>
      <c r="F37" s="839"/>
      <c r="G37" s="78"/>
      <c r="H37" s="840">
        <f>ROUND(H36/240,2)</f>
        <v>126.69</v>
      </c>
    </row>
    <row r="38" spans="1:8" s="32" customFormat="1" ht="89.25">
      <c r="A38" s="321">
        <v>2</v>
      </c>
      <c r="B38" s="1154" t="s">
        <v>413</v>
      </c>
      <c r="C38" s="1155"/>
      <c r="D38" s="323" t="s">
        <v>829</v>
      </c>
      <c r="E38" s="42"/>
      <c r="F38" s="95"/>
      <c r="G38" s="78"/>
      <c r="H38" s="831"/>
    </row>
    <row r="39" spans="1:8" s="32" customFormat="1">
      <c r="A39" s="321"/>
      <c r="B39" s="833"/>
      <c r="C39" s="904"/>
      <c r="D39" s="836" t="s">
        <v>414</v>
      </c>
      <c r="E39" s="42"/>
      <c r="F39" s="95"/>
      <c r="G39" s="78"/>
      <c r="H39" s="831"/>
    </row>
    <row r="40" spans="1:8" s="32" customFormat="1">
      <c r="A40" s="321"/>
      <c r="B40" s="833"/>
      <c r="C40" s="904"/>
      <c r="D40" s="836" t="s">
        <v>415</v>
      </c>
      <c r="E40" s="321"/>
      <c r="F40" s="95"/>
      <c r="G40" s="78"/>
      <c r="H40" s="831"/>
    </row>
    <row r="41" spans="1:8" s="32" customFormat="1">
      <c r="A41" s="321"/>
      <c r="B41" s="833"/>
      <c r="C41" s="904"/>
      <c r="D41" s="323" t="s">
        <v>40</v>
      </c>
      <c r="E41" s="321"/>
      <c r="F41" s="95"/>
      <c r="G41" s="78"/>
      <c r="H41" s="831"/>
    </row>
    <row r="42" spans="1:8" s="32" customFormat="1">
      <c r="A42" s="321"/>
      <c r="B42" s="833"/>
      <c r="C42" s="904"/>
      <c r="D42" s="836" t="s">
        <v>39</v>
      </c>
      <c r="E42" s="321"/>
      <c r="F42" s="95"/>
      <c r="G42" s="78"/>
      <c r="H42" s="831"/>
    </row>
    <row r="43" spans="1:8" s="32" customFormat="1">
      <c r="A43" s="321"/>
      <c r="B43" s="744">
        <v>0.22</v>
      </c>
      <c r="C43" s="663" t="s">
        <v>416</v>
      </c>
      <c r="D43" s="323" t="s">
        <v>34</v>
      </c>
      <c r="E43" s="321"/>
      <c r="F43" s="95">
        <f>'lead 2025-26'!$K$26</f>
        <v>4218.8</v>
      </c>
      <c r="G43" s="321" t="s">
        <v>416</v>
      </c>
      <c r="H43" s="97">
        <f t="shared" ref="H43:H45" si="1">ROUND(B43*F43,2)</f>
        <v>928.14</v>
      </c>
    </row>
    <row r="44" spans="1:8" s="32" customFormat="1">
      <c r="A44" s="321"/>
      <c r="B44" s="744">
        <v>0.45</v>
      </c>
      <c r="C44" s="663" t="s">
        <v>13</v>
      </c>
      <c r="D44" s="323" t="s">
        <v>417</v>
      </c>
      <c r="E44" s="321"/>
      <c r="F44" s="95">
        <f>'lead 2025-26'!$K$9</f>
        <v>1287.1899999999978</v>
      </c>
      <c r="G44" s="321" t="s">
        <v>13</v>
      </c>
      <c r="H44" s="97">
        <f t="shared" si="1"/>
        <v>579.24</v>
      </c>
    </row>
    <row r="45" spans="1:8" s="32" customFormat="1">
      <c r="A45" s="321"/>
      <c r="B45" s="744">
        <v>0.9</v>
      </c>
      <c r="C45" s="663" t="s">
        <v>13</v>
      </c>
      <c r="D45" s="323" t="s">
        <v>418</v>
      </c>
      <c r="E45" s="321"/>
      <c r="F45" s="95">
        <f>'lead 2025-26'!$K$16</f>
        <v>2330.2299999999982</v>
      </c>
      <c r="G45" s="321" t="s">
        <v>13</v>
      </c>
      <c r="H45" s="97">
        <f t="shared" si="1"/>
        <v>2097.21</v>
      </c>
    </row>
    <row r="46" spans="1:8" s="32" customFormat="1">
      <c r="A46" s="321"/>
      <c r="B46" s="744"/>
      <c r="C46" s="663"/>
      <c r="D46" s="836" t="s">
        <v>419</v>
      </c>
      <c r="E46" s="321"/>
      <c r="F46" s="95"/>
      <c r="G46" s="321"/>
      <c r="H46" s="831"/>
    </row>
    <row r="47" spans="1:8" s="32" customFormat="1">
      <c r="A47" s="321"/>
      <c r="B47" s="744">
        <v>0.1</v>
      </c>
      <c r="C47" s="663" t="s">
        <v>24</v>
      </c>
      <c r="D47" s="323" t="s">
        <v>420</v>
      </c>
      <c r="E47" s="321" t="s">
        <v>152</v>
      </c>
      <c r="F47" s="78">
        <v>735</v>
      </c>
      <c r="G47" s="321" t="s">
        <v>24</v>
      </c>
      <c r="H47" s="97">
        <f t="shared" ref="H47:H48" si="2">ROUND(B47*F47,2)</f>
        <v>73.5</v>
      </c>
    </row>
    <row r="48" spans="1:8" s="32" customFormat="1">
      <c r="A48" s="321"/>
      <c r="B48" s="744">
        <v>1.39</v>
      </c>
      <c r="C48" s="663" t="s">
        <v>24</v>
      </c>
      <c r="D48" s="323" t="s">
        <v>421</v>
      </c>
      <c r="E48" s="767" t="s">
        <v>147</v>
      </c>
      <c r="F48" s="854">
        <v>615</v>
      </c>
      <c r="G48" s="321" t="s">
        <v>24</v>
      </c>
      <c r="H48" s="97">
        <f t="shared" si="2"/>
        <v>854.85</v>
      </c>
    </row>
    <row r="49" spans="1:8" s="32" customFormat="1">
      <c r="A49" s="321"/>
      <c r="B49" s="744"/>
      <c r="C49" s="663"/>
      <c r="D49" s="836" t="s">
        <v>38</v>
      </c>
      <c r="E49" s="321"/>
      <c r="F49" s="95"/>
      <c r="G49" s="321"/>
      <c r="H49" s="831"/>
    </row>
    <row r="50" spans="1:8" s="32" customFormat="1" ht="38.25">
      <c r="A50" s="321"/>
      <c r="B50" s="744">
        <v>0.4</v>
      </c>
      <c r="C50" s="663" t="s">
        <v>422</v>
      </c>
      <c r="D50" s="323" t="s">
        <v>423</v>
      </c>
      <c r="E50" s="321" t="s">
        <v>154</v>
      </c>
      <c r="F50" s="78">
        <v>722.41</v>
      </c>
      <c r="G50" s="321" t="s">
        <v>422</v>
      </c>
      <c r="H50" s="96">
        <f t="shared" ref="H50:H51" si="3">ROUND(B50*F50,2)</f>
        <v>288.95999999999998</v>
      </c>
    </row>
    <row r="51" spans="1:8" s="32" customFormat="1">
      <c r="A51" s="321"/>
      <c r="B51" s="744">
        <v>0.13</v>
      </c>
      <c r="C51" s="663" t="s">
        <v>422</v>
      </c>
      <c r="D51" s="323" t="s">
        <v>424</v>
      </c>
      <c r="E51" s="767" t="s">
        <v>150</v>
      </c>
      <c r="F51" s="78">
        <v>830</v>
      </c>
      <c r="G51" s="321" t="s">
        <v>422</v>
      </c>
      <c r="H51" s="97">
        <f t="shared" si="3"/>
        <v>107.9</v>
      </c>
    </row>
    <row r="52" spans="1:8" s="32" customFormat="1">
      <c r="A52" s="321"/>
      <c r="B52" s="833"/>
      <c r="C52" s="904"/>
      <c r="D52" s="323"/>
      <c r="E52" s="321"/>
      <c r="F52" s="95"/>
      <c r="G52" s="78"/>
      <c r="H52" s="840">
        <f>SUM(H43:H51)</f>
        <v>4929.8</v>
      </c>
    </row>
    <row r="53" spans="1:8" s="32" customFormat="1">
      <c r="A53" s="321"/>
      <c r="B53" s="833"/>
      <c r="C53" s="904"/>
      <c r="D53" s="829" t="s">
        <v>792</v>
      </c>
      <c r="E53" s="835"/>
      <c r="F53" s="839"/>
      <c r="G53" s="78"/>
      <c r="H53" s="831">
        <f>ROUND(H52*'data 2025-26'!$K$3,2)</f>
        <v>671.19</v>
      </c>
    </row>
    <row r="54" spans="1:8" s="32" customFormat="1">
      <c r="A54" s="321"/>
      <c r="B54" s="833"/>
      <c r="C54" s="904"/>
      <c r="D54" s="836" t="s">
        <v>425</v>
      </c>
      <c r="E54" s="321"/>
      <c r="F54" s="95"/>
      <c r="G54" s="78"/>
      <c r="H54" s="831">
        <f>SUM(H52:H53)</f>
        <v>5600.99</v>
      </c>
    </row>
    <row r="55" spans="1:8" s="32" customFormat="1" ht="63.75">
      <c r="A55" s="321">
        <v>3</v>
      </c>
      <c r="B55" s="1154" t="s">
        <v>899</v>
      </c>
      <c r="C55" s="1155"/>
      <c r="D55" s="323" t="s">
        <v>432</v>
      </c>
      <c r="E55" s="42"/>
      <c r="F55" s="95"/>
      <c r="G55" s="78"/>
      <c r="H55" s="831"/>
    </row>
    <row r="56" spans="1:8" s="32" customFormat="1">
      <c r="A56" s="321"/>
      <c r="B56" s="833"/>
      <c r="C56" s="904"/>
      <c r="D56" s="836" t="s">
        <v>426</v>
      </c>
      <c r="E56" s="42"/>
      <c r="F56" s="95"/>
      <c r="G56" s="78"/>
      <c r="H56" s="831"/>
    </row>
    <row r="57" spans="1:8" s="32" customFormat="1">
      <c r="A57" s="321"/>
      <c r="B57" s="833"/>
      <c r="C57" s="904"/>
      <c r="D57" s="836" t="s">
        <v>427</v>
      </c>
      <c r="E57" s="321"/>
      <c r="F57" s="95"/>
      <c r="G57" s="78"/>
      <c r="H57" s="831"/>
    </row>
    <row r="58" spans="1:8" s="32" customFormat="1">
      <c r="A58" s="321"/>
      <c r="B58" s="833"/>
      <c r="C58" s="904"/>
      <c r="D58" s="323" t="s">
        <v>40</v>
      </c>
      <c r="E58" s="321"/>
      <c r="F58" s="95"/>
      <c r="G58" s="78"/>
      <c r="H58" s="831"/>
    </row>
    <row r="59" spans="1:8" s="32" customFormat="1">
      <c r="A59" s="321"/>
      <c r="B59" s="833"/>
      <c r="C59" s="904"/>
      <c r="D59" s="836" t="s">
        <v>39</v>
      </c>
      <c r="E59" s="321"/>
      <c r="F59" s="95"/>
      <c r="G59" s="78"/>
      <c r="H59" s="831"/>
    </row>
    <row r="60" spans="1:8" s="32" customFormat="1">
      <c r="A60" s="321"/>
      <c r="B60" s="744">
        <v>0.27500000000000002</v>
      </c>
      <c r="C60" s="663" t="s">
        <v>416</v>
      </c>
      <c r="D60" s="323" t="s">
        <v>34</v>
      </c>
      <c r="E60" s="321"/>
      <c r="F60" s="95">
        <f>'lead 2025-26'!$K$26</f>
        <v>4218.8</v>
      </c>
      <c r="G60" s="321" t="s">
        <v>416</v>
      </c>
      <c r="H60" s="97">
        <f t="shared" ref="H60:H64" si="4">ROUND(B60*F60,2)</f>
        <v>1160.17</v>
      </c>
    </row>
    <row r="61" spans="1:8" s="32" customFormat="1">
      <c r="A61" s="321"/>
      <c r="B61" s="744">
        <v>0.48</v>
      </c>
      <c r="C61" s="663" t="s">
        <v>13</v>
      </c>
      <c r="D61" s="323" t="s">
        <v>417</v>
      </c>
      <c r="E61" s="321"/>
      <c r="F61" s="95">
        <f>'lead 2025-26'!$K$9</f>
        <v>1287.1899999999978</v>
      </c>
      <c r="G61" s="321" t="s">
        <v>13</v>
      </c>
      <c r="H61" s="97">
        <f t="shared" si="4"/>
        <v>617.85</v>
      </c>
    </row>
    <row r="62" spans="1:8" s="32" customFormat="1">
      <c r="A62" s="321"/>
      <c r="B62" s="744">
        <v>0.48</v>
      </c>
      <c r="C62" s="663" t="s">
        <v>13</v>
      </c>
      <c r="D62" s="323" t="s">
        <v>418</v>
      </c>
      <c r="E62" s="321"/>
      <c r="F62" s="95">
        <f>'lead 2025-26'!$K$16</f>
        <v>2330.2299999999982</v>
      </c>
      <c r="G62" s="321" t="s">
        <v>13</v>
      </c>
      <c r="H62" s="97">
        <f t="shared" si="4"/>
        <v>1118.51</v>
      </c>
    </row>
    <row r="63" spans="1:8" s="32" customFormat="1">
      <c r="A63" s="321"/>
      <c r="B63" s="744">
        <v>0.24</v>
      </c>
      <c r="C63" s="663" t="s">
        <v>13</v>
      </c>
      <c r="D63" s="323" t="s">
        <v>428</v>
      </c>
      <c r="E63" s="321"/>
      <c r="F63" s="95">
        <f>'lead 2025-26'!$K$12</f>
        <v>2973.9799999999982</v>
      </c>
      <c r="G63" s="321" t="s">
        <v>13</v>
      </c>
      <c r="H63" s="97">
        <f t="shared" si="4"/>
        <v>713.76</v>
      </c>
    </row>
    <row r="64" spans="1:8" s="32" customFormat="1">
      <c r="A64" s="321"/>
      <c r="B64" s="744">
        <v>0.08</v>
      </c>
      <c r="C64" s="663" t="s">
        <v>13</v>
      </c>
      <c r="D64" s="323" t="s">
        <v>431</v>
      </c>
      <c r="E64" s="321"/>
      <c r="F64" s="95">
        <f>'lead 2025-26'!$K$13</f>
        <v>2647.7299999999982</v>
      </c>
      <c r="G64" s="321" t="s">
        <v>13</v>
      </c>
      <c r="H64" s="97">
        <f t="shared" si="4"/>
        <v>211.82</v>
      </c>
    </row>
    <row r="65" spans="1:8" s="32" customFormat="1">
      <c r="A65" s="321"/>
      <c r="B65" s="744"/>
      <c r="C65" s="663"/>
      <c r="D65" s="836" t="s">
        <v>419</v>
      </c>
      <c r="E65" s="321"/>
      <c r="F65" s="95"/>
      <c r="G65" s="321"/>
      <c r="H65" s="831"/>
    </row>
    <row r="66" spans="1:8" s="32" customFormat="1">
      <c r="A66" s="321"/>
      <c r="B66" s="744">
        <v>0.1</v>
      </c>
      <c r="C66" s="663" t="s">
        <v>24</v>
      </c>
      <c r="D66" s="323" t="s">
        <v>420</v>
      </c>
      <c r="E66" s="321" t="s">
        <v>152</v>
      </c>
      <c r="F66" s="78">
        <v>735</v>
      </c>
      <c r="G66" s="321" t="s">
        <v>24</v>
      </c>
      <c r="H66" s="97">
        <f t="shared" ref="H66:H67" si="5">ROUND(B66*F66,2)</f>
        <v>73.5</v>
      </c>
    </row>
    <row r="67" spans="1:8" s="32" customFormat="1">
      <c r="A67" s="321"/>
      <c r="B67" s="744">
        <v>1.39</v>
      </c>
      <c r="C67" s="663" t="s">
        <v>24</v>
      </c>
      <c r="D67" s="323" t="s">
        <v>421</v>
      </c>
      <c r="E67" s="767" t="s">
        <v>147</v>
      </c>
      <c r="F67" s="854">
        <v>615</v>
      </c>
      <c r="G67" s="321" t="s">
        <v>24</v>
      </c>
      <c r="H67" s="97">
        <f t="shared" si="5"/>
        <v>854.85</v>
      </c>
    </row>
    <row r="68" spans="1:8" s="32" customFormat="1">
      <c r="A68" s="321"/>
      <c r="B68" s="744"/>
      <c r="C68" s="663"/>
      <c r="D68" s="836" t="s">
        <v>38</v>
      </c>
      <c r="E68" s="321"/>
      <c r="F68" s="95"/>
      <c r="G68" s="321"/>
      <c r="H68" s="831"/>
    </row>
    <row r="69" spans="1:8" s="32" customFormat="1" ht="38.25">
      <c r="A69" s="321"/>
      <c r="B69" s="744">
        <v>0.4</v>
      </c>
      <c r="C69" s="663" t="s">
        <v>422</v>
      </c>
      <c r="D69" s="323" t="s">
        <v>423</v>
      </c>
      <c r="E69" s="321" t="s">
        <v>154</v>
      </c>
      <c r="F69" s="78">
        <v>722.41</v>
      </c>
      <c r="G69" s="321" t="s">
        <v>422</v>
      </c>
      <c r="H69" s="96">
        <f t="shared" ref="H69" si="6">ROUND(B69*F69,2)</f>
        <v>288.95999999999998</v>
      </c>
    </row>
    <row r="70" spans="1:8" s="32" customFormat="1">
      <c r="A70" s="321"/>
      <c r="B70" s="833"/>
      <c r="C70" s="904"/>
      <c r="D70" s="323"/>
      <c r="E70" s="321"/>
      <c r="F70" s="95"/>
      <c r="G70" s="78"/>
      <c r="H70" s="840">
        <f>SUM(H60:H69)</f>
        <v>5039.42</v>
      </c>
    </row>
    <row r="71" spans="1:8" s="32" customFormat="1">
      <c r="A71" s="321"/>
      <c r="B71" s="833"/>
      <c r="C71" s="904"/>
      <c r="D71" s="836" t="s">
        <v>1254</v>
      </c>
      <c r="E71" s="321"/>
      <c r="F71" s="184"/>
      <c r="G71" s="78"/>
      <c r="H71" s="831">
        <f>ROUND(H70*4%,2)</f>
        <v>201.58</v>
      </c>
    </row>
    <row r="72" spans="1:8" s="32" customFormat="1">
      <c r="A72" s="321"/>
      <c r="B72" s="833"/>
      <c r="C72" s="904"/>
      <c r="D72" s="836"/>
      <c r="E72" s="321"/>
      <c r="F72" s="184"/>
      <c r="G72" s="78"/>
      <c r="H72" s="831">
        <f>SUM(H70:H71)</f>
        <v>5241</v>
      </c>
    </row>
    <row r="73" spans="1:8" s="32" customFormat="1">
      <c r="A73" s="321"/>
      <c r="B73" s="833"/>
      <c r="C73" s="904"/>
      <c r="D73" s="829" t="s">
        <v>792</v>
      </c>
      <c r="E73" s="835"/>
      <c r="F73" s="839"/>
      <c r="G73" s="78"/>
      <c r="H73" s="831">
        <f>ROUND(H72*'data 2025-26'!$K$3,2)</f>
        <v>713.56</v>
      </c>
    </row>
    <row r="74" spans="1:8" s="32" customFormat="1">
      <c r="A74" s="321"/>
      <c r="B74" s="833"/>
      <c r="C74" s="904"/>
      <c r="D74" s="836" t="s">
        <v>425</v>
      </c>
      <c r="E74" s="321"/>
      <c r="F74" s="95"/>
      <c r="G74" s="78"/>
      <c r="H74" s="831">
        <f>SUM(H72:H73)</f>
        <v>5954.5599999999995</v>
      </c>
    </row>
    <row r="75" spans="1:8" s="32" customFormat="1" ht="89.25" hidden="1">
      <c r="A75" s="73">
        <v>4</v>
      </c>
      <c r="B75" s="1154" t="s">
        <v>830</v>
      </c>
      <c r="C75" s="1155"/>
      <c r="D75" s="323" t="s">
        <v>831</v>
      </c>
      <c r="E75" s="73"/>
      <c r="F75" s="878"/>
      <c r="G75" s="78"/>
      <c r="H75" s="831"/>
    </row>
    <row r="76" spans="1:8" s="32" customFormat="1" hidden="1">
      <c r="A76" s="73"/>
      <c r="B76" s="905"/>
      <c r="C76" s="906"/>
      <c r="D76" s="836" t="s">
        <v>832</v>
      </c>
      <c r="E76" s="626"/>
      <c r="F76" s="830"/>
      <c r="G76" s="78"/>
      <c r="H76" s="831"/>
    </row>
    <row r="77" spans="1:8" s="32" customFormat="1" hidden="1">
      <c r="A77" s="73"/>
      <c r="B77" s="905"/>
      <c r="C77" s="906"/>
      <c r="D77" s="836" t="s">
        <v>833</v>
      </c>
      <c r="E77" s="626"/>
      <c r="F77" s="830"/>
      <c r="G77" s="78"/>
      <c r="H77" s="831"/>
    </row>
    <row r="78" spans="1:8" s="32" customFormat="1" hidden="1">
      <c r="A78" s="73"/>
      <c r="B78" s="905"/>
      <c r="C78" s="906"/>
      <c r="D78" s="836" t="s">
        <v>39</v>
      </c>
      <c r="E78" s="626"/>
      <c r="F78" s="830"/>
      <c r="G78" s="78"/>
      <c r="H78" s="831"/>
    </row>
    <row r="79" spans="1:8" s="32" customFormat="1" hidden="1">
      <c r="A79" s="73"/>
      <c r="B79" s="900">
        <v>0.33</v>
      </c>
      <c r="C79" s="801" t="s">
        <v>416</v>
      </c>
      <c r="D79" s="323" t="s">
        <v>34</v>
      </c>
      <c r="E79" s="73"/>
      <c r="F79" s="95">
        <f>'lead 2025-26'!$K$26</f>
        <v>4218.8</v>
      </c>
      <c r="G79" s="73" t="s">
        <v>416</v>
      </c>
      <c r="H79" s="97">
        <f t="shared" ref="H79:H82" si="7">ROUND(B79*F79,2)</f>
        <v>1392.2</v>
      </c>
    </row>
    <row r="80" spans="1:8" s="32" customFormat="1" hidden="1">
      <c r="A80" s="73"/>
      <c r="B80" s="900">
        <v>0.45</v>
      </c>
      <c r="C80" s="801" t="s">
        <v>13</v>
      </c>
      <c r="D80" s="323" t="s">
        <v>417</v>
      </c>
      <c r="E80" s="73"/>
      <c r="F80" s="95">
        <f>'lead 2025-26'!$K$9</f>
        <v>1287.1899999999978</v>
      </c>
      <c r="G80" s="73" t="s">
        <v>13</v>
      </c>
      <c r="H80" s="97">
        <f t="shared" si="7"/>
        <v>579.24</v>
      </c>
    </row>
    <row r="81" spans="1:11" s="32" customFormat="1" hidden="1">
      <c r="A81" s="73"/>
      <c r="B81" s="907">
        <v>0.59399999999999997</v>
      </c>
      <c r="C81" s="801" t="s">
        <v>13</v>
      </c>
      <c r="D81" s="908" t="s">
        <v>602</v>
      </c>
      <c r="E81" s="73"/>
      <c r="F81" s="95">
        <f>'lead 2025-26'!$K$12</f>
        <v>2973.9799999999982</v>
      </c>
      <c r="G81" s="73" t="s">
        <v>13</v>
      </c>
      <c r="H81" s="97">
        <f t="shared" si="7"/>
        <v>1766.54</v>
      </c>
      <c r="I81" s="32">
        <v>0.9</v>
      </c>
      <c r="J81" s="32">
        <v>60</v>
      </c>
      <c r="K81" s="32">
        <f>I81*J81%</f>
        <v>0.54</v>
      </c>
    </row>
    <row r="82" spans="1:11" s="32" customFormat="1" hidden="1">
      <c r="A82" s="73"/>
      <c r="B82" s="907">
        <v>0.30599999999999999</v>
      </c>
      <c r="C82" s="801" t="s">
        <v>13</v>
      </c>
      <c r="D82" s="908" t="s">
        <v>106</v>
      </c>
      <c r="E82" s="73"/>
      <c r="F82" s="95">
        <f>'lead 2025-26'!$K$13</f>
        <v>2647.7299999999982</v>
      </c>
      <c r="G82" s="73" t="s">
        <v>13</v>
      </c>
      <c r="H82" s="97">
        <f t="shared" si="7"/>
        <v>810.21</v>
      </c>
      <c r="I82" s="32">
        <v>0.9</v>
      </c>
      <c r="J82" s="32">
        <v>60</v>
      </c>
      <c r="K82" s="32">
        <f>I82*J82%</f>
        <v>0.54</v>
      </c>
    </row>
    <row r="83" spans="1:11" s="32" customFormat="1" hidden="1">
      <c r="A83" s="73"/>
      <c r="B83" s="880"/>
      <c r="C83" s="909"/>
      <c r="D83" s="836" t="s">
        <v>419</v>
      </c>
      <c r="E83" s="626"/>
      <c r="F83" s="830"/>
      <c r="G83" s="626"/>
      <c r="H83" s="831"/>
    </row>
    <row r="84" spans="1:11" s="32" customFormat="1" hidden="1">
      <c r="A84" s="73"/>
      <c r="B84" s="880">
        <v>0.1</v>
      </c>
      <c r="C84" s="801" t="s">
        <v>24</v>
      </c>
      <c r="D84" s="323" t="s">
        <v>420</v>
      </c>
      <c r="E84" s="321" t="s">
        <v>152</v>
      </c>
      <c r="F84" s="78">
        <v>735</v>
      </c>
      <c r="G84" s="73" t="s">
        <v>24</v>
      </c>
      <c r="H84" s="97">
        <f t="shared" ref="H84:H85" si="8">ROUND(B84*F84,2)</f>
        <v>73.5</v>
      </c>
    </row>
    <row r="85" spans="1:11" s="32" customFormat="1" hidden="1">
      <c r="A85" s="73"/>
      <c r="B85" s="880">
        <v>1.39</v>
      </c>
      <c r="C85" s="801" t="s">
        <v>24</v>
      </c>
      <c r="D85" s="323" t="s">
        <v>421</v>
      </c>
      <c r="E85" s="767" t="s">
        <v>147</v>
      </c>
      <c r="F85" s="854">
        <v>615</v>
      </c>
      <c r="G85" s="73" t="s">
        <v>24</v>
      </c>
      <c r="H85" s="97">
        <f t="shared" si="8"/>
        <v>854.85</v>
      </c>
    </row>
    <row r="86" spans="1:11" s="32" customFormat="1" hidden="1">
      <c r="A86" s="73"/>
      <c r="B86" s="880"/>
      <c r="C86" s="909"/>
      <c r="D86" s="836" t="s">
        <v>38</v>
      </c>
      <c r="E86" s="626"/>
      <c r="F86" s="830"/>
      <c r="G86" s="626"/>
      <c r="H86" s="831"/>
    </row>
    <row r="87" spans="1:11" s="32" customFormat="1" hidden="1">
      <c r="A87" s="73"/>
      <c r="B87" s="880">
        <v>0.4</v>
      </c>
      <c r="C87" s="663" t="s">
        <v>422</v>
      </c>
      <c r="D87" s="323" t="s">
        <v>603</v>
      </c>
      <c r="E87" s="321" t="s">
        <v>154</v>
      </c>
      <c r="F87" s="78">
        <v>722.41</v>
      </c>
      <c r="G87" s="73" t="s">
        <v>422</v>
      </c>
      <c r="H87" s="97">
        <f t="shared" ref="H87:H89" si="9">ROUND(B87*F87,2)</f>
        <v>288.95999999999998</v>
      </c>
    </row>
    <row r="88" spans="1:11" s="32" customFormat="1" hidden="1">
      <c r="A88" s="321"/>
      <c r="B88" s="744">
        <v>0.13</v>
      </c>
      <c r="C88" s="663" t="s">
        <v>422</v>
      </c>
      <c r="D88" s="323" t="s">
        <v>424</v>
      </c>
      <c r="E88" s="767" t="s">
        <v>150</v>
      </c>
      <c r="F88" s="78">
        <v>830</v>
      </c>
      <c r="G88" s="321" t="s">
        <v>422</v>
      </c>
      <c r="H88" s="97">
        <f t="shared" si="9"/>
        <v>107.9</v>
      </c>
    </row>
    <row r="89" spans="1:11" s="32" customFormat="1" hidden="1">
      <c r="A89" s="321"/>
      <c r="B89" s="744">
        <v>0.4</v>
      </c>
      <c r="C89" s="663" t="s">
        <v>422</v>
      </c>
      <c r="D89" s="323" t="s">
        <v>834</v>
      </c>
      <c r="E89" s="767" t="s">
        <v>835</v>
      </c>
      <c r="F89" s="78">
        <v>297.87</v>
      </c>
      <c r="G89" s="321" t="s">
        <v>422</v>
      </c>
      <c r="H89" s="97">
        <f t="shared" si="9"/>
        <v>119.15</v>
      </c>
    </row>
    <row r="90" spans="1:11" s="32" customFormat="1" hidden="1">
      <c r="A90" s="73"/>
      <c r="B90" s="905"/>
      <c r="C90" s="906"/>
      <c r="D90" s="323"/>
      <c r="E90" s="73"/>
      <c r="F90" s="830"/>
      <c r="G90" s="78"/>
      <c r="H90" s="831">
        <f>SUM(H79:H89)</f>
        <v>5992.55</v>
      </c>
    </row>
    <row r="91" spans="1:11" s="32" customFormat="1" hidden="1">
      <c r="A91" s="73"/>
      <c r="B91" s="905"/>
      <c r="C91" s="906"/>
      <c r="D91" s="836" t="s">
        <v>836</v>
      </c>
      <c r="E91" s="864"/>
      <c r="F91" s="830"/>
      <c r="G91" s="78"/>
      <c r="H91" s="831">
        <f>ROUND(H90*20%,2)</f>
        <v>1198.51</v>
      </c>
    </row>
    <row r="92" spans="1:11" s="32" customFormat="1" hidden="1">
      <c r="A92" s="73"/>
      <c r="B92" s="905"/>
      <c r="C92" s="906"/>
      <c r="D92" s="836"/>
      <c r="E92" s="321"/>
      <c r="F92" s="184"/>
      <c r="G92" s="78"/>
      <c r="H92" s="831">
        <f>SUM(H90:H91)</f>
        <v>7191.06</v>
      </c>
    </row>
    <row r="93" spans="1:11" s="32" customFormat="1" hidden="1">
      <c r="A93" s="73"/>
      <c r="B93" s="905"/>
      <c r="C93" s="906"/>
      <c r="D93" s="829" t="s">
        <v>792</v>
      </c>
      <c r="E93" s="835"/>
      <c r="F93" s="839"/>
      <c r="G93" s="78"/>
      <c r="H93" s="831">
        <f>ROUND(H92*'data 2025-26'!$K$3,2)</f>
        <v>979.06</v>
      </c>
    </row>
    <row r="94" spans="1:11" s="32" customFormat="1" hidden="1">
      <c r="A94" s="73"/>
      <c r="B94" s="905"/>
      <c r="C94" s="906"/>
      <c r="D94" s="836" t="s">
        <v>425</v>
      </c>
      <c r="E94" s="321"/>
      <c r="F94" s="95"/>
      <c r="G94" s="78"/>
      <c r="H94" s="831">
        <f>SUM(H92:H93)</f>
        <v>8170.1200000000008</v>
      </c>
    </row>
    <row r="95" spans="1:11" s="32" customFormat="1" ht="89.25" hidden="1">
      <c r="A95" s="321">
        <v>5</v>
      </c>
      <c r="B95" s="1154" t="s">
        <v>837</v>
      </c>
      <c r="C95" s="1155"/>
      <c r="D95" s="306" t="s">
        <v>838</v>
      </c>
      <c r="E95" s="42"/>
      <c r="F95" s="95"/>
      <c r="G95" s="78"/>
      <c r="H95" s="831"/>
    </row>
    <row r="96" spans="1:11" s="32" customFormat="1" hidden="1">
      <c r="A96" s="321"/>
      <c r="B96" s="833"/>
      <c r="C96" s="904"/>
      <c r="D96" s="836" t="s">
        <v>839</v>
      </c>
      <c r="E96" s="42"/>
      <c r="F96" s="95"/>
      <c r="G96" s="78"/>
      <c r="H96" s="831"/>
    </row>
    <row r="97" spans="1:8" s="32" customFormat="1" hidden="1">
      <c r="A97" s="321"/>
      <c r="B97" s="833"/>
      <c r="C97" s="904"/>
      <c r="D97" s="323" t="s">
        <v>40</v>
      </c>
      <c r="E97" s="321"/>
      <c r="F97" s="95"/>
      <c r="G97" s="78"/>
      <c r="H97" s="831"/>
    </row>
    <row r="98" spans="1:8" s="32" customFormat="1" hidden="1">
      <c r="A98" s="321"/>
      <c r="B98" s="833"/>
      <c r="C98" s="904"/>
      <c r="D98" s="836" t="s">
        <v>39</v>
      </c>
      <c r="E98" s="321"/>
      <c r="F98" s="95"/>
      <c r="G98" s="78"/>
      <c r="H98" s="831"/>
    </row>
    <row r="99" spans="1:8" s="32" customFormat="1" hidden="1">
      <c r="A99" s="321"/>
      <c r="B99" s="744">
        <v>0.34</v>
      </c>
      <c r="C99" s="663" t="s">
        <v>416</v>
      </c>
      <c r="D99" s="323" t="s">
        <v>34</v>
      </c>
      <c r="E99" s="321"/>
      <c r="F99" s="95">
        <f>'lead 2025-26'!$K$26</f>
        <v>4218.8</v>
      </c>
      <c r="G99" s="73" t="s">
        <v>416</v>
      </c>
      <c r="H99" s="97">
        <f t="shared" ref="H99:H102" si="10">ROUND(B99*F99,2)</f>
        <v>1434.39</v>
      </c>
    </row>
    <row r="100" spans="1:8" s="32" customFormat="1" hidden="1">
      <c r="A100" s="321"/>
      <c r="B100" s="341">
        <v>0.45</v>
      </c>
      <c r="C100" s="663" t="s">
        <v>13</v>
      </c>
      <c r="D100" s="323" t="s">
        <v>417</v>
      </c>
      <c r="E100" s="321"/>
      <c r="F100" s="95">
        <f>'lead 2025-26'!$K$9</f>
        <v>1287.1899999999978</v>
      </c>
      <c r="G100" s="321" t="s">
        <v>13</v>
      </c>
      <c r="H100" s="97">
        <f t="shared" si="10"/>
        <v>579.24</v>
      </c>
    </row>
    <row r="101" spans="1:8" s="32" customFormat="1" hidden="1">
      <c r="A101" s="321"/>
      <c r="B101" s="907">
        <v>0.59399999999999997</v>
      </c>
      <c r="C101" s="663" t="s">
        <v>13</v>
      </c>
      <c r="D101" s="323" t="s">
        <v>428</v>
      </c>
      <c r="E101" s="321"/>
      <c r="F101" s="95">
        <f>'lead 2025-26'!$K$12</f>
        <v>2973.9799999999982</v>
      </c>
      <c r="G101" s="321" t="s">
        <v>13</v>
      </c>
      <c r="H101" s="97">
        <f t="shared" si="10"/>
        <v>1766.54</v>
      </c>
    </row>
    <row r="102" spans="1:8" s="32" customFormat="1" hidden="1">
      <c r="A102" s="321"/>
      <c r="B102" s="907">
        <v>0.30599999999999999</v>
      </c>
      <c r="C102" s="663" t="s">
        <v>13</v>
      </c>
      <c r="D102" s="323" t="s">
        <v>431</v>
      </c>
      <c r="E102" s="321"/>
      <c r="F102" s="95">
        <f>'lead 2025-26'!$K$13</f>
        <v>2647.7299999999982</v>
      </c>
      <c r="G102" s="321" t="s">
        <v>13</v>
      </c>
      <c r="H102" s="97">
        <f t="shared" si="10"/>
        <v>810.21</v>
      </c>
    </row>
    <row r="103" spans="1:8" s="32" customFormat="1" hidden="1">
      <c r="A103" s="321"/>
      <c r="B103" s="744"/>
      <c r="C103" s="663"/>
      <c r="D103" s="836" t="s">
        <v>419</v>
      </c>
      <c r="E103" s="321"/>
      <c r="F103" s="95"/>
      <c r="G103" s="321"/>
      <c r="H103" s="831"/>
    </row>
    <row r="104" spans="1:8" s="32" customFormat="1" hidden="1">
      <c r="A104" s="321"/>
      <c r="B104" s="744">
        <v>0.1</v>
      </c>
      <c r="C104" s="663" t="s">
        <v>24</v>
      </c>
      <c r="D104" s="323" t="s">
        <v>420</v>
      </c>
      <c r="E104" s="321" t="s">
        <v>152</v>
      </c>
      <c r="F104" s="78">
        <v>735</v>
      </c>
      <c r="G104" s="321" t="s">
        <v>24</v>
      </c>
      <c r="H104" s="97">
        <f t="shared" ref="H104:H105" si="11">ROUND(B104*F104,2)</f>
        <v>73.5</v>
      </c>
    </row>
    <row r="105" spans="1:8" s="32" customFormat="1" hidden="1">
      <c r="A105" s="321"/>
      <c r="B105" s="744">
        <v>1.39</v>
      </c>
      <c r="C105" s="663" t="s">
        <v>24</v>
      </c>
      <c r="D105" s="323" t="s">
        <v>421</v>
      </c>
      <c r="E105" s="767" t="s">
        <v>147</v>
      </c>
      <c r="F105" s="854">
        <v>615</v>
      </c>
      <c r="G105" s="321" t="s">
        <v>24</v>
      </c>
      <c r="H105" s="97">
        <f t="shared" si="11"/>
        <v>854.85</v>
      </c>
    </row>
    <row r="106" spans="1:8" s="32" customFormat="1" hidden="1">
      <c r="A106" s="321"/>
      <c r="B106" s="744"/>
      <c r="C106" s="663"/>
      <c r="D106" s="836" t="s">
        <v>38</v>
      </c>
      <c r="E106" s="321"/>
      <c r="F106" s="95"/>
      <c r="G106" s="321"/>
      <c r="H106" s="831"/>
    </row>
    <row r="107" spans="1:8" s="32" customFormat="1" hidden="1">
      <c r="A107" s="73"/>
      <c r="B107" s="880">
        <v>0.4</v>
      </c>
      <c r="C107" s="663" t="s">
        <v>422</v>
      </c>
      <c r="D107" s="323" t="s">
        <v>603</v>
      </c>
      <c r="E107" s="321" t="s">
        <v>154</v>
      </c>
      <c r="F107" s="78">
        <v>722.41</v>
      </c>
      <c r="G107" s="73" t="s">
        <v>422</v>
      </c>
      <c r="H107" s="97">
        <f t="shared" ref="H107:H109" si="12">ROUND(B107*F107,2)</f>
        <v>288.95999999999998</v>
      </c>
    </row>
    <row r="108" spans="1:8" s="32" customFormat="1" hidden="1">
      <c r="A108" s="321"/>
      <c r="B108" s="744">
        <v>0.13</v>
      </c>
      <c r="C108" s="663" t="s">
        <v>422</v>
      </c>
      <c r="D108" s="323" t="s">
        <v>424</v>
      </c>
      <c r="E108" s="767" t="s">
        <v>150</v>
      </c>
      <c r="F108" s="78">
        <v>830</v>
      </c>
      <c r="G108" s="321" t="s">
        <v>422</v>
      </c>
      <c r="H108" s="97">
        <f t="shared" si="12"/>
        <v>107.9</v>
      </c>
    </row>
    <row r="109" spans="1:8" s="32" customFormat="1" hidden="1">
      <c r="A109" s="321"/>
      <c r="B109" s="744">
        <v>0.4</v>
      </c>
      <c r="C109" s="663" t="s">
        <v>422</v>
      </c>
      <c r="D109" s="323" t="s">
        <v>834</v>
      </c>
      <c r="E109" s="767" t="s">
        <v>835</v>
      </c>
      <c r="F109" s="78">
        <v>297.87</v>
      </c>
      <c r="G109" s="321" t="s">
        <v>422</v>
      </c>
      <c r="H109" s="97">
        <f t="shared" si="12"/>
        <v>119.15</v>
      </c>
    </row>
    <row r="110" spans="1:8" s="32" customFormat="1" hidden="1">
      <c r="A110" s="321"/>
      <c r="B110" s="833"/>
      <c r="C110" s="904"/>
      <c r="D110" s="323"/>
      <c r="E110" s="321"/>
      <c r="F110" s="95"/>
      <c r="G110" s="78"/>
      <c r="H110" s="840">
        <f>SUM(H99:H109)</f>
        <v>6034.74</v>
      </c>
    </row>
    <row r="111" spans="1:8" s="32" customFormat="1" ht="25.5" hidden="1">
      <c r="A111" s="321"/>
      <c r="B111" s="833"/>
      <c r="C111" s="904"/>
      <c r="D111" s="836" t="s">
        <v>429</v>
      </c>
      <c r="E111" s="321"/>
      <c r="F111" s="184"/>
      <c r="G111" s="78"/>
      <c r="H111" s="831">
        <f>ROUND(H110*10%,2)</f>
        <v>603.47</v>
      </c>
    </row>
    <row r="112" spans="1:8" s="32" customFormat="1" hidden="1">
      <c r="A112" s="321"/>
      <c r="B112" s="833"/>
      <c r="C112" s="904"/>
      <c r="D112" s="836"/>
      <c r="E112" s="321"/>
      <c r="F112" s="184"/>
      <c r="G112" s="78"/>
      <c r="H112" s="831">
        <f>SUM(H110:H111)</f>
        <v>6638.21</v>
      </c>
    </row>
    <row r="113" spans="1:8" s="32" customFormat="1" hidden="1">
      <c r="A113" s="321"/>
      <c r="B113" s="833"/>
      <c r="C113" s="904"/>
      <c r="D113" s="829" t="s">
        <v>792</v>
      </c>
      <c r="E113" s="835"/>
      <c r="F113" s="839"/>
      <c r="G113" s="78"/>
      <c r="H113" s="831">
        <f>ROUND(H112*'data 2025-26'!$K$3,2)</f>
        <v>903.79</v>
      </c>
    </row>
    <row r="114" spans="1:8" s="32" customFormat="1" hidden="1">
      <c r="A114" s="321"/>
      <c r="B114" s="833"/>
      <c r="C114" s="904"/>
      <c r="D114" s="836" t="s">
        <v>425</v>
      </c>
      <c r="E114" s="321"/>
      <c r="F114" s="95"/>
      <c r="G114" s="78"/>
      <c r="H114" s="831">
        <f>SUM(H112:H113)</f>
        <v>7542</v>
      </c>
    </row>
    <row r="115" spans="1:8" s="32" customFormat="1" ht="89.25" hidden="1">
      <c r="A115" s="321">
        <v>6</v>
      </c>
      <c r="B115" s="1154" t="s">
        <v>840</v>
      </c>
      <c r="C115" s="1155"/>
      <c r="D115" s="306" t="s">
        <v>841</v>
      </c>
      <c r="E115" s="42"/>
      <c r="F115" s="95"/>
      <c r="G115" s="78"/>
      <c r="H115" s="831"/>
    </row>
    <row r="116" spans="1:8" s="32" customFormat="1" hidden="1">
      <c r="A116" s="321"/>
      <c r="B116" s="833"/>
      <c r="C116" s="904"/>
      <c r="D116" s="836" t="s">
        <v>842</v>
      </c>
      <c r="E116" s="42"/>
      <c r="F116" s="95"/>
      <c r="G116" s="78"/>
      <c r="H116" s="831"/>
    </row>
    <row r="117" spans="1:8" s="32" customFormat="1" hidden="1">
      <c r="A117" s="321"/>
      <c r="B117" s="833"/>
      <c r="C117" s="904"/>
      <c r="D117" s="323" t="s">
        <v>40</v>
      </c>
      <c r="E117" s="321"/>
      <c r="F117" s="95"/>
      <c r="G117" s="78"/>
      <c r="H117" s="831"/>
    </row>
    <row r="118" spans="1:8" s="32" customFormat="1" hidden="1">
      <c r="A118" s="321"/>
      <c r="B118" s="833"/>
      <c r="C118" s="904"/>
      <c r="D118" s="836" t="s">
        <v>39</v>
      </c>
      <c r="E118" s="321"/>
      <c r="F118" s="95"/>
      <c r="G118" s="78"/>
      <c r="H118" s="831"/>
    </row>
    <row r="119" spans="1:8" s="32" customFormat="1" hidden="1">
      <c r="A119" s="321"/>
      <c r="B119" s="744">
        <v>0.35</v>
      </c>
      <c r="C119" s="663" t="s">
        <v>416</v>
      </c>
      <c r="D119" s="323" t="s">
        <v>34</v>
      </c>
      <c r="E119" s="321"/>
      <c r="F119" s="95">
        <f>'lead 2025-26'!$K$26</f>
        <v>4218.8</v>
      </c>
      <c r="G119" s="73" t="s">
        <v>416</v>
      </c>
      <c r="H119" s="97">
        <f t="shared" ref="H119:H122" si="13">ROUND(B119*F119,2)</f>
        <v>1476.58</v>
      </c>
    </row>
    <row r="120" spans="1:8" s="32" customFormat="1" hidden="1">
      <c r="A120" s="321"/>
      <c r="B120" s="341">
        <v>0.45</v>
      </c>
      <c r="C120" s="663" t="s">
        <v>13</v>
      </c>
      <c r="D120" s="323" t="s">
        <v>417</v>
      </c>
      <c r="E120" s="321"/>
      <c r="F120" s="95">
        <f>'lead 2025-26'!$K$9</f>
        <v>1287.1899999999978</v>
      </c>
      <c r="G120" s="321" t="s">
        <v>13</v>
      </c>
      <c r="H120" s="97">
        <f t="shared" si="13"/>
        <v>579.24</v>
      </c>
    </row>
    <row r="121" spans="1:8" s="32" customFormat="1" hidden="1">
      <c r="A121" s="321"/>
      <c r="B121" s="907">
        <v>0.59399999999999997</v>
      </c>
      <c r="C121" s="663" t="s">
        <v>13</v>
      </c>
      <c r="D121" s="323" t="s">
        <v>428</v>
      </c>
      <c r="E121" s="321"/>
      <c r="F121" s="95">
        <f>'lead 2025-26'!$K$12</f>
        <v>2973.9799999999982</v>
      </c>
      <c r="G121" s="321" t="s">
        <v>13</v>
      </c>
      <c r="H121" s="97">
        <f t="shared" si="13"/>
        <v>1766.54</v>
      </c>
    </row>
    <row r="122" spans="1:8" s="32" customFormat="1" hidden="1">
      <c r="A122" s="321"/>
      <c r="B122" s="907">
        <v>0.30599999999999999</v>
      </c>
      <c r="C122" s="663" t="s">
        <v>13</v>
      </c>
      <c r="D122" s="323" t="s">
        <v>431</v>
      </c>
      <c r="E122" s="321"/>
      <c r="F122" s="95">
        <f>'lead 2025-26'!$K$13</f>
        <v>2647.7299999999982</v>
      </c>
      <c r="G122" s="321" t="s">
        <v>13</v>
      </c>
      <c r="H122" s="97">
        <f t="shared" si="13"/>
        <v>810.21</v>
      </c>
    </row>
    <row r="123" spans="1:8" s="32" customFormat="1" hidden="1">
      <c r="A123" s="321"/>
      <c r="B123" s="744"/>
      <c r="C123" s="663"/>
      <c r="D123" s="836" t="s">
        <v>419</v>
      </c>
      <c r="E123" s="321"/>
      <c r="F123" s="95"/>
      <c r="G123" s="321"/>
      <c r="H123" s="831"/>
    </row>
    <row r="124" spans="1:8" s="32" customFormat="1" hidden="1">
      <c r="A124" s="321"/>
      <c r="B124" s="744">
        <v>0.1</v>
      </c>
      <c r="C124" s="663" t="s">
        <v>24</v>
      </c>
      <c r="D124" s="323" t="s">
        <v>420</v>
      </c>
      <c r="E124" s="321" t="s">
        <v>152</v>
      </c>
      <c r="F124" s="78">
        <v>735</v>
      </c>
      <c r="G124" s="321" t="s">
        <v>24</v>
      </c>
      <c r="H124" s="97">
        <f t="shared" ref="H124:H126" si="14">ROUND(B124*F124,2)</f>
        <v>73.5</v>
      </c>
    </row>
    <row r="125" spans="1:8" s="32" customFormat="1" hidden="1">
      <c r="A125" s="321"/>
      <c r="B125" s="744">
        <v>1.39</v>
      </c>
      <c r="C125" s="663" t="s">
        <v>24</v>
      </c>
      <c r="D125" s="323" t="s">
        <v>421</v>
      </c>
      <c r="E125" s="767" t="s">
        <v>147</v>
      </c>
      <c r="F125" s="660">
        <v>615</v>
      </c>
      <c r="G125" s="321" t="s">
        <v>24</v>
      </c>
      <c r="H125" s="97">
        <f t="shared" si="14"/>
        <v>854.85</v>
      </c>
    </row>
    <row r="126" spans="1:8" s="32" customFormat="1" ht="25.5" hidden="1">
      <c r="A126" s="321"/>
      <c r="B126" s="744">
        <v>0.15</v>
      </c>
      <c r="C126" s="663" t="s">
        <v>24</v>
      </c>
      <c r="D126" s="323" t="s">
        <v>843</v>
      </c>
      <c r="E126" s="767" t="s">
        <v>147</v>
      </c>
      <c r="F126" s="78">
        <v>615</v>
      </c>
      <c r="G126" s="321" t="s">
        <v>24</v>
      </c>
      <c r="H126" s="96">
        <f t="shared" si="14"/>
        <v>92.25</v>
      </c>
    </row>
    <row r="127" spans="1:8" s="32" customFormat="1" hidden="1">
      <c r="A127" s="321"/>
      <c r="B127" s="744"/>
      <c r="C127" s="663"/>
      <c r="D127" s="836" t="s">
        <v>38</v>
      </c>
      <c r="E127" s="321"/>
      <c r="F127" s="95"/>
      <c r="G127" s="321"/>
      <c r="H127" s="831"/>
    </row>
    <row r="128" spans="1:8" s="32" customFormat="1" hidden="1">
      <c r="A128" s="73"/>
      <c r="B128" s="880">
        <v>0.4</v>
      </c>
      <c r="C128" s="663" t="s">
        <v>422</v>
      </c>
      <c r="D128" s="323" t="s">
        <v>603</v>
      </c>
      <c r="E128" s="321" t="s">
        <v>154</v>
      </c>
      <c r="F128" s="78">
        <v>722.41</v>
      </c>
      <c r="G128" s="73" t="s">
        <v>422</v>
      </c>
      <c r="H128" s="97">
        <f t="shared" ref="H128:H130" si="15">ROUND(B128*F128,2)</f>
        <v>288.95999999999998</v>
      </c>
    </row>
    <row r="129" spans="1:10" s="32" customFormat="1" hidden="1">
      <c r="A129" s="321"/>
      <c r="B129" s="744">
        <v>0.13</v>
      </c>
      <c r="C129" s="663" t="s">
        <v>422</v>
      </c>
      <c r="D129" s="323" t="s">
        <v>424</v>
      </c>
      <c r="E129" s="767" t="s">
        <v>150</v>
      </c>
      <c r="F129" s="78">
        <v>830</v>
      </c>
      <c r="G129" s="321" t="s">
        <v>422</v>
      </c>
      <c r="H129" s="97">
        <f t="shared" si="15"/>
        <v>107.9</v>
      </c>
    </row>
    <row r="130" spans="1:10" s="32" customFormat="1" hidden="1">
      <c r="A130" s="321"/>
      <c r="B130" s="744">
        <v>0.4</v>
      </c>
      <c r="C130" s="663" t="s">
        <v>422</v>
      </c>
      <c r="D130" s="323" t="s">
        <v>81</v>
      </c>
      <c r="E130" s="767" t="s">
        <v>156</v>
      </c>
      <c r="F130" s="78">
        <v>71</v>
      </c>
      <c r="G130" s="321" t="s">
        <v>422</v>
      </c>
      <c r="H130" s="97">
        <f t="shared" si="15"/>
        <v>28.4</v>
      </c>
    </row>
    <row r="131" spans="1:10" s="32" customFormat="1" hidden="1">
      <c r="A131" s="321"/>
      <c r="B131" s="833"/>
      <c r="C131" s="904"/>
      <c r="D131" s="323"/>
      <c r="E131" s="321"/>
      <c r="F131" s="95"/>
      <c r="G131" s="78"/>
      <c r="H131" s="840">
        <f>SUM(H119:H130)</f>
        <v>6078.4299999999994</v>
      </c>
    </row>
    <row r="132" spans="1:10" s="32" customFormat="1" hidden="1">
      <c r="A132" s="321"/>
      <c r="B132" s="833"/>
      <c r="C132" s="904"/>
      <c r="D132" s="836" t="s">
        <v>844</v>
      </c>
      <c r="E132" s="321"/>
      <c r="F132" s="184"/>
      <c r="G132" s="78"/>
      <c r="H132" s="831">
        <f>ROUND(H131*3%,2)</f>
        <v>182.35</v>
      </c>
    </row>
    <row r="133" spans="1:10" s="32" customFormat="1" hidden="1">
      <c r="A133" s="321"/>
      <c r="B133" s="833"/>
      <c r="C133" s="904"/>
      <c r="D133" s="836"/>
      <c r="E133" s="321"/>
      <c r="F133" s="184"/>
      <c r="G133" s="78"/>
      <c r="H133" s="831">
        <f>SUM(H131:H132)</f>
        <v>6260.78</v>
      </c>
    </row>
    <row r="134" spans="1:10" s="32" customFormat="1" hidden="1">
      <c r="A134" s="321"/>
      <c r="B134" s="833"/>
      <c r="C134" s="904"/>
      <c r="D134" s="829" t="s">
        <v>792</v>
      </c>
      <c r="E134" s="835"/>
      <c r="F134" s="839"/>
      <c r="G134" s="78"/>
      <c r="H134" s="831">
        <f>ROUND(H133*'data 2025-26'!$K$3,2)</f>
        <v>852.41</v>
      </c>
    </row>
    <row r="135" spans="1:10" s="32" customFormat="1" hidden="1">
      <c r="A135" s="321"/>
      <c r="B135" s="833"/>
      <c r="C135" s="904"/>
      <c r="D135" s="836" t="s">
        <v>425</v>
      </c>
      <c r="E135" s="321"/>
      <c r="F135" s="95"/>
      <c r="G135" s="78"/>
      <c r="H135" s="831">
        <f>SUM(H133:H134)</f>
        <v>7113.19</v>
      </c>
    </row>
    <row r="136" spans="1:10" s="26" customFormat="1" ht="63.75" hidden="1">
      <c r="A136" s="73">
        <v>6</v>
      </c>
      <c r="B136" s="1152"/>
      <c r="C136" s="1153"/>
      <c r="D136" s="323" t="s">
        <v>589</v>
      </c>
      <c r="E136" s="321"/>
      <c r="F136" s="660"/>
      <c r="G136" s="95"/>
      <c r="H136" s="661"/>
      <c r="I136" s="662"/>
      <c r="J136" s="23"/>
    </row>
    <row r="137" spans="1:10" s="26" customFormat="1" ht="36" hidden="1" customHeight="1">
      <c r="A137" s="73"/>
      <c r="B137" s="329"/>
      <c r="C137" s="766"/>
      <c r="D137" s="836" t="s">
        <v>845</v>
      </c>
      <c r="E137" s="321"/>
      <c r="F137" s="660"/>
      <c r="G137" s="95"/>
      <c r="H137" s="661"/>
      <c r="I137" s="662"/>
      <c r="J137" s="23"/>
    </row>
    <row r="138" spans="1:10" s="26" customFormat="1" ht="12" hidden="1" customHeight="1">
      <c r="A138" s="73"/>
      <c r="B138" s="329"/>
      <c r="C138" s="766"/>
      <c r="D138" s="836" t="s">
        <v>590</v>
      </c>
      <c r="E138" s="321"/>
      <c r="F138" s="660"/>
      <c r="G138" s="95"/>
      <c r="H138" s="661"/>
      <c r="I138" s="662"/>
      <c r="J138" s="23"/>
    </row>
    <row r="139" spans="1:10" s="26" customFormat="1" hidden="1">
      <c r="A139" s="73"/>
      <c r="B139" s="841"/>
      <c r="C139" s="663"/>
      <c r="D139" s="836" t="s">
        <v>39</v>
      </c>
      <c r="E139" s="321"/>
      <c r="F139" s="660"/>
      <c r="G139" s="74"/>
      <c r="H139" s="97"/>
      <c r="I139" s="662"/>
      <c r="J139" s="23"/>
    </row>
    <row r="140" spans="1:10" s="26" customFormat="1" hidden="1">
      <c r="A140" s="73"/>
      <c r="B140" s="841">
        <v>1.05</v>
      </c>
      <c r="C140" s="663" t="s">
        <v>416</v>
      </c>
      <c r="D140" s="323" t="s">
        <v>591</v>
      </c>
      <c r="E140" s="767"/>
      <c r="F140" s="660">
        <f>'lead 2025-26'!K27</f>
        <v>58000</v>
      </c>
      <c r="G140" s="74" t="s">
        <v>507</v>
      </c>
      <c r="H140" s="97">
        <f>ROUND(B140*F140,2)</f>
        <v>60900</v>
      </c>
      <c r="I140" s="662"/>
      <c r="J140" s="23"/>
    </row>
    <row r="141" spans="1:10" s="26" customFormat="1" hidden="1">
      <c r="A141" s="73"/>
      <c r="B141" s="841">
        <v>6</v>
      </c>
      <c r="C141" s="663" t="s">
        <v>592</v>
      </c>
      <c r="D141" s="323" t="s">
        <v>593</v>
      </c>
      <c r="E141" s="767" t="s">
        <v>594</v>
      </c>
      <c r="F141" s="78">
        <v>70</v>
      </c>
      <c r="G141" s="74" t="s">
        <v>595</v>
      </c>
      <c r="H141" s="97">
        <f>ROUND(B141*F141,2)</f>
        <v>420</v>
      </c>
      <c r="I141" s="662"/>
      <c r="J141" s="23"/>
    </row>
    <row r="142" spans="1:10" s="26" customFormat="1" ht="25.5" hidden="1">
      <c r="A142" s="73"/>
      <c r="B142" s="841"/>
      <c r="C142" s="663"/>
      <c r="D142" s="836" t="s">
        <v>596</v>
      </c>
      <c r="E142" s="767"/>
      <c r="F142" s="73"/>
      <c r="G142" s="74"/>
      <c r="H142" s="97"/>
      <c r="I142" s="662"/>
      <c r="J142" s="23"/>
    </row>
    <row r="143" spans="1:10" s="26" customFormat="1" hidden="1">
      <c r="A143" s="73"/>
      <c r="B143" s="841">
        <v>10</v>
      </c>
      <c r="C143" s="663" t="s">
        <v>24</v>
      </c>
      <c r="D143" s="323" t="s">
        <v>597</v>
      </c>
      <c r="E143" s="767" t="s">
        <v>598</v>
      </c>
      <c r="F143" s="78">
        <v>870</v>
      </c>
      <c r="G143" s="74" t="s">
        <v>71</v>
      </c>
      <c r="H143" s="97">
        <f t="shared" ref="H143:H144" si="16">ROUND(B143*F143,2)</f>
        <v>8700</v>
      </c>
      <c r="I143" s="662"/>
      <c r="J143" s="23"/>
    </row>
    <row r="144" spans="1:10" s="26" customFormat="1" hidden="1">
      <c r="A144" s="73"/>
      <c r="B144" s="841">
        <v>10</v>
      </c>
      <c r="C144" s="663" t="s">
        <v>24</v>
      </c>
      <c r="D144" s="323" t="s">
        <v>599</v>
      </c>
      <c r="E144" s="767" t="s">
        <v>147</v>
      </c>
      <c r="F144" s="660">
        <v>615</v>
      </c>
      <c r="G144" s="74" t="s">
        <v>71</v>
      </c>
      <c r="H144" s="97">
        <f t="shared" si="16"/>
        <v>6150</v>
      </c>
      <c r="I144" s="662"/>
      <c r="J144" s="23"/>
    </row>
    <row r="145" spans="1:12" s="26" customFormat="1" hidden="1">
      <c r="A145" s="73"/>
      <c r="B145" s="841"/>
      <c r="C145" s="663"/>
      <c r="D145" s="836"/>
      <c r="E145" s="321"/>
      <c r="F145" s="184"/>
      <c r="G145" s="78"/>
      <c r="H145" s="831">
        <f>SUM(H140:H144)</f>
        <v>76170</v>
      </c>
      <c r="I145" s="662"/>
      <c r="J145" s="23"/>
    </row>
    <row r="146" spans="1:12" s="26" customFormat="1" hidden="1">
      <c r="A146" s="73"/>
      <c r="B146" s="841"/>
      <c r="C146" s="663"/>
      <c r="D146" s="829" t="s">
        <v>792</v>
      </c>
      <c r="E146" s="835"/>
      <c r="F146" s="839"/>
      <c r="G146" s="78"/>
      <c r="H146" s="831">
        <f>ROUND(H145*'data 2025-26'!$K$3,2)</f>
        <v>10370.549999999999</v>
      </c>
      <c r="I146" s="662"/>
      <c r="J146" s="23"/>
    </row>
    <row r="147" spans="1:12" s="26" customFormat="1" hidden="1">
      <c r="A147" s="73"/>
      <c r="B147" s="910"/>
      <c r="C147" s="663"/>
      <c r="D147" s="666" t="s">
        <v>600</v>
      </c>
      <c r="E147" s="321"/>
      <c r="F147" s="95"/>
      <c r="G147" s="74"/>
      <c r="H147" s="97">
        <f>SUM(H145:H146)</f>
        <v>86540.55</v>
      </c>
      <c r="I147" s="662"/>
      <c r="J147" s="23"/>
    </row>
    <row r="148" spans="1:12" s="914" customFormat="1" ht="25.5">
      <c r="A148" s="911">
        <v>4</v>
      </c>
      <c r="B148" s="1159" t="s">
        <v>846</v>
      </c>
      <c r="C148" s="1160"/>
      <c r="D148" s="864" t="s">
        <v>604</v>
      </c>
      <c r="E148" s="864"/>
      <c r="F148" s="864"/>
      <c r="G148" s="912"/>
      <c r="H148" s="913"/>
    </row>
    <row r="149" spans="1:12" s="914" customFormat="1" ht="63.75">
      <c r="A149" s="911"/>
      <c r="B149" s="915"/>
      <c r="C149" s="916"/>
      <c r="D149" s="306" t="s">
        <v>605</v>
      </c>
      <c r="E149" s="306"/>
      <c r="F149" s="306"/>
      <c r="G149" s="912"/>
      <c r="H149" s="913"/>
    </row>
    <row r="150" spans="1:12" s="869" customFormat="1">
      <c r="A150" s="42"/>
      <c r="B150" s="767"/>
      <c r="C150" s="768"/>
      <c r="D150" s="323" t="s">
        <v>606</v>
      </c>
      <c r="E150" s="321"/>
      <c r="F150" s="321"/>
      <c r="G150" s="95"/>
      <c r="H150" s="875"/>
    </row>
    <row r="151" spans="1:12" s="869" customFormat="1">
      <c r="A151" s="42"/>
      <c r="B151" s="767"/>
      <c r="C151" s="768"/>
      <c r="D151" s="323" t="s">
        <v>607</v>
      </c>
      <c r="E151" s="321"/>
      <c r="F151" s="321"/>
      <c r="G151" s="95"/>
      <c r="H151" s="875"/>
    </row>
    <row r="152" spans="1:12" s="869" customFormat="1">
      <c r="A152" s="42"/>
      <c r="B152" s="767"/>
      <c r="C152" s="768"/>
      <c r="D152" s="323" t="s">
        <v>608</v>
      </c>
      <c r="E152" s="321"/>
      <c r="F152" s="321"/>
      <c r="G152" s="95"/>
      <c r="H152" s="875"/>
    </row>
    <row r="153" spans="1:12" s="869" customFormat="1">
      <c r="A153" s="42"/>
      <c r="B153" s="767"/>
      <c r="C153" s="768"/>
      <c r="D153" s="836" t="s">
        <v>758</v>
      </c>
      <c r="E153" s="321"/>
      <c r="F153" s="321"/>
      <c r="G153" s="95"/>
      <c r="H153" s="875"/>
    </row>
    <row r="154" spans="1:12" s="869" customFormat="1">
      <c r="A154" s="42"/>
      <c r="B154" s="767"/>
      <c r="C154" s="768"/>
      <c r="D154" s="829" t="s">
        <v>37</v>
      </c>
      <c r="E154" s="321"/>
      <c r="F154" s="321"/>
      <c r="G154" s="95"/>
      <c r="H154" s="875"/>
    </row>
    <row r="155" spans="1:12" s="869" customFormat="1">
      <c r="A155" s="42"/>
      <c r="B155" s="870">
        <v>0.25</v>
      </c>
      <c r="C155" s="663" t="s">
        <v>24</v>
      </c>
      <c r="D155" s="323" t="s">
        <v>609</v>
      </c>
      <c r="E155" s="321" t="s">
        <v>152</v>
      </c>
      <c r="F155" s="78">
        <v>735</v>
      </c>
      <c r="G155" s="321" t="s">
        <v>24</v>
      </c>
      <c r="H155" s="96">
        <f t="shared" ref="H155:H156" si="17">ROUND(B155*F155,2)</f>
        <v>183.75</v>
      </c>
      <c r="L155" s="767"/>
    </row>
    <row r="156" spans="1:12" s="869" customFormat="1">
      <c r="A156" s="42"/>
      <c r="B156" s="870">
        <v>2.09</v>
      </c>
      <c r="C156" s="663" t="s">
        <v>24</v>
      </c>
      <c r="D156" s="323" t="s">
        <v>421</v>
      </c>
      <c r="E156" s="767" t="s">
        <v>147</v>
      </c>
      <c r="F156" s="660">
        <v>615</v>
      </c>
      <c r="G156" s="321" t="s">
        <v>24</v>
      </c>
      <c r="H156" s="96">
        <f t="shared" si="17"/>
        <v>1285.3499999999999</v>
      </c>
      <c r="L156" s="767"/>
    </row>
    <row r="157" spans="1:12" s="869" customFormat="1">
      <c r="A157" s="42"/>
      <c r="B157" s="767"/>
      <c r="C157" s="768"/>
      <c r="D157" s="323" t="s">
        <v>39</v>
      </c>
      <c r="E157" s="321"/>
      <c r="F157" s="917"/>
      <c r="G157" s="95"/>
      <c r="H157" s="661"/>
    </row>
    <row r="158" spans="1:12" s="869" customFormat="1">
      <c r="A158" s="42"/>
      <c r="B158" s="870">
        <v>0.04</v>
      </c>
      <c r="C158" s="663" t="s">
        <v>13</v>
      </c>
      <c r="D158" s="323" t="s">
        <v>61</v>
      </c>
      <c r="E158" s="321"/>
      <c r="F158" s="95">
        <f>'lead 2025-26'!$K$9</f>
        <v>1287.1899999999978</v>
      </c>
      <c r="G158" s="321" t="s">
        <v>610</v>
      </c>
      <c r="H158" s="96">
        <f t="shared" ref="H158:H160" si="18">ROUND(B158*F158,2)</f>
        <v>51.49</v>
      </c>
      <c r="L158" s="767"/>
    </row>
    <row r="159" spans="1:12" s="22" customFormat="1">
      <c r="A159" s="73"/>
      <c r="B159" s="76">
        <v>0.03</v>
      </c>
      <c r="C159" s="80" t="s">
        <v>45</v>
      </c>
      <c r="D159" s="666" t="s">
        <v>611</v>
      </c>
      <c r="E159" s="95"/>
      <c r="F159" s="95">
        <f>'lead 2025-26'!$K$26</f>
        <v>4218.8</v>
      </c>
      <c r="G159" s="74" t="s">
        <v>90</v>
      </c>
      <c r="H159" s="97">
        <f t="shared" si="18"/>
        <v>126.56</v>
      </c>
      <c r="I159" s="53">
        <f>ROUND(B159*F159,2)</f>
        <v>126.56</v>
      </c>
      <c r="J159" s="33"/>
    </row>
    <row r="160" spans="1:12" s="869" customFormat="1">
      <c r="A160" s="42"/>
      <c r="B160" s="870">
        <v>7.5</v>
      </c>
      <c r="C160" s="663" t="s">
        <v>612</v>
      </c>
      <c r="D160" s="323" t="s">
        <v>613</v>
      </c>
      <c r="E160" s="73"/>
      <c r="F160" s="917">
        <f>'lead 2025-26'!K31</f>
        <v>7707.39</v>
      </c>
      <c r="G160" s="78" t="s">
        <v>614</v>
      </c>
      <c r="H160" s="96">
        <f t="shared" si="18"/>
        <v>57805.43</v>
      </c>
    </row>
    <row r="161" spans="1:12" s="869" customFormat="1">
      <c r="A161" s="42"/>
      <c r="B161" s="767"/>
      <c r="C161" s="768"/>
      <c r="D161" s="323"/>
      <c r="E161" s="321"/>
      <c r="F161" s="917"/>
      <c r="G161" s="95"/>
      <c r="H161" s="875">
        <f>SUM(H155:H160)</f>
        <v>59452.58</v>
      </c>
    </row>
    <row r="162" spans="1:12" s="869" customFormat="1">
      <c r="A162" s="42"/>
      <c r="B162" s="767"/>
      <c r="C162" s="768"/>
      <c r="D162" s="829" t="s">
        <v>792</v>
      </c>
      <c r="E162" s="835"/>
      <c r="F162" s="839"/>
      <c r="G162" s="78"/>
      <c r="H162" s="831">
        <f>ROUND(H161*'data 2025-26'!$K$3,2)</f>
        <v>8094.47</v>
      </c>
    </row>
    <row r="163" spans="1:12" s="869" customFormat="1">
      <c r="A163" s="42"/>
      <c r="B163" s="767"/>
      <c r="C163" s="768"/>
      <c r="D163" s="323" t="s">
        <v>615</v>
      </c>
      <c r="E163" s="321"/>
      <c r="F163" s="917"/>
      <c r="G163" s="95"/>
      <c r="H163" s="875">
        <f>SUM(H161:H162)</f>
        <v>67547.05</v>
      </c>
    </row>
    <row r="164" spans="1:12" s="869" customFormat="1">
      <c r="A164" s="42"/>
      <c r="B164" s="767"/>
      <c r="C164" s="768"/>
      <c r="D164" s="323" t="s">
        <v>616</v>
      </c>
      <c r="E164" s="321"/>
      <c r="F164" s="321"/>
      <c r="G164" s="95"/>
      <c r="H164" s="875">
        <f>ROUND(H163/7.5,2)</f>
        <v>9006.27</v>
      </c>
    </row>
    <row r="165" spans="1:12" s="914" customFormat="1" ht="25.5" hidden="1">
      <c r="A165" s="911">
        <v>7</v>
      </c>
      <c r="B165" s="1159" t="s">
        <v>846</v>
      </c>
      <c r="C165" s="1160"/>
      <c r="D165" s="864" t="s">
        <v>604</v>
      </c>
      <c r="E165" s="864"/>
      <c r="F165" s="864"/>
      <c r="G165" s="912"/>
      <c r="H165" s="913"/>
    </row>
    <row r="166" spans="1:12" s="914" customFormat="1" ht="63.75" hidden="1">
      <c r="A166" s="911"/>
      <c r="B166" s="915"/>
      <c r="C166" s="916"/>
      <c r="D166" s="306" t="s">
        <v>605</v>
      </c>
      <c r="E166" s="306"/>
      <c r="F166" s="306"/>
      <c r="G166" s="912"/>
      <c r="H166" s="913"/>
    </row>
    <row r="167" spans="1:12" s="869" customFormat="1" hidden="1">
      <c r="A167" s="42"/>
      <c r="B167" s="767"/>
      <c r="C167" s="768"/>
      <c r="D167" s="323" t="s">
        <v>606</v>
      </c>
      <c r="E167" s="321"/>
      <c r="F167" s="321"/>
      <c r="G167" s="95"/>
      <c r="H167" s="875"/>
    </row>
    <row r="168" spans="1:12" s="869" customFormat="1" hidden="1">
      <c r="A168" s="42"/>
      <c r="B168" s="767"/>
      <c r="C168" s="768"/>
      <c r="D168" s="323" t="s">
        <v>607</v>
      </c>
      <c r="E168" s="321"/>
      <c r="F168" s="321"/>
      <c r="G168" s="95"/>
      <c r="H168" s="875"/>
    </row>
    <row r="169" spans="1:12" s="869" customFormat="1" hidden="1">
      <c r="A169" s="42"/>
      <c r="B169" s="767"/>
      <c r="C169" s="768"/>
      <c r="D169" s="323" t="s">
        <v>608</v>
      </c>
      <c r="E169" s="321"/>
      <c r="F169" s="321"/>
      <c r="G169" s="95"/>
      <c r="H169" s="875"/>
    </row>
    <row r="170" spans="1:12" s="869" customFormat="1" hidden="1">
      <c r="A170" s="42"/>
      <c r="B170" s="767"/>
      <c r="C170" s="768"/>
      <c r="D170" s="836" t="s">
        <v>876</v>
      </c>
      <c r="E170" s="321"/>
      <c r="F170" s="321"/>
      <c r="G170" s="95"/>
      <c r="H170" s="875"/>
    </row>
    <row r="171" spans="1:12" s="869" customFormat="1" hidden="1">
      <c r="A171" s="42"/>
      <c r="B171" s="767"/>
      <c r="C171" s="768"/>
      <c r="D171" s="829" t="s">
        <v>37</v>
      </c>
      <c r="E171" s="321"/>
      <c r="F171" s="321"/>
      <c r="G171" s="95"/>
      <c r="H171" s="875"/>
    </row>
    <row r="172" spans="1:12" s="869" customFormat="1" hidden="1">
      <c r="A172" s="42"/>
      <c r="B172" s="870">
        <v>0.25</v>
      </c>
      <c r="C172" s="663" t="s">
        <v>24</v>
      </c>
      <c r="D172" s="323" t="s">
        <v>609</v>
      </c>
      <c r="E172" s="321" t="s">
        <v>152</v>
      </c>
      <c r="F172" s="78">
        <v>735</v>
      </c>
      <c r="G172" s="321" t="s">
        <v>24</v>
      </c>
      <c r="H172" s="96">
        <f t="shared" ref="H172:H173" si="19">ROUND(B172*F172,2)</f>
        <v>183.75</v>
      </c>
      <c r="L172" s="767"/>
    </row>
    <row r="173" spans="1:12" s="869" customFormat="1" hidden="1">
      <c r="A173" s="42"/>
      <c r="B173" s="870">
        <v>2.09</v>
      </c>
      <c r="C173" s="663" t="s">
        <v>24</v>
      </c>
      <c r="D173" s="323" t="s">
        <v>421</v>
      </c>
      <c r="E173" s="767" t="s">
        <v>147</v>
      </c>
      <c r="F173" s="660">
        <v>615</v>
      </c>
      <c r="G173" s="321" t="s">
        <v>24</v>
      </c>
      <c r="H173" s="96">
        <f t="shared" si="19"/>
        <v>1285.3499999999999</v>
      </c>
      <c r="L173" s="767"/>
    </row>
    <row r="174" spans="1:12" s="869" customFormat="1" hidden="1">
      <c r="A174" s="42"/>
      <c r="B174" s="870"/>
      <c r="C174" s="663"/>
      <c r="D174" s="323" t="s">
        <v>877</v>
      </c>
      <c r="E174" s="767"/>
      <c r="F174" s="660"/>
      <c r="G174" s="321"/>
      <c r="H174" s="661">
        <f>-ROUND((H172+H173)*20%,2)</f>
        <v>-293.82</v>
      </c>
      <c r="L174" s="53"/>
    </row>
    <row r="175" spans="1:12" s="869" customFormat="1" hidden="1">
      <c r="A175" s="42"/>
      <c r="B175" s="767"/>
      <c r="C175" s="768"/>
      <c r="D175" s="323" t="s">
        <v>39</v>
      </c>
      <c r="E175" s="321"/>
      <c r="F175" s="917"/>
      <c r="G175" s="95"/>
      <c r="H175" s="661"/>
    </row>
    <row r="176" spans="1:12" s="869" customFormat="1" hidden="1">
      <c r="A176" s="42"/>
      <c r="B176" s="870">
        <v>0.04</v>
      </c>
      <c r="C176" s="663" t="s">
        <v>13</v>
      </c>
      <c r="D176" s="323" t="s">
        <v>61</v>
      </c>
      <c r="E176" s="321"/>
      <c r="F176" s="95">
        <f>'lead 2025-26'!$K$9</f>
        <v>1287.1899999999978</v>
      </c>
      <c r="G176" s="321" t="s">
        <v>610</v>
      </c>
      <c r="H176" s="96">
        <f t="shared" ref="H176:H178" si="20">ROUND(B176*F176,2)</f>
        <v>51.49</v>
      </c>
      <c r="L176" s="767"/>
    </row>
    <row r="177" spans="1:10" s="22" customFormat="1" hidden="1">
      <c r="A177" s="73"/>
      <c r="B177" s="76">
        <v>0.03</v>
      </c>
      <c r="C177" s="80" t="s">
        <v>45</v>
      </c>
      <c r="D177" s="666" t="s">
        <v>611</v>
      </c>
      <c r="E177" s="95"/>
      <c r="F177" s="95">
        <f>'lead 2025-26'!$K$26</f>
        <v>4218.8</v>
      </c>
      <c r="G177" s="74" t="s">
        <v>90</v>
      </c>
      <c r="H177" s="97">
        <f t="shared" si="20"/>
        <v>126.56</v>
      </c>
      <c r="I177" s="53">
        <f>ROUND(B177*F177,2)</f>
        <v>126.56</v>
      </c>
      <c r="J177" s="33"/>
    </row>
    <row r="178" spans="1:10" s="869" customFormat="1" hidden="1">
      <c r="A178" s="42"/>
      <c r="B178" s="870">
        <v>7.5</v>
      </c>
      <c r="C178" s="663" t="s">
        <v>612</v>
      </c>
      <c r="D178" s="323" t="s">
        <v>613</v>
      </c>
      <c r="E178" s="73"/>
      <c r="F178" s="917">
        <f>'lead 2025-26'!K32</f>
        <v>3168.43</v>
      </c>
      <c r="G178" s="78" t="s">
        <v>614</v>
      </c>
      <c r="H178" s="96">
        <f t="shared" si="20"/>
        <v>23763.23</v>
      </c>
    </row>
    <row r="179" spans="1:10" s="869" customFormat="1" hidden="1">
      <c r="A179" s="42"/>
      <c r="B179" s="767"/>
      <c r="C179" s="768"/>
      <c r="D179" s="323"/>
      <c r="E179" s="321"/>
      <c r="F179" s="917"/>
      <c r="G179" s="95"/>
      <c r="H179" s="875">
        <f>SUM(H172:H178)</f>
        <v>25116.559999999998</v>
      </c>
    </row>
    <row r="180" spans="1:10" s="869" customFormat="1" hidden="1">
      <c r="A180" s="42"/>
      <c r="B180" s="767"/>
      <c r="C180" s="768"/>
      <c r="D180" s="829" t="s">
        <v>792</v>
      </c>
      <c r="E180" s="835"/>
      <c r="F180" s="839"/>
      <c r="G180" s="78"/>
      <c r="H180" s="831">
        <f>ROUND(H179*'data 2025-26'!$K$3,2)</f>
        <v>3419.62</v>
      </c>
    </row>
    <row r="181" spans="1:10" s="869" customFormat="1" hidden="1">
      <c r="A181" s="42"/>
      <c r="B181" s="767"/>
      <c r="C181" s="768"/>
      <c r="D181" s="323" t="s">
        <v>615</v>
      </c>
      <c r="E181" s="321"/>
      <c r="F181" s="917"/>
      <c r="G181" s="95"/>
      <c r="H181" s="875">
        <f>SUM(H179:H180)</f>
        <v>28536.179999999997</v>
      </c>
    </row>
    <row r="182" spans="1:10" s="869" customFormat="1" hidden="1">
      <c r="A182" s="42"/>
      <c r="B182" s="767"/>
      <c r="C182" s="768"/>
      <c r="D182" s="323" t="s">
        <v>616</v>
      </c>
      <c r="E182" s="321"/>
      <c r="F182" s="321"/>
      <c r="G182" s="95"/>
      <c r="H182" s="875">
        <f>ROUND(H181/7.5,2)</f>
        <v>3804.82</v>
      </c>
    </row>
    <row r="183" spans="1:10" s="26" customFormat="1" ht="76.5">
      <c r="A183" s="73">
        <v>5</v>
      </c>
      <c r="B183" s="1152"/>
      <c r="C183" s="1153"/>
      <c r="D183" s="323" t="s">
        <v>887</v>
      </c>
      <c r="E183" s="321"/>
      <c r="F183" s="660"/>
      <c r="G183" s="95"/>
      <c r="H183" s="661"/>
      <c r="I183" s="662"/>
      <c r="J183" s="23"/>
    </row>
    <row r="184" spans="1:10" s="26" customFormat="1" ht="38.25">
      <c r="A184" s="73"/>
      <c r="B184" s="329"/>
      <c r="C184" s="766"/>
      <c r="D184" s="836" t="s">
        <v>888</v>
      </c>
      <c r="E184" s="321"/>
      <c r="F184" s="660"/>
      <c r="G184" s="95"/>
      <c r="H184" s="661"/>
      <c r="I184" s="662"/>
      <c r="J184" s="23"/>
    </row>
    <row r="185" spans="1:10" s="26" customFormat="1">
      <c r="A185" s="73"/>
      <c r="B185" s="329"/>
      <c r="C185" s="766"/>
      <c r="D185" s="666" t="s">
        <v>889</v>
      </c>
      <c r="E185" s="321"/>
      <c r="F185" s="660"/>
      <c r="G185" s="95"/>
      <c r="H185" s="661"/>
      <c r="I185" s="662"/>
      <c r="J185" s="23"/>
    </row>
    <row r="186" spans="1:10" s="26" customFormat="1">
      <c r="A186" s="73"/>
      <c r="B186" s="841">
        <v>6</v>
      </c>
      <c r="C186" s="663" t="s">
        <v>10</v>
      </c>
      <c r="D186" s="323" t="s">
        <v>167</v>
      </c>
      <c r="E186" s="321"/>
      <c r="F186" s="660">
        <f>'lead 2025-26'!K25</f>
        <v>248</v>
      </c>
      <c r="G186" s="74" t="s">
        <v>23</v>
      </c>
      <c r="H186" s="97">
        <f>ROUND(B186*F186,2)</f>
        <v>1488</v>
      </c>
      <c r="I186" s="662"/>
      <c r="J186" s="23"/>
    </row>
    <row r="187" spans="1:10" s="26" customFormat="1">
      <c r="A187" s="73"/>
      <c r="B187" s="910">
        <v>0.31</v>
      </c>
      <c r="C187" s="663" t="s">
        <v>10</v>
      </c>
      <c r="D187" s="323" t="s">
        <v>131</v>
      </c>
      <c r="E187" s="767" t="s">
        <v>147</v>
      </c>
      <c r="F187" s="660">
        <v>615</v>
      </c>
      <c r="G187" s="74" t="s">
        <v>71</v>
      </c>
      <c r="H187" s="97">
        <f>ROUND(B187*F187,2)</f>
        <v>190.65</v>
      </c>
      <c r="I187" s="662"/>
      <c r="J187" s="23"/>
    </row>
    <row r="188" spans="1:10" s="26" customFormat="1">
      <c r="A188" s="73"/>
      <c r="B188" s="910"/>
      <c r="C188" s="663"/>
      <c r="D188" s="666" t="s">
        <v>889</v>
      </c>
      <c r="E188" s="321"/>
      <c r="F188" s="74"/>
      <c r="G188" s="74"/>
      <c r="H188" s="98">
        <f>SUM(H186:H187)</f>
        <v>1678.65</v>
      </c>
      <c r="I188" s="662"/>
      <c r="J188" s="23"/>
    </row>
    <row r="189" spans="1:10" s="22" customFormat="1">
      <c r="A189" s="73"/>
      <c r="B189" s="76"/>
      <c r="C189" s="80"/>
      <c r="D189" s="666" t="s">
        <v>163</v>
      </c>
      <c r="E189" s="321"/>
      <c r="F189" s="74"/>
      <c r="G189" s="74"/>
      <c r="H189" s="98">
        <f>ROUND(H188/6,2)</f>
        <v>279.77999999999997</v>
      </c>
      <c r="I189" s="53"/>
      <c r="J189" s="33"/>
    </row>
    <row r="190" spans="1:10" s="26" customFormat="1" ht="182.25" hidden="1" customHeight="1">
      <c r="A190" s="73">
        <v>8</v>
      </c>
      <c r="B190" s="329"/>
      <c r="C190" s="663"/>
      <c r="D190" s="918" t="s">
        <v>135</v>
      </c>
      <c r="E190" s="919"/>
      <c r="F190" s="660"/>
      <c r="G190" s="95"/>
      <c r="H190" s="920"/>
      <c r="I190" s="662"/>
      <c r="J190" s="23"/>
    </row>
    <row r="191" spans="1:10" s="22" customFormat="1" hidden="1">
      <c r="A191" s="73"/>
      <c r="B191" s="76"/>
      <c r="C191" s="80"/>
      <c r="D191" s="666" t="s">
        <v>40</v>
      </c>
      <c r="E191" s="95"/>
      <c r="F191" s="74"/>
      <c r="G191" s="74"/>
      <c r="H191" s="97"/>
      <c r="I191" s="53"/>
      <c r="J191" s="33"/>
    </row>
    <row r="192" spans="1:10" s="22" customFormat="1" hidden="1">
      <c r="A192" s="73"/>
      <c r="B192" s="76"/>
      <c r="C192" s="80"/>
      <c r="D192" s="666" t="s">
        <v>75</v>
      </c>
      <c r="E192" s="95"/>
      <c r="F192" s="74"/>
      <c r="G192" s="74"/>
      <c r="H192" s="97"/>
      <c r="I192" s="53"/>
      <c r="J192" s="33"/>
    </row>
    <row r="193" spans="1:10" s="22" customFormat="1" hidden="1">
      <c r="A193" s="73"/>
      <c r="B193" s="76"/>
      <c r="C193" s="80"/>
      <c r="D193" s="666" t="s">
        <v>76</v>
      </c>
      <c r="E193" s="95"/>
      <c r="F193" s="74"/>
      <c r="G193" s="74"/>
      <c r="H193" s="97"/>
      <c r="I193" s="53"/>
      <c r="J193" s="33"/>
    </row>
    <row r="194" spans="1:10" s="22" customFormat="1" hidden="1">
      <c r="A194" s="73"/>
      <c r="B194" s="76"/>
      <c r="C194" s="80"/>
      <c r="D194" s="921" t="s">
        <v>37</v>
      </c>
      <c r="E194" s="184"/>
      <c r="F194" s="74"/>
      <c r="G194" s="74"/>
      <c r="H194" s="97"/>
      <c r="I194" s="53"/>
      <c r="J194" s="33"/>
    </row>
    <row r="195" spans="1:10" s="22" customFormat="1" hidden="1">
      <c r="A195" s="73"/>
      <c r="B195" s="76">
        <v>5</v>
      </c>
      <c r="C195" s="80" t="s">
        <v>24</v>
      </c>
      <c r="D195" s="666" t="s">
        <v>41</v>
      </c>
      <c r="E195" s="321" t="s">
        <v>152</v>
      </c>
      <c r="F195" s="78">
        <v>735</v>
      </c>
      <c r="G195" s="74" t="s">
        <v>24</v>
      </c>
      <c r="H195" s="97">
        <f>ROUND(B195*F195,2)</f>
        <v>3675</v>
      </c>
      <c r="I195" s="53">
        <f>ROUND(B195*F195,2)</f>
        <v>3675</v>
      </c>
      <c r="J195" s="33"/>
    </row>
    <row r="196" spans="1:10" s="22" customFormat="1" hidden="1">
      <c r="A196" s="73"/>
      <c r="B196" s="76">
        <v>5</v>
      </c>
      <c r="C196" s="80" t="s">
        <v>24</v>
      </c>
      <c r="D196" s="666" t="s">
        <v>77</v>
      </c>
      <c r="E196" s="95" t="s">
        <v>153</v>
      </c>
      <c r="F196" s="74">
        <v>665</v>
      </c>
      <c r="G196" s="74" t="s">
        <v>24</v>
      </c>
      <c r="H196" s="97">
        <f>ROUND(B196*F196,2)</f>
        <v>3325</v>
      </c>
      <c r="I196" s="53">
        <f>ROUND(B196*F196,2)</f>
        <v>3325</v>
      </c>
      <c r="J196" s="33"/>
    </row>
    <row r="197" spans="1:10" s="22" customFormat="1" hidden="1">
      <c r="A197" s="73"/>
      <c r="B197" s="76">
        <v>150</v>
      </c>
      <c r="C197" s="80" t="s">
        <v>24</v>
      </c>
      <c r="D197" s="666" t="s">
        <v>42</v>
      </c>
      <c r="E197" s="767" t="s">
        <v>147</v>
      </c>
      <c r="F197" s="854">
        <v>615</v>
      </c>
      <c r="G197" s="74" t="s">
        <v>24</v>
      </c>
      <c r="H197" s="97">
        <f>ROUND(B197*F197,2)</f>
        <v>92250</v>
      </c>
      <c r="I197" s="53">
        <f>ROUND(B197*F197,2)</f>
        <v>92250</v>
      </c>
      <c r="J197" s="33"/>
    </row>
    <row r="198" spans="1:10" s="22" customFormat="1" hidden="1">
      <c r="A198" s="73"/>
      <c r="B198" s="76">
        <v>6</v>
      </c>
      <c r="C198" s="80" t="s">
        <v>24</v>
      </c>
      <c r="D198" s="666" t="s">
        <v>25</v>
      </c>
      <c r="E198" s="767" t="s">
        <v>147</v>
      </c>
      <c r="F198" s="854">
        <v>615</v>
      </c>
      <c r="G198" s="74" t="s">
        <v>24</v>
      </c>
      <c r="H198" s="97">
        <f>ROUND(B198*F198,2)</f>
        <v>3690</v>
      </c>
      <c r="I198" s="53">
        <f>ROUND(B198*F198,2)</f>
        <v>3690</v>
      </c>
      <c r="J198" s="33"/>
    </row>
    <row r="199" spans="1:10" s="22" customFormat="1" hidden="1">
      <c r="A199" s="73"/>
      <c r="B199" s="76">
        <v>6</v>
      </c>
      <c r="C199" s="80" t="s">
        <v>24</v>
      </c>
      <c r="D199" s="666" t="s">
        <v>78</v>
      </c>
      <c r="E199" s="767" t="s">
        <v>147</v>
      </c>
      <c r="F199" s="854">
        <v>615</v>
      </c>
      <c r="G199" s="74" t="s">
        <v>24</v>
      </c>
      <c r="H199" s="97">
        <f>ROUND(B199*F199,2)</f>
        <v>3690</v>
      </c>
      <c r="I199" s="53">
        <f>ROUND(B199*F199,2)</f>
        <v>3690</v>
      </c>
      <c r="J199" s="33"/>
    </row>
    <row r="200" spans="1:10" s="22" customFormat="1" hidden="1">
      <c r="A200" s="73"/>
      <c r="B200" s="76"/>
      <c r="C200" s="80"/>
      <c r="D200" s="921" t="s">
        <v>38</v>
      </c>
      <c r="E200" s="184"/>
      <c r="F200" s="74"/>
      <c r="G200" s="74"/>
      <c r="H200" s="97"/>
      <c r="I200" s="53"/>
      <c r="J200" s="33"/>
    </row>
    <row r="201" spans="1:10" s="22" customFormat="1" ht="25.5" hidden="1">
      <c r="A201" s="73"/>
      <c r="B201" s="76">
        <v>36</v>
      </c>
      <c r="C201" s="80" t="s">
        <v>43</v>
      </c>
      <c r="D201" s="666" t="s">
        <v>79</v>
      </c>
      <c r="E201" s="321" t="s">
        <v>154</v>
      </c>
      <c r="F201" s="78">
        <v>722.41</v>
      </c>
      <c r="G201" s="74" t="s">
        <v>43</v>
      </c>
      <c r="H201" s="97">
        <f>ROUND(B201*F201,2)</f>
        <v>26006.76</v>
      </c>
      <c r="I201" s="53">
        <f>ROUND(B201*F201,2)</f>
        <v>26006.76</v>
      </c>
      <c r="J201" s="33"/>
    </row>
    <row r="202" spans="1:10" s="22" customFormat="1" hidden="1">
      <c r="A202" s="73"/>
      <c r="B202" s="76">
        <v>9</v>
      </c>
      <c r="C202" s="80" t="s">
        <v>43</v>
      </c>
      <c r="D202" s="666" t="s">
        <v>80</v>
      </c>
      <c r="E202" s="95" t="s">
        <v>155</v>
      </c>
      <c r="F202" s="74">
        <v>297.87</v>
      </c>
      <c r="G202" s="74" t="s">
        <v>43</v>
      </c>
      <c r="H202" s="97">
        <f>ROUND(B202*F202,2)</f>
        <v>2680.83</v>
      </c>
      <c r="I202" s="53">
        <f>ROUND(B202*F202,2)</f>
        <v>2680.83</v>
      </c>
      <c r="J202" s="33"/>
    </row>
    <row r="203" spans="1:10" s="22" customFormat="1" hidden="1">
      <c r="A203" s="73"/>
      <c r="B203" s="76">
        <v>9</v>
      </c>
      <c r="C203" s="80" t="s">
        <v>43</v>
      </c>
      <c r="D203" s="666" t="s">
        <v>81</v>
      </c>
      <c r="E203" s="95" t="s">
        <v>156</v>
      </c>
      <c r="F203" s="74">
        <v>71</v>
      </c>
      <c r="G203" s="74" t="s">
        <v>43</v>
      </c>
      <c r="H203" s="97">
        <f>ROUND(B203*F203,2)</f>
        <v>639</v>
      </c>
      <c r="I203" s="53">
        <f>ROUND(B203*F203,2)</f>
        <v>639</v>
      </c>
      <c r="J203" s="33"/>
    </row>
    <row r="204" spans="1:10" s="22" customFormat="1" hidden="1">
      <c r="A204" s="73"/>
      <c r="B204" s="76">
        <v>5</v>
      </c>
      <c r="C204" s="80" t="s">
        <v>43</v>
      </c>
      <c r="D204" s="666" t="s">
        <v>44</v>
      </c>
      <c r="E204" s="767" t="s">
        <v>150</v>
      </c>
      <c r="F204" s="78">
        <v>830</v>
      </c>
      <c r="G204" s="74" t="s">
        <v>43</v>
      </c>
      <c r="H204" s="97">
        <f>ROUND(B204*F204,2)</f>
        <v>4150</v>
      </c>
      <c r="I204" s="53">
        <f>ROUND(B204*F204,2)</f>
        <v>4150</v>
      </c>
      <c r="J204" s="33"/>
    </row>
    <row r="205" spans="1:10" s="22" customFormat="1" hidden="1">
      <c r="A205" s="73"/>
      <c r="B205" s="76"/>
      <c r="C205" s="80"/>
      <c r="D205" s="921" t="s">
        <v>39</v>
      </c>
      <c r="E205" s="184"/>
      <c r="F205" s="74"/>
      <c r="G205" s="74"/>
      <c r="H205" s="97"/>
      <c r="I205" s="53"/>
      <c r="J205" s="33"/>
    </row>
    <row r="206" spans="1:10" s="22" customFormat="1" ht="38.25" hidden="1">
      <c r="A206" s="73"/>
      <c r="B206" s="76"/>
      <c r="C206" s="80"/>
      <c r="D206" s="666" t="s">
        <v>82</v>
      </c>
      <c r="E206" s="95"/>
      <c r="F206" s="74"/>
      <c r="G206" s="74"/>
      <c r="H206" s="97"/>
      <c r="I206" s="53"/>
      <c r="J206" s="33"/>
    </row>
    <row r="207" spans="1:10" s="22" customFormat="1" hidden="1">
      <c r="A207" s="73"/>
      <c r="B207" s="76">
        <f>ROUND(67.5*0.66,2)</f>
        <v>44.55</v>
      </c>
      <c r="C207" s="80" t="s">
        <v>10</v>
      </c>
      <c r="D207" s="323" t="s">
        <v>340</v>
      </c>
      <c r="E207" s="321"/>
      <c r="F207" s="74">
        <f>'lead 2025-26'!K12</f>
        <v>2973.9799999999982</v>
      </c>
      <c r="G207" s="74" t="s">
        <v>10</v>
      </c>
      <c r="H207" s="97">
        <f t="shared" ref="H207:H215" si="21">ROUND(B207*F207,2)</f>
        <v>132490.81</v>
      </c>
      <c r="I207" s="53">
        <f>ROUND(B207*F207,2)</f>
        <v>132490.81</v>
      </c>
      <c r="J207" s="33"/>
    </row>
    <row r="208" spans="1:10" s="22" customFormat="1" hidden="1">
      <c r="A208" s="73"/>
      <c r="B208" s="76">
        <f>ROUND(67.5*0.34,2)</f>
        <v>22.95</v>
      </c>
      <c r="C208" s="80" t="s">
        <v>10</v>
      </c>
      <c r="D208" s="323" t="s">
        <v>341</v>
      </c>
      <c r="E208" s="321"/>
      <c r="F208" s="74">
        <f>'lead 2025-26'!K13</f>
        <v>2647.7299999999982</v>
      </c>
      <c r="G208" s="74" t="s">
        <v>10</v>
      </c>
      <c r="H208" s="97">
        <f t="shared" si="21"/>
        <v>60765.4</v>
      </c>
      <c r="I208" s="53">
        <f>ROUND(B208*F208,2)</f>
        <v>60765.4</v>
      </c>
      <c r="J208" s="33"/>
    </row>
    <row r="209" spans="1:10" s="22" customFormat="1" ht="25.5" hidden="1">
      <c r="A209" s="73"/>
      <c r="B209" s="76">
        <v>33.75</v>
      </c>
      <c r="C209" s="80" t="s">
        <v>13</v>
      </c>
      <c r="D209" s="666" t="s">
        <v>83</v>
      </c>
      <c r="E209" s="95"/>
      <c r="F209" s="74">
        <f>'lead 2025-26'!K9</f>
        <v>1287.1899999999978</v>
      </c>
      <c r="G209" s="74" t="s">
        <v>13</v>
      </c>
      <c r="H209" s="97">
        <f t="shared" si="21"/>
        <v>43442.66</v>
      </c>
      <c r="I209" s="53">
        <f>ROUND(B209*F209,2)</f>
        <v>43442.66</v>
      </c>
      <c r="J209" s="33"/>
    </row>
    <row r="210" spans="1:10" s="22" customFormat="1" hidden="1">
      <c r="A210" s="73"/>
      <c r="B210" s="76">
        <v>24.75</v>
      </c>
      <c r="C210" s="80" t="s">
        <v>45</v>
      </c>
      <c r="D210" s="666" t="s">
        <v>103</v>
      </c>
      <c r="E210" s="95"/>
      <c r="F210" s="74">
        <f>'lead 2025-26'!K26</f>
        <v>4218.8</v>
      </c>
      <c r="G210" s="74" t="s">
        <v>90</v>
      </c>
      <c r="H210" s="97">
        <f t="shared" si="21"/>
        <v>104415.3</v>
      </c>
      <c r="I210" s="53">
        <f>ROUND(B210*F210,2)</f>
        <v>104415.3</v>
      </c>
      <c r="J210" s="33"/>
    </row>
    <row r="211" spans="1:10" s="22" customFormat="1" hidden="1">
      <c r="A211" s="73"/>
      <c r="B211" s="76">
        <v>485</v>
      </c>
      <c r="C211" s="80" t="s">
        <v>84</v>
      </c>
      <c r="D211" s="666" t="s">
        <v>85</v>
      </c>
      <c r="E211" s="95" t="s">
        <v>157</v>
      </c>
      <c r="F211" s="74">
        <v>15.25</v>
      </c>
      <c r="G211" s="74" t="s">
        <v>86</v>
      </c>
      <c r="H211" s="97">
        <f t="shared" si="21"/>
        <v>7396.25</v>
      </c>
      <c r="I211" s="53">
        <f>ROUND(B211*F211,2)</f>
        <v>7396.25</v>
      </c>
      <c r="J211" s="33"/>
    </row>
    <row r="212" spans="1:10" s="22" customFormat="1" hidden="1">
      <c r="A212" s="73"/>
      <c r="B212" s="76">
        <v>28.8</v>
      </c>
      <c r="C212" s="80" t="s">
        <v>87</v>
      </c>
      <c r="D212" s="666" t="s">
        <v>102</v>
      </c>
      <c r="E212" s="95" t="s">
        <v>158</v>
      </c>
      <c r="F212" s="74">
        <v>53.95</v>
      </c>
      <c r="G212" s="74" t="s">
        <v>88</v>
      </c>
      <c r="H212" s="97">
        <f t="shared" si="21"/>
        <v>1553.76</v>
      </c>
      <c r="I212" s="53"/>
      <c r="J212" s="33"/>
    </row>
    <row r="213" spans="1:10" s="22" customFormat="1" hidden="1">
      <c r="A213" s="73"/>
      <c r="B213" s="76">
        <v>122</v>
      </c>
      <c r="C213" s="80" t="s">
        <v>87</v>
      </c>
      <c r="D213" s="666" t="s">
        <v>101</v>
      </c>
      <c r="E213" s="95" t="s">
        <v>259</v>
      </c>
      <c r="F213" s="922">
        <v>86</v>
      </c>
      <c r="G213" s="74" t="s">
        <v>88</v>
      </c>
      <c r="H213" s="97">
        <f t="shared" si="21"/>
        <v>10492</v>
      </c>
      <c r="I213" s="53"/>
      <c r="J213" s="33"/>
    </row>
    <row r="214" spans="1:10" s="22" customFormat="1" hidden="1">
      <c r="A214" s="73"/>
      <c r="B214" s="76">
        <v>18</v>
      </c>
      <c r="C214" s="80" t="s">
        <v>87</v>
      </c>
      <c r="D214" s="666" t="s">
        <v>91</v>
      </c>
      <c r="E214" s="321" t="s">
        <v>151</v>
      </c>
      <c r="F214" s="74">
        <v>105</v>
      </c>
      <c r="G214" s="74" t="s">
        <v>88</v>
      </c>
      <c r="H214" s="97">
        <f t="shared" si="21"/>
        <v>1890</v>
      </c>
      <c r="I214" s="53"/>
      <c r="J214" s="33"/>
    </row>
    <row r="215" spans="1:10" s="22" customFormat="1" hidden="1">
      <c r="A215" s="73"/>
      <c r="B215" s="76">
        <v>3.57</v>
      </c>
      <c r="C215" s="80" t="s">
        <v>84</v>
      </c>
      <c r="D215" s="666" t="s">
        <v>109</v>
      </c>
      <c r="E215" s="95" t="s">
        <v>159</v>
      </c>
      <c r="F215" s="74">
        <v>574</v>
      </c>
      <c r="G215" s="74" t="s">
        <v>86</v>
      </c>
      <c r="H215" s="97">
        <f t="shared" si="21"/>
        <v>2049.1799999999998</v>
      </c>
      <c r="I215" s="53"/>
      <c r="J215" s="33"/>
    </row>
    <row r="216" spans="1:10" s="22" customFormat="1" hidden="1">
      <c r="A216" s="73"/>
      <c r="B216" s="76"/>
      <c r="C216" s="80"/>
      <c r="D216" s="666"/>
      <c r="E216" s="95"/>
      <c r="F216" s="74"/>
      <c r="G216" s="74"/>
      <c r="H216" s="98">
        <f>SUM(H195:H215)</f>
        <v>504601.95000000007</v>
      </c>
      <c r="I216" s="53" t="e">
        <f>#REF!*3%</f>
        <v>#REF!</v>
      </c>
      <c r="J216" s="33"/>
    </row>
    <row r="217" spans="1:10" s="22" customFormat="1" hidden="1">
      <c r="A217" s="73"/>
      <c r="B217" s="76"/>
      <c r="C217" s="80"/>
      <c r="D217" s="666" t="s">
        <v>827</v>
      </c>
      <c r="E217" s="95"/>
      <c r="F217" s="74"/>
      <c r="G217" s="74"/>
      <c r="H217" s="97">
        <f>ROUND(H216*3%,2)</f>
        <v>15138.06</v>
      </c>
      <c r="I217" s="53" t="e">
        <f>SUM(I216:I216)</f>
        <v>#REF!</v>
      </c>
      <c r="J217" s="33"/>
    </row>
    <row r="218" spans="1:10" s="22" customFormat="1" hidden="1">
      <c r="A218" s="73"/>
      <c r="B218" s="76"/>
      <c r="C218" s="80"/>
      <c r="D218" s="666" t="s">
        <v>89</v>
      </c>
      <c r="E218" s="95"/>
      <c r="F218" s="74"/>
      <c r="G218" s="74"/>
      <c r="H218" s="923">
        <f>H216+H217</f>
        <v>519740.01000000007</v>
      </c>
      <c r="I218" s="53" t="e">
        <f>I217/75</f>
        <v>#REF!</v>
      </c>
      <c r="J218" s="33"/>
    </row>
    <row r="219" spans="1:10" s="22" customFormat="1" hidden="1">
      <c r="A219" s="73"/>
      <c r="B219" s="76"/>
      <c r="C219" s="80"/>
      <c r="D219" s="829" t="s">
        <v>792</v>
      </c>
      <c r="E219" s="843"/>
      <c r="F219" s="839"/>
      <c r="G219" s="78"/>
      <c r="H219" s="831">
        <f>ROUND(H218*'data 2025-26'!$K$3,2)</f>
        <v>70762.600000000006</v>
      </c>
      <c r="I219" s="53"/>
      <c r="J219" s="33"/>
    </row>
    <row r="220" spans="1:10" s="22" customFormat="1" hidden="1">
      <c r="A220" s="73"/>
      <c r="B220" s="76"/>
      <c r="C220" s="80"/>
      <c r="D220" s="893" t="s">
        <v>828</v>
      </c>
      <c r="E220" s="95"/>
      <c r="F220" s="78"/>
      <c r="G220" s="78"/>
      <c r="H220" s="844">
        <f>SUM(H218:H219)</f>
        <v>590502.6100000001</v>
      </c>
      <c r="I220" s="53"/>
      <c r="J220" s="33"/>
    </row>
    <row r="221" spans="1:10" s="22" customFormat="1" ht="13.5" hidden="1" thickBot="1">
      <c r="A221" s="73"/>
      <c r="B221" s="76"/>
      <c r="C221" s="80"/>
      <c r="D221" s="666" t="s">
        <v>163</v>
      </c>
      <c r="E221" s="95"/>
      <c r="F221" s="74"/>
      <c r="G221" s="74"/>
      <c r="H221" s="845">
        <f>ROUND(H220/75,2)</f>
        <v>7873.37</v>
      </c>
      <c r="I221" s="53"/>
      <c r="J221" s="33"/>
    </row>
    <row r="222" spans="1:10" s="22" customFormat="1" ht="14.25" hidden="1" thickTop="1" thickBot="1">
      <c r="A222" s="73"/>
      <c r="B222" s="76"/>
      <c r="C222" s="80"/>
      <c r="D222" s="893" t="s">
        <v>1142</v>
      </c>
      <c r="E222" s="95"/>
      <c r="F222" s="78"/>
      <c r="G222" s="78"/>
      <c r="H222" s="845">
        <v>0</v>
      </c>
      <c r="I222" s="53"/>
      <c r="J222" s="33"/>
    </row>
    <row r="223" spans="1:10" s="22" customFormat="1" ht="14.25" hidden="1" thickTop="1" thickBot="1">
      <c r="A223" s="73"/>
      <c r="B223" s="76"/>
      <c r="C223" s="161" t="s">
        <v>56</v>
      </c>
      <c r="D223" s="666" t="s">
        <v>163</v>
      </c>
      <c r="E223" s="95"/>
      <c r="F223" s="74"/>
      <c r="G223" s="74"/>
      <c r="H223" s="845">
        <f>SUM(H221:H222)</f>
        <v>7873.37</v>
      </c>
      <c r="I223" s="53"/>
      <c r="J223" s="33"/>
    </row>
    <row r="228" spans="1:10">
      <c r="D228" s="33" t="str">
        <f>'lead 2025-26'!$G$37</f>
        <v>Deputy Executive Engineer</v>
      </c>
      <c r="E228" s="33"/>
      <c r="G228" s="33" t="str">
        <f>'lead 2025-26'!J37</f>
        <v>Assistant   Engineer</v>
      </c>
      <c r="H228" s="34"/>
      <c r="I228" s="22"/>
    </row>
    <row r="229" spans="1:10">
      <c r="D229" s="33" t="str">
        <f>'lead 2025-26'!$G$38</f>
        <v>PRI Sub Division: Kanigiri</v>
      </c>
      <c r="E229" s="33"/>
      <c r="G229" s="33" t="str">
        <f>'lead 2025-26'!J38</f>
        <v>Mandal Praja Parishad</v>
      </c>
      <c r="H229" s="34"/>
      <c r="I229" s="22"/>
    </row>
    <row r="230" spans="1:10">
      <c r="D230" s="33"/>
      <c r="E230" s="33"/>
      <c r="G230" s="33" t="str">
        <f>'lead 2025-26'!J39</f>
        <v>Pamuru</v>
      </c>
    </row>
    <row r="231" spans="1:10" s="39" customFormat="1">
      <c r="A231" s="36"/>
      <c r="B231" s="37"/>
      <c r="C231" s="38"/>
      <c r="D231" s="33"/>
      <c r="E231" s="33"/>
      <c r="F231" s="129"/>
      <c r="H231" s="37"/>
      <c r="I231" s="40"/>
      <c r="J231" s="40"/>
    </row>
  </sheetData>
  <autoFilter ref="A5:H164" xr:uid="{00000000-0009-0000-0000-00000F000000}"/>
  <mergeCells count="16">
    <mergeCell ref="B136:C136"/>
    <mergeCell ref="B148:C148"/>
    <mergeCell ref="B165:C165"/>
    <mergeCell ref="B183:C183"/>
    <mergeCell ref="B38:C38"/>
    <mergeCell ref="B55:C55"/>
    <mergeCell ref="B75:C75"/>
    <mergeCell ref="B95:C95"/>
    <mergeCell ref="B115:C115"/>
    <mergeCell ref="A1:H1"/>
    <mergeCell ref="A2:C2"/>
    <mergeCell ref="D2:H2"/>
    <mergeCell ref="G3:H3"/>
    <mergeCell ref="B27:C27"/>
    <mergeCell ref="B6:C6"/>
    <mergeCell ref="B16:C16"/>
  </mergeCells>
  <printOptions horizontalCentered="1"/>
  <pageMargins left="0.23622047244094499" right="0.15748031496063" top="0.16" bottom="0.35" header="0.16" footer="0.23622047244094499"/>
  <pageSetup paperSize="9" scale="93" orientation="portrait" errors="blank"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B0A8A-6A64-49D3-B12E-B1C77763134E}">
  <sheetPr>
    <tabColor rgb="FF00B0F0"/>
  </sheetPr>
  <dimension ref="A1:O32"/>
  <sheetViews>
    <sheetView view="pageBreakPreview" zoomScaleNormal="100" zoomScaleSheetLayoutView="100" workbookViewId="0">
      <selection activeCell="I8" sqref="I8"/>
    </sheetView>
  </sheetViews>
  <sheetFormatPr defaultRowHeight="12.75"/>
  <cols>
    <col min="7" max="7" width="10" customWidth="1"/>
  </cols>
  <sheetData>
    <row r="1" spans="1:15">
      <c r="A1" t="s">
        <v>1219</v>
      </c>
    </row>
    <row r="3" spans="1:15">
      <c r="B3" t="s">
        <v>1243</v>
      </c>
      <c r="F3" t="s">
        <v>1251</v>
      </c>
    </row>
    <row r="5" spans="1:15">
      <c r="B5" s="1072"/>
      <c r="C5" s="1072"/>
      <c r="D5" s="1073"/>
      <c r="E5" s="1073"/>
      <c r="F5" s="1074"/>
      <c r="G5" s="1074"/>
    </row>
    <row r="8" spans="1:15">
      <c r="B8" s="1074" t="s">
        <v>1222</v>
      </c>
      <c r="C8" s="1074"/>
      <c r="J8" s="1074" t="s">
        <v>1223</v>
      </c>
    </row>
    <row r="10" spans="1:15">
      <c r="B10" s="1072" t="s">
        <v>1224</v>
      </c>
      <c r="C10" s="1072">
        <v>2</v>
      </c>
      <c r="D10" s="1073">
        <v>103</v>
      </c>
      <c r="E10" s="1073">
        <v>1</v>
      </c>
      <c r="F10" s="1073"/>
      <c r="G10" s="1074">
        <f>E10*D10*C10</f>
        <v>206</v>
      </c>
      <c r="H10" s="1072" t="s">
        <v>84</v>
      </c>
      <c r="J10" s="1072" t="s">
        <v>1224</v>
      </c>
      <c r="K10" s="1073">
        <v>2530</v>
      </c>
      <c r="L10" s="1073">
        <v>7.5</v>
      </c>
      <c r="M10" s="1073"/>
      <c r="N10" s="1074">
        <f>L10*K10</f>
        <v>18975</v>
      </c>
      <c r="O10" s="1072" t="s">
        <v>84</v>
      </c>
    </row>
    <row r="11" spans="1:15">
      <c r="D11" s="1073"/>
      <c r="E11" s="1073"/>
      <c r="F11" s="1073"/>
      <c r="K11" s="1073"/>
      <c r="L11" s="1073"/>
      <c r="M11" s="1073"/>
    </row>
    <row r="12" spans="1:15">
      <c r="B12" s="1072"/>
      <c r="C12" s="1072"/>
      <c r="D12" s="1073"/>
      <c r="E12" s="1073"/>
      <c r="F12" s="1075"/>
      <c r="G12" s="1074"/>
      <c r="H12" s="1072"/>
      <c r="J12" s="1072" t="s">
        <v>1193</v>
      </c>
      <c r="K12" s="1073">
        <v>2530</v>
      </c>
      <c r="L12" s="1073">
        <v>7.5</v>
      </c>
      <c r="M12" s="1075">
        <v>0.22500000000000001</v>
      </c>
      <c r="N12" s="1074">
        <f>L12*K12*M12</f>
        <v>4269.375</v>
      </c>
      <c r="O12" s="1072" t="s">
        <v>10</v>
      </c>
    </row>
    <row r="13" spans="1:15">
      <c r="D13" s="1073"/>
      <c r="E13" s="1073"/>
      <c r="F13" s="1075"/>
      <c r="K13" s="1073"/>
      <c r="L13" s="1073"/>
      <c r="M13" s="1075"/>
    </row>
    <row r="14" spans="1:15">
      <c r="B14" s="1072" t="s">
        <v>1225</v>
      </c>
      <c r="C14" s="1072">
        <v>2</v>
      </c>
      <c r="D14" s="1073">
        <v>103</v>
      </c>
      <c r="E14" s="1073">
        <v>1</v>
      </c>
      <c r="F14" s="1075">
        <v>0.1</v>
      </c>
      <c r="G14" s="1074">
        <f>E14*D14*F14*C14</f>
        <v>20.6</v>
      </c>
      <c r="H14" s="1072" t="s">
        <v>10</v>
      </c>
      <c r="J14" s="1072" t="s">
        <v>1225</v>
      </c>
      <c r="K14" s="1073">
        <v>2530</v>
      </c>
      <c r="L14" s="1073">
        <v>4.05</v>
      </c>
      <c r="M14" s="1075">
        <v>0.2</v>
      </c>
      <c r="N14" s="1074">
        <f>L14*K14*M14</f>
        <v>2049.3000000000002</v>
      </c>
      <c r="O14" s="1072" t="s">
        <v>10</v>
      </c>
    </row>
    <row r="15" spans="1:15">
      <c r="D15" s="1073"/>
      <c r="E15" s="1073"/>
      <c r="F15" s="1075"/>
      <c r="K15" s="1073"/>
      <c r="L15" s="1073"/>
      <c r="M15" s="1075"/>
    </row>
    <row r="16" spans="1:15">
      <c r="B16" s="1072" t="s">
        <v>1226</v>
      </c>
      <c r="C16" s="1072">
        <v>2</v>
      </c>
      <c r="D16" s="1073">
        <v>103</v>
      </c>
      <c r="E16" s="1073">
        <v>0.9</v>
      </c>
      <c r="F16" s="1075">
        <v>7.4999999999999997E-2</v>
      </c>
      <c r="G16" s="1074">
        <f>E16*D16*F16*C16</f>
        <v>13.904999999999999</v>
      </c>
      <c r="H16" s="1072" t="s">
        <v>10</v>
      </c>
      <c r="J16" s="1072" t="s">
        <v>1226</v>
      </c>
      <c r="K16" s="1073">
        <f>2530-51</f>
        <v>2479</v>
      </c>
      <c r="L16" s="1073">
        <v>3.9</v>
      </c>
      <c r="M16" s="1075">
        <v>0.22500000000000001</v>
      </c>
      <c r="N16" s="1074">
        <f>L16*K16*M16</f>
        <v>2175.3225000000002</v>
      </c>
      <c r="O16" s="1072" t="s">
        <v>10</v>
      </c>
    </row>
    <row r="17" spans="1:15">
      <c r="D17" s="1073"/>
      <c r="E17" s="1073"/>
      <c r="F17" s="1075"/>
      <c r="K17" s="1073"/>
      <c r="L17" s="1073"/>
      <c r="M17" s="1075"/>
    </row>
    <row r="18" spans="1:15">
      <c r="B18" s="1072" t="s">
        <v>1227</v>
      </c>
      <c r="C18" s="1072">
        <v>1</v>
      </c>
      <c r="D18" s="1073">
        <v>103</v>
      </c>
      <c r="E18" s="1073">
        <v>4</v>
      </c>
      <c r="F18" s="1075">
        <v>0.17</v>
      </c>
      <c r="G18" s="1074">
        <f>E18*D18*F18*C18</f>
        <v>70.040000000000006</v>
      </c>
      <c r="H18" s="1072" t="s">
        <v>10</v>
      </c>
      <c r="J18" s="1072" t="s">
        <v>1228</v>
      </c>
      <c r="K18" s="1073">
        <f>2530-51</f>
        <v>2479</v>
      </c>
      <c r="L18" s="1073">
        <v>3.75</v>
      </c>
      <c r="M18" s="1073"/>
      <c r="N18" s="1074">
        <f>L18*K18</f>
        <v>9296.25</v>
      </c>
      <c r="O18" s="1072" t="s">
        <v>84</v>
      </c>
    </row>
    <row r="20" spans="1:15">
      <c r="J20" s="1072" t="s">
        <v>1229</v>
      </c>
      <c r="K20" s="1073">
        <f>2530-51</f>
        <v>2479</v>
      </c>
      <c r="L20" s="1073">
        <v>3.75</v>
      </c>
      <c r="M20" s="1073"/>
      <c r="N20" s="1074">
        <f>L20*K20</f>
        <v>9296.25</v>
      </c>
      <c r="O20" s="1072" t="s">
        <v>84</v>
      </c>
    </row>
    <row r="22" spans="1:15">
      <c r="J22" t="s">
        <v>1186</v>
      </c>
      <c r="K22" s="1073">
        <f>2530-51</f>
        <v>2479</v>
      </c>
      <c r="L22" s="1073">
        <v>3.75</v>
      </c>
      <c r="M22" s="1075">
        <v>0.05</v>
      </c>
      <c r="N22" s="1074">
        <f>L22*K22*M22</f>
        <v>464.8125</v>
      </c>
      <c r="O22" s="1072" t="s">
        <v>10</v>
      </c>
    </row>
    <row r="23" spans="1:15">
      <c r="B23" t="s">
        <v>1247</v>
      </c>
      <c r="C23" t="s">
        <v>1248</v>
      </c>
    </row>
    <row r="24" spans="1:15">
      <c r="B24" t="s">
        <v>1249</v>
      </c>
      <c r="C24" t="s">
        <v>1250</v>
      </c>
      <c r="J24" s="1072" t="s">
        <v>1229</v>
      </c>
      <c r="K24" s="1073">
        <f>2530-51</f>
        <v>2479</v>
      </c>
      <c r="L24" s="1073">
        <v>3.75</v>
      </c>
      <c r="M24" s="1073"/>
      <c r="N24" s="1074">
        <f>L24*K24</f>
        <v>9296.25</v>
      </c>
      <c r="O24" s="1072" t="s">
        <v>84</v>
      </c>
    </row>
    <row r="25" spans="1:15">
      <c r="J25" s="1072"/>
      <c r="K25" s="1073"/>
      <c r="L25" s="1073"/>
      <c r="M25" s="1073"/>
      <c r="N25" s="1074"/>
      <c r="O25" s="1072"/>
    </row>
    <row r="26" spans="1:15">
      <c r="J26" s="1072" t="s">
        <v>1230</v>
      </c>
      <c r="K26" s="1073">
        <f>2530-51</f>
        <v>2479</v>
      </c>
      <c r="L26" s="1073">
        <v>3.75</v>
      </c>
      <c r="M26" s="1075">
        <v>2.5000000000000001E-2</v>
      </c>
      <c r="N26" s="1074">
        <f>L26*K26*M26</f>
        <v>232.40625</v>
      </c>
      <c r="O26" s="1072" t="s">
        <v>10</v>
      </c>
    </row>
    <row r="28" spans="1:15" s="1076" customFormat="1" ht="38.25">
      <c r="B28" s="1077" t="s">
        <v>1231</v>
      </c>
      <c r="C28" s="1077"/>
      <c r="G28" s="1078" t="s">
        <v>755</v>
      </c>
      <c r="H28" s="1078" t="s">
        <v>1232</v>
      </c>
      <c r="I28" s="1079" t="s">
        <v>1233</v>
      </c>
      <c r="J28" s="1079" t="s">
        <v>1234</v>
      </c>
      <c r="K28" s="1079" t="s">
        <v>1235</v>
      </c>
      <c r="L28" s="1077" t="s">
        <v>1236</v>
      </c>
      <c r="N28" s="1079"/>
      <c r="O28" s="1079"/>
    </row>
    <row r="29" spans="1:15">
      <c r="A29" s="1072" t="s">
        <v>1237</v>
      </c>
      <c r="B29" s="1072" t="s">
        <v>1240</v>
      </c>
      <c r="C29" s="1072"/>
      <c r="D29" s="1072" t="s">
        <v>1244</v>
      </c>
      <c r="G29" s="1080">
        <v>20</v>
      </c>
      <c r="H29" s="1080">
        <v>0.3</v>
      </c>
      <c r="I29" s="1080">
        <v>1.4</v>
      </c>
      <c r="J29" s="1081" t="s">
        <v>1238</v>
      </c>
      <c r="K29" s="1080">
        <v>1.2</v>
      </c>
      <c r="L29" s="1072" t="s">
        <v>1239</v>
      </c>
      <c r="N29" s="1081"/>
      <c r="O29" s="1080"/>
    </row>
    <row r="30" spans="1:15">
      <c r="A30" s="1072" t="s">
        <v>1242</v>
      </c>
      <c r="B30" s="1072" t="s">
        <v>1245</v>
      </c>
      <c r="C30" s="1072"/>
      <c r="D30" s="1072" t="s">
        <v>1241</v>
      </c>
      <c r="G30" s="1080">
        <v>4.9000000000000004</v>
      </c>
      <c r="H30" s="1080">
        <v>0.3</v>
      </c>
      <c r="I30" s="1080">
        <v>1.4</v>
      </c>
      <c r="J30" s="1081" t="s">
        <v>1238</v>
      </c>
      <c r="K30" s="1080">
        <v>1.2</v>
      </c>
      <c r="L30" s="1072" t="s">
        <v>1239</v>
      </c>
      <c r="N30" s="1081"/>
      <c r="O30" s="1080"/>
    </row>
    <row r="31" spans="1:15">
      <c r="A31" s="1072" t="s">
        <v>1242</v>
      </c>
      <c r="B31" s="1072" t="s">
        <v>1246</v>
      </c>
      <c r="C31" s="1072"/>
      <c r="D31" s="1072" t="s">
        <v>1241</v>
      </c>
      <c r="G31" s="1080">
        <v>4.9000000000000004</v>
      </c>
      <c r="H31" s="1080">
        <v>0.3</v>
      </c>
      <c r="I31" s="1080">
        <v>1.4</v>
      </c>
      <c r="J31" s="1081" t="s">
        <v>1238</v>
      </c>
      <c r="K31" s="1080">
        <v>1.2</v>
      </c>
      <c r="L31" s="1072" t="s">
        <v>1239</v>
      </c>
      <c r="N31" s="1081"/>
      <c r="O31" s="1080"/>
    </row>
    <row r="32" spans="1:15">
      <c r="I32" s="277"/>
    </row>
  </sheetData>
  <pageMargins left="0.70866141732283472" right="0.70866141732283472" top="0.74803149606299213" bottom="0.74803149606299213" header="0.31496062992125984" footer="0.31496062992125984"/>
  <pageSetup paperSize="9" scale="96"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F0"/>
  </sheetPr>
  <dimension ref="A1:M238"/>
  <sheetViews>
    <sheetView view="pageBreakPreview" topLeftCell="A243" zoomScaleSheetLayoutView="100" workbookViewId="0">
      <selection activeCell="D132" sqref="D132"/>
    </sheetView>
  </sheetViews>
  <sheetFormatPr defaultRowHeight="12.75"/>
  <cols>
    <col min="1" max="1" width="5.5703125" style="975" customWidth="1"/>
    <col min="2" max="2" width="9.140625" style="975"/>
    <col min="3" max="3" width="44.7109375" style="975" customWidth="1"/>
    <col min="4" max="4" width="8.140625" style="975" bestFit="1" customWidth="1"/>
    <col min="5" max="5" width="7.7109375" style="975" bestFit="1" customWidth="1"/>
    <col min="6" max="6" width="9.5703125" style="975" bestFit="1" customWidth="1"/>
    <col min="7" max="7" width="10.85546875" style="975" bestFit="1" customWidth="1"/>
    <col min="8" max="8" width="0" style="975" hidden="1" customWidth="1"/>
    <col min="9" max="9" width="46" style="975" hidden="1" customWidth="1"/>
    <col min="10" max="10" width="8.42578125" style="975" hidden="1" customWidth="1"/>
    <col min="11" max="13" width="0" style="975" hidden="1" customWidth="1"/>
    <col min="14" max="16384" width="9.140625" style="975"/>
  </cols>
  <sheetData>
    <row r="1" spans="1:7" ht="30" customHeight="1">
      <c r="A1" s="1163" t="s">
        <v>1268</v>
      </c>
      <c r="B1" s="1163"/>
      <c r="C1" s="1163"/>
      <c r="D1" s="1163"/>
      <c r="E1" s="1163"/>
      <c r="F1" s="1163"/>
      <c r="G1" s="1163"/>
    </row>
    <row r="2" spans="1:7" ht="40.5" customHeight="1">
      <c r="A2" s="1161" t="s">
        <v>1052</v>
      </c>
      <c r="B2" s="1161"/>
      <c r="C2" s="1162" t="str">
        <f>'lead 2025-26'!C3:K3</f>
        <v>Providing BT Surface to the road from Inimerla SC colony to National Highway at Nuchupoda in Inimerla GP of Pamuru Mandal.</v>
      </c>
      <c r="D2" s="1162"/>
      <c r="E2" s="1162"/>
      <c r="F2" s="1162"/>
      <c r="G2" s="1162"/>
    </row>
    <row r="3" spans="1:7" ht="25.5">
      <c r="A3" s="976" t="s">
        <v>923</v>
      </c>
      <c r="B3" s="976" t="s">
        <v>924</v>
      </c>
      <c r="C3" s="976" t="s">
        <v>925</v>
      </c>
      <c r="D3" s="976" t="s">
        <v>3</v>
      </c>
      <c r="E3" s="976" t="s">
        <v>126</v>
      </c>
      <c r="F3" s="976" t="s">
        <v>547</v>
      </c>
      <c r="G3" s="976" t="s">
        <v>182</v>
      </c>
    </row>
    <row r="4" spans="1:7">
      <c r="A4" s="977">
        <v>1</v>
      </c>
      <c r="B4" s="976"/>
      <c r="C4" s="978">
        <v>2</v>
      </c>
      <c r="D4" s="978">
        <v>3</v>
      </c>
      <c r="E4" s="978">
        <v>4</v>
      </c>
      <c r="F4" s="978">
        <v>5</v>
      </c>
      <c r="G4" s="978">
        <v>6</v>
      </c>
    </row>
    <row r="5" spans="1:7" ht="102">
      <c r="A5" s="978">
        <v>1</v>
      </c>
      <c r="B5" s="979" t="s">
        <v>588</v>
      </c>
      <c r="C5" s="980" t="s">
        <v>1068</v>
      </c>
      <c r="D5" s="981"/>
      <c r="E5" s="981"/>
      <c r="F5" s="981"/>
      <c r="G5" s="981"/>
    </row>
    <row r="6" spans="1:7">
      <c r="A6" s="977"/>
      <c r="B6" s="979"/>
      <c r="C6" s="982" t="s">
        <v>926</v>
      </c>
      <c r="D6" s="981"/>
      <c r="E6" s="981"/>
      <c r="F6" s="981"/>
      <c r="G6" s="981"/>
    </row>
    <row r="7" spans="1:7">
      <c r="A7" s="977"/>
      <c r="B7" s="978"/>
      <c r="C7" s="983" t="s">
        <v>927</v>
      </c>
      <c r="D7" s="981"/>
      <c r="E7" s="981"/>
      <c r="F7" s="981"/>
      <c r="G7" s="981"/>
    </row>
    <row r="8" spans="1:7">
      <c r="A8" s="978"/>
      <c r="B8" s="978"/>
      <c r="C8" s="983" t="s">
        <v>929</v>
      </c>
      <c r="D8" s="981"/>
      <c r="E8" s="981"/>
      <c r="F8" s="981"/>
      <c r="G8" s="981"/>
    </row>
    <row r="9" spans="1:7">
      <c r="A9" s="977"/>
      <c r="B9" s="978"/>
      <c r="C9" s="981" t="s">
        <v>930</v>
      </c>
      <c r="D9" s="981"/>
      <c r="E9" s="981"/>
      <c r="F9" s="981"/>
      <c r="G9" s="981"/>
    </row>
    <row r="10" spans="1:7">
      <c r="A10" s="977"/>
      <c r="B10" s="978"/>
      <c r="C10" s="981" t="s">
        <v>931</v>
      </c>
      <c r="D10" s="981"/>
      <c r="E10" s="981"/>
      <c r="F10" s="981"/>
      <c r="G10" s="981"/>
    </row>
    <row r="11" spans="1:7">
      <c r="A11" s="977"/>
      <c r="B11" s="978"/>
      <c r="C11" s="983" t="s">
        <v>932</v>
      </c>
      <c r="D11" s="981"/>
      <c r="E11" s="981"/>
      <c r="F11" s="981"/>
      <c r="G11" s="981"/>
    </row>
    <row r="12" spans="1:7">
      <c r="A12" s="977"/>
      <c r="B12" s="978"/>
      <c r="C12" s="981" t="s">
        <v>421</v>
      </c>
      <c r="D12" s="981" t="s">
        <v>933</v>
      </c>
      <c r="E12" s="984">
        <v>3.64</v>
      </c>
      <c r="F12" s="984">
        <v>615</v>
      </c>
      <c r="G12" s="984">
        <f>ROUND(E12*F12,2)</f>
        <v>2238.6</v>
      </c>
    </row>
    <row r="13" spans="1:7">
      <c r="A13" s="977"/>
      <c r="B13" s="978"/>
      <c r="C13" s="983" t="s">
        <v>934</v>
      </c>
      <c r="D13" s="981"/>
      <c r="E13" s="985"/>
      <c r="F13" s="985"/>
      <c r="G13" s="986">
        <f>SUM(G12)</f>
        <v>2238.6</v>
      </c>
    </row>
    <row r="14" spans="1:7">
      <c r="A14" s="977"/>
      <c r="B14" s="978"/>
      <c r="C14" s="983" t="s">
        <v>120</v>
      </c>
      <c r="D14" s="981"/>
      <c r="E14" s="985"/>
      <c r="F14" s="985"/>
      <c r="G14" s="986">
        <f>ROUND(G13/10,2)</f>
        <v>223.86</v>
      </c>
    </row>
    <row r="15" spans="1:7" ht="102">
      <c r="A15" s="978">
        <v>2</v>
      </c>
      <c r="B15" s="979" t="s">
        <v>935</v>
      </c>
      <c r="C15" s="980" t="s">
        <v>1069</v>
      </c>
      <c r="D15" s="981"/>
      <c r="E15" s="981"/>
      <c r="F15" s="981"/>
      <c r="G15" s="981"/>
    </row>
    <row r="16" spans="1:7">
      <c r="A16" s="977"/>
      <c r="B16" s="979"/>
      <c r="C16" s="983" t="s">
        <v>936</v>
      </c>
      <c r="D16" s="981"/>
      <c r="E16" s="985"/>
      <c r="F16" s="985"/>
      <c r="G16" s="985"/>
    </row>
    <row r="17" spans="1:13">
      <c r="A17" s="977"/>
      <c r="B17" s="978"/>
      <c r="C17" s="983" t="s">
        <v>937</v>
      </c>
      <c r="D17" s="981"/>
      <c r="E17" s="985"/>
      <c r="F17" s="985"/>
      <c r="G17" s="985"/>
      <c r="H17" s="987"/>
      <c r="I17" s="987"/>
      <c r="J17" s="987"/>
      <c r="K17" s="987"/>
      <c r="L17" s="987"/>
      <c r="M17" s="987"/>
    </row>
    <row r="18" spans="1:13">
      <c r="A18" s="977"/>
      <c r="B18" s="978"/>
      <c r="C18" s="980" t="s">
        <v>40</v>
      </c>
      <c r="D18" s="988"/>
      <c r="E18" s="988"/>
      <c r="F18" s="989"/>
      <c r="G18" s="981"/>
      <c r="H18" s="987"/>
      <c r="I18" s="987"/>
      <c r="J18" s="987"/>
      <c r="K18" s="987"/>
      <c r="L18" s="987"/>
      <c r="M18" s="987"/>
    </row>
    <row r="19" spans="1:13">
      <c r="A19" s="977"/>
      <c r="B19" s="978"/>
      <c r="C19" s="990" t="s">
        <v>938</v>
      </c>
      <c r="D19" s="988"/>
      <c r="E19" s="988"/>
      <c r="F19" s="989"/>
      <c r="G19" s="981"/>
      <c r="H19" s="987"/>
      <c r="I19" s="987"/>
      <c r="J19" s="987"/>
      <c r="K19" s="987"/>
      <c r="L19" s="987"/>
      <c r="M19" s="987"/>
    </row>
    <row r="20" spans="1:13">
      <c r="A20" s="977"/>
      <c r="B20" s="978"/>
      <c r="C20" s="980" t="s">
        <v>34</v>
      </c>
      <c r="D20" s="988" t="s">
        <v>416</v>
      </c>
      <c r="E20" s="988">
        <v>0.33</v>
      </c>
      <c r="F20" s="991">
        <f>'lead 2025-26'!$K$26</f>
        <v>4218.8</v>
      </c>
      <c r="G20" s="984">
        <f t="shared" ref="G20:G29" si="0">ROUND(E20*F20,2)</f>
        <v>1392.2</v>
      </c>
      <c r="H20" s="987"/>
      <c r="I20" s="987"/>
      <c r="J20" s="987"/>
      <c r="K20" s="987"/>
      <c r="L20" s="987"/>
      <c r="M20" s="987"/>
    </row>
    <row r="21" spans="1:13">
      <c r="A21" s="977"/>
      <c r="B21" s="978"/>
      <c r="C21" s="980" t="s">
        <v>417</v>
      </c>
      <c r="D21" s="988" t="s">
        <v>13</v>
      </c>
      <c r="E21" s="988">
        <v>0.45</v>
      </c>
      <c r="F21" s="991">
        <f>'lead 2025-26'!$K$9</f>
        <v>1287.1899999999978</v>
      </c>
      <c r="G21" s="984">
        <f t="shared" si="0"/>
        <v>579.24</v>
      </c>
      <c r="H21" s="992">
        <v>40</v>
      </c>
      <c r="I21" s="993">
        <v>18</v>
      </c>
      <c r="J21" s="994"/>
      <c r="K21" s="994"/>
      <c r="L21" s="994"/>
      <c r="M21" s="994"/>
    </row>
    <row r="22" spans="1:13">
      <c r="A22" s="977"/>
      <c r="B22" s="978"/>
      <c r="C22" s="980" t="s">
        <v>428</v>
      </c>
      <c r="D22" s="988" t="s">
        <v>13</v>
      </c>
      <c r="E22" s="988">
        <v>0.54</v>
      </c>
      <c r="F22" s="991">
        <f>'lead 2025-26'!$K$12</f>
        <v>2973.9799999999982</v>
      </c>
      <c r="G22" s="984">
        <f t="shared" si="0"/>
        <v>1605.95</v>
      </c>
      <c r="H22" s="992">
        <v>50</v>
      </c>
      <c r="I22" s="993">
        <v>27</v>
      </c>
      <c r="J22" s="987"/>
      <c r="K22" s="987"/>
      <c r="L22" s="987"/>
      <c r="M22" s="987"/>
    </row>
    <row r="23" spans="1:13">
      <c r="A23" s="977"/>
      <c r="B23" s="978"/>
      <c r="C23" s="980" t="s">
        <v>431</v>
      </c>
      <c r="D23" s="988" t="s">
        <v>13</v>
      </c>
      <c r="E23" s="988">
        <v>0.36</v>
      </c>
      <c r="F23" s="991">
        <f>'lead 2025-26'!$K$13</f>
        <v>2647.7299999999982</v>
      </c>
      <c r="G23" s="984">
        <f t="shared" si="0"/>
        <v>953.18</v>
      </c>
      <c r="H23" s="992">
        <v>50</v>
      </c>
      <c r="I23" s="993">
        <v>18</v>
      </c>
      <c r="J23" s="987"/>
      <c r="K23" s="987"/>
      <c r="L23" s="987"/>
      <c r="M23" s="987"/>
    </row>
    <row r="24" spans="1:13">
      <c r="A24" s="977"/>
      <c r="B24" s="978"/>
      <c r="C24" s="990" t="s">
        <v>940</v>
      </c>
      <c r="D24" s="988"/>
      <c r="E24" s="988"/>
      <c r="F24" s="991"/>
      <c r="G24" s="995"/>
      <c r="H24" s="987"/>
      <c r="I24" s="987"/>
      <c r="J24" s="987"/>
      <c r="K24" s="987"/>
      <c r="L24" s="987"/>
      <c r="M24" s="987"/>
    </row>
    <row r="25" spans="1:13">
      <c r="A25" s="977"/>
      <c r="B25" s="978"/>
      <c r="C25" s="980" t="s">
        <v>420</v>
      </c>
      <c r="D25" s="988" t="s">
        <v>24</v>
      </c>
      <c r="E25" s="996">
        <v>0.1</v>
      </c>
      <c r="F25" s="78">
        <v>735</v>
      </c>
      <c r="G25" s="984">
        <f t="shared" si="0"/>
        <v>73.5</v>
      </c>
      <c r="H25" s="987"/>
      <c r="I25" s="987"/>
      <c r="J25" s="987"/>
      <c r="K25" s="987"/>
      <c r="L25" s="987"/>
      <c r="M25" s="987"/>
    </row>
    <row r="26" spans="1:13">
      <c r="A26" s="977"/>
      <c r="B26" s="978"/>
      <c r="C26" s="980" t="s">
        <v>421</v>
      </c>
      <c r="D26" s="988" t="s">
        <v>24</v>
      </c>
      <c r="E26" s="988">
        <v>1.39</v>
      </c>
      <c r="F26" s="854">
        <v>615</v>
      </c>
      <c r="G26" s="984">
        <f t="shared" si="0"/>
        <v>854.85</v>
      </c>
      <c r="H26" s="987"/>
      <c r="I26" s="987"/>
      <c r="J26" s="987"/>
      <c r="K26" s="987"/>
      <c r="L26" s="987"/>
      <c r="M26" s="987"/>
    </row>
    <row r="27" spans="1:13">
      <c r="A27" s="977"/>
      <c r="B27" s="978"/>
      <c r="C27" s="990" t="s">
        <v>941</v>
      </c>
      <c r="D27" s="988"/>
      <c r="E27" s="988"/>
      <c r="F27" s="991"/>
      <c r="G27" s="997"/>
      <c r="H27" s="987"/>
      <c r="I27" s="987"/>
      <c r="J27" s="987"/>
      <c r="K27" s="987"/>
      <c r="L27" s="987"/>
      <c r="M27" s="987"/>
    </row>
    <row r="28" spans="1:13">
      <c r="A28" s="977"/>
      <c r="B28" s="978"/>
      <c r="C28" s="980" t="s">
        <v>603</v>
      </c>
      <c r="D28" s="988" t="s">
        <v>13</v>
      </c>
      <c r="E28" s="996">
        <v>0.4</v>
      </c>
      <c r="F28" s="78">
        <v>722.41</v>
      </c>
      <c r="G28" s="984">
        <f t="shared" si="0"/>
        <v>288.95999999999998</v>
      </c>
      <c r="H28" s="987"/>
      <c r="I28" s="987"/>
      <c r="J28" s="987"/>
      <c r="K28" s="987"/>
      <c r="L28" s="987"/>
      <c r="M28" s="987">
        <v>305</v>
      </c>
    </row>
    <row r="29" spans="1:13">
      <c r="A29" s="977"/>
      <c r="B29" s="978"/>
      <c r="C29" s="980" t="s">
        <v>942</v>
      </c>
      <c r="D29" s="988" t="s">
        <v>13</v>
      </c>
      <c r="E29" s="996">
        <v>0.4</v>
      </c>
      <c r="F29" s="991">
        <v>1356.25</v>
      </c>
      <c r="G29" s="984">
        <f t="shared" si="0"/>
        <v>542.5</v>
      </c>
      <c r="H29" s="987"/>
      <c r="I29" s="987"/>
      <c r="J29" s="987"/>
      <c r="K29" s="987"/>
      <c r="L29" s="987"/>
      <c r="M29" s="987"/>
    </row>
    <row r="30" spans="1:13">
      <c r="A30" s="977"/>
      <c r="B30" s="978"/>
      <c r="C30" s="980"/>
      <c r="D30" s="988"/>
      <c r="E30" s="988"/>
      <c r="F30" s="991"/>
      <c r="G30" s="998">
        <f>SUM(G20:G29)</f>
        <v>6290.380000000001</v>
      </c>
      <c r="H30" s="987"/>
      <c r="I30" s="987"/>
      <c r="J30" s="987"/>
      <c r="K30" s="987"/>
      <c r="L30" s="987"/>
      <c r="M30" s="987"/>
    </row>
    <row r="31" spans="1:13">
      <c r="A31" s="977"/>
      <c r="B31" s="978"/>
      <c r="C31" s="990" t="s">
        <v>943</v>
      </c>
      <c r="D31" s="988"/>
      <c r="E31" s="999"/>
      <c r="F31" s="1000">
        <v>0.04</v>
      </c>
      <c r="G31" s="984">
        <f>ROUND(G30*F31,2)</f>
        <v>251.62</v>
      </c>
      <c r="H31" s="987"/>
      <c r="I31" s="987"/>
      <c r="J31" s="987"/>
      <c r="K31" s="987"/>
      <c r="L31" s="987"/>
      <c r="M31" s="987"/>
    </row>
    <row r="32" spans="1:13">
      <c r="A32" s="977"/>
      <c r="B32" s="978"/>
      <c r="C32" s="990" t="s">
        <v>120</v>
      </c>
      <c r="D32" s="988"/>
      <c r="E32" s="999"/>
      <c r="F32" s="989"/>
      <c r="G32" s="986">
        <f>SUM(G30:G31)</f>
        <v>6542.0000000000009</v>
      </c>
      <c r="H32" s="987"/>
      <c r="I32" s="987"/>
      <c r="J32" s="987"/>
      <c r="K32" s="987"/>
      <c r="L32" s="987"/>
      <c r="M32" s="987"/>
    </row>
    <row r="33" spans="1:9">
      <c r="A33" s="977"/>
      <c r="B33" s="977"/>
      <c r="C33" s="990"/>
      <c r="D33" s="976"/>
      <c r="E33" s="976"/>
      <c r="F33" s="989"/>
      <c r="G33" s="986"/>
      <c r="H33" s="1001"/>
      <c r="I33" s="1002"/>
    </row>
    <row r="34" spans="1:9" ht="63.75">
      <c r="A34" s="978">
        <v>3</v>
      </c>
      <c r="B34" s="1003" t="s">
        <v>944</v>
      </c>
      <c r="C34" s="980" t="s">
        <v>1070</v>
      </c>
      <c r="D34" s="988"/>
      <c r="E34" s="1004"/>
      <c r="F34" s="1005"/>
      <c r="G34" s="981"/>
      <c r="H34" s="987"/>
      <c r="I34" s="987"/>
    </row>
    <row r="35" spans="1:9" ht="38.25">
      <c r="A35" s="977"/>
      <c r="B35" s="978"/>
      <c r="C35" s="980" t="s">
        <v>945</v>
      </c>
      <c r="D35" s="988"/>
      <c r="E35" s="1004"/>
      <c r="F35" s="1005"/>
      <c r="G35" s="981"/>
      <c r="H35" s="987"/>
      <c r="I35" s="987"/>
    </row>
    <row r="36" spans="1:9" ht="38.25">
      <c r="A36" s="977"/>
      <c r="B36" s="978"/>
      <c r="C36" s="990" t="s">
        <v>1066</v>
      </c>
      <c r="D36" s="988"/>
      <c r="E36" s="1004"/>
      <c r="F36" s="1005"/>
      <c r="G36" s="981"/>
      <c r="H36" s="987"/>
      <c r="I36" s="987"/>
    </row>
    <row r="37" spans="1:9">
      <c r="A37" s="977"/>
      <c r="B37" s="978"/>
      <c r="C37" s="990" t="s">
        <v>946</v>
      </c>
      <c r="D37" s="988"/>
      <c r="E37" s="1004"/>
      <c r="F37" s="1005"/>
      <c r="G37" s="981"/>
      <c r="H37" s="987"/>
      <c r="I37" s="987"/>
    </row>
    <row r="38" spans="1:9">
      <c r="A38" s="977"/>
      <c r="B38" s="978"/>
      <c r="C38" s="980" t="s">
        <v>40</v>
      </c>
      <c r="D38" s="988"/>
      <c r="E38" s="1004"/>
      <c r="F38" s="1005"/>
      <c r="G38" s="981"/>
      <c r="H38" s="987"/>
      <c r="I38" s="987"/>
    </row>
    <row r="39" spans="1:9">
      <c r="A39" s="977"/>
      <c r="B39" s="978"/>
      <c r="C39" s="990" t="s">
        <v>426</v>
      </c>
      <c r="D39" s="988"/>
      <c r="E39" s="1004"/>
      <c r="F39" s="1005"/>
      <c r="G39" s="981"/>
      <c r="H39" s="987"/>
      <c r="I39" s="987"/>
    </row>
    <row r="40" spans="1:9">
      <c r="A40" s="977"/>
      <c r="B40" s="978"/>
      <c r="C40" s="990" t="s">
        <v>427</v>
      </c>
      <c r="D40" s="988"/>
      <c r="E40" s="1004"/>
      <c r="F40" s="1005"/>
      <c r="G40" s="981"/>
      <c r="H40" s="987"/>
      <c r="I40" s="987"/>
    </row>
    <row r="41" spans="1:9">
      <c r="A41" s="977"/>
      <c r="B41" s="978"/>
      <c r="C41" s="980" t="s">
        <v>40</v>
      </c>
      <c r="D41" s="988"/>
      <c r="E41" s="1004"/>
      <c r="F41" s="1005"/>
      <c r="G41" s="981"/>
      <c r="H41" s="987"/>
      <c r="I41" s="987"/>
    </row>
    <row r="42" spans="1:9">
      <c r="A42" s="977"/>
      <c r="B42" s="978"/>
      <c r="C42" s="990" t="s">
        <v>938</v>
      </c>
      <c r="D42" s="988"/>
      <c r="E42" s="1004"/>
      <c r="F42" s="1005"/>
      <c r="G42" s="981"/>
      <c r="H42" s="987"/>
      <c r="I42" s="987"/>
    </row>
    <row r="43" spans="1:9">
      <c r="A43" s="977"/>
      <c r="B43" s="978"/>
      <c r="C43" s="980" t="s">
        <v>34</v>
      </c>
      <c r="D43" s="988" t="s">
        <v>416</v>
      </c>
      <c r="E43" s="1004">
        <v>0.27500000000000002</v>
      </c>
      <c r="F43" s="991">
        <f>'lead 2025-26'!$K$26</f>
        <v>4218.8</v>
      </c>
      <c r="G43" s="984">
        <f t="shared" ref="G43:G52" si="1">ROUND(E43*F43,2)</f>
        <v>1160.17</v>
      </c>
      <c r="H43" s="987"/>
      <c r="I43" s="987"/>
    </row>
    <row r="44" spans="1:9">
      <c r="A44" s="977"/>
      <c r="B44" s="978"/>
      <c r="C44" s="980" t="s">
        <v>417</v>
      </c>
      <c r="D44" s="988" t="s">
        <v>13</v>
      </c>
      <c r="E44" s="1006">
        <v>0.48</v>
      </c>
      <c r="F44" s="991">
        <f>'lead 2025-26'!$K$9</f>
        <v>1287.1899999999978</v>
      </c>
      <c r="G44" s="984">
        <f t="shared" si="1"/>
        <v>617.85</v>
      </c>
      <c r="H44" s="992">
        <v>40</v>
      </c>
      <c r="I44" s="993">
        <v>19.2</v>
      </c>
    </row>
    <row r="45" spans="1:9">
      <c r="A45" s="977"/>
      <c r="B45" s="978"/>
      <c r="C45" s="980" t="s">
        <v>418</v>
      </c>
      <c r="D45" s="988" t="s">
        <v>13</v>
      </c>
      <c r="E45" s="1006">
        <v>0.48</v>
      </c>
      <c r="F45" s="991">
        <f>'lead 2025-26'!$K$16</f>
        <v>2330.2299999999982</v>
      </c>
      <c r="G45" s="984">
        <f t="shared" si="1"/>
        <v>1118.51</v>
      </c>
      <c r="H45" s="992">
        <v>50</v>
      </c>
      <c r="I45" s="993">
        <v>24</v>
      </c>
    </row>
    <row r="46" spans="1:9">
      <c r="A46" s="977"/>
      <c r="B46" s="978"/>
      <c r="C46" s="980" t="s">
        <v>428</v>
      </c>
      <c r="D46" s="988" t="s">
        <v>13</v>
      </c>
      <c r="E46" s="1006">
        <v>0.24</v>
      </c>
      <c r="F46" s="991">
        <f>'lead 2025-26'!$K$12</f>
        <v>2973.9799999999982</v>
      </c>
      <c r="G46" s="984">
        <f t="shared" si="1"/>
        <v>713.76</v>
      </c>
      <c r="H46" s="992">
        <v>50</v>
      </c>
      <c r="I46" s="993">
        <v>12</v>
      </c>
    </row>
    <row r="47" spans="1:9">
      <c r="A47" s="977"/>
      <c r="B47" s="978"/>
      <c r="C47" s="980" t="s">
        <v>939</v>
      </c>
      <c r="D47" s="988" t="s">
        <v>13</v>
      </c>
      <c r="E47" s="1006">
        <v>0.08</v>
      </c>
      <c r="F47" s="991">
        <f>'lead 2025-26'!$K$13</f>
        <v>2647.7299999999982</v>
      </c>
      <c r="G47" s="984">
        <f t="shared" si="1"/>
        <v>211.82</v>
      </c>
      <c r="H47" s="992">
        <v>50</v>
      </c>
      <c r="I47" s="993">
        <v>4</v>
      </c>
    </row>
    <row r="48" spans="1:9">
      <c r="A48" s="977"/>
      <c r="B48" s="978"/>
      <c r="C48" s="990" t="s">
        <v>940</v>
      </c>
      <c r="D48" s="988"/>
      <c r="E48" s="1004"/>
      <c r="F48" s="991"/>
      <c r="G48" s="995"/>
      <c r="H48" s="987"/>
      <c r="I48" s="987"/>
    </row>
    <row r="49" spans="1:9">
      <c r="A49" s="977"/>
      <c r="B49" s="978"/>
      <c r="C49" s="980" t="s">
        <v>420</v>
      </c>
      <c r="D49" s="988" t="s">
        <v>24</v>
      </c>
      <c r="E49" s="1006">
        <v>0.1</v>
      </c>
      <c r="F49" s="991">
        <v>710</v>
      </c>
      <c r="G49" s="984">
        <f t="shared" si="1"/>
        <v>71</v>
      </c>
      <c r="H49" s="987"/>
      <c r="I49" s="987"/>
    </row>
    <row r="50" spans="1:9">
      <c r="A50" s="977"/>
      <c r="B50" s="978"/>
      <c r="C50" s="980" t="s">
        <v>421</v>
      </c>
      <c r="D50" s="988" t="s">
        <v>24</v>
      </c>
      <c r="E50" s="1006">
        <v>1.39</v>
      </c>
      <c r="F50" s="984">
        <v>595</v>
      </c>
      <c r="G50" s="984">
        <f t="shared" si="1"/>
        <v>827.05</v>
      </c>
      <c r="H50" s="987"/>
      <c r="I50" s="987"/>
    </row>
    <row r="51" spans="1:9">
      <c r="A51" s="977"/>
      <c r="B51" s="978"/>
      <c r="C51" s="990" t="s">
        <v>941</v>
      </c>
      <c r="D51" s="988"/>
      <c r="E51" s="1006"/>
      <c r="F51" s="984"/>
      <c r="G51" s="997"/>
      <c r="H51" s="987"/>
      <c r="I51" s="987"/>
    </row>
    <row r="52" spans="1:9">
      <c r="A52" s="977"/>
      <c r="B52" s="978"/>
      <c r="C52" s="980" t="s">
        <v>603</v>
      </c>
      <c r="D52" s="988" t="s">
        <v>422</v>
      </c>
      <c r="E52" s="1006">
        <v>0.4</v>
      </c>
      <c r="F52" s="991">
        <v>708.08</v>
      </c>
      <c r="G52" s="984">
        <f t="shared" si="1"/>
        <v>283.23</v>
      </c>
      <c r="H52" s="987"/>
      <c r="I52" s="987"/>
    </row>
    <row r="53" spans="1:9">
      <c r="A53" s="977"/>
      <c r="B53" s="978"/>
      <c r="C53" s="980"/>
      <c r="D53" s="988"/>
      <c r="E53" s="1004"/>
      <c r="F53" s="989"/>
      <c r="G53" s="998">
        <f>SUM(G43:G52)</f>
        <v>5003.3899999999994</v>
      </c>
      <c r="H53" s="987"/>
      <c r="I53" s="987"/>
    </row>
    <row r="54" spans="1:9" ht="25.5">
      <c r="A54" s="977"/>
      <c r="B54" s="978"/>
      <c r="C54" s="990" t="s">
        <v>947</v>
      </c>
      <c r="D54" s="988"/>
      <c r="E54" s="999"/>
      <c r="F54" s="1000">
        <v>0.04</v>
      </c>
      <c r="G54" s="984">
        <f>ROUND(G53*F54,2)</f>
        <v>200.14</v>
      </c>
      <c r="H54" s="987"/>
      <c r="I54" s="987"/>
    </row>
    <row r="55" spans="1:9">
      <c r="A55" s="977"/>
      <c r="B55" s="978"/>
      <c r="C55" s="990"/>
      <c r="D55" s="988"/>
      <c r="E55" s="999"/>
      <c r="F55" s="989"/>
      <c r="G55" s="986">
        <f>SUM(G53:G54)</f>
        <v>5203.53</v>
      </c>
      <c r="H55" s="987"/>
      <c r="I55" s="987"/>
    </row>
    <row r="56" spans="1:9">
      <c r="A56" s="976"/>
      <c r="B56" s="988"/>
      <c r="C56" s="983" t="s">
        <v>948</v>
      </c>
      <c r="D56" s="976"/>
      <c r="E56" s="999"/>
      <c r="F56" s="1007"/>
      <c r="G56" s="984">
        <f>ROUND(G55*F56,2)</f>
        <v>0</v>
      </c>
      <c r="H56" s="992"/>
      <c r="I56" s="993"/>
    </row>
    <row r="57" spans="1:9" ht="13.5" thickBot="1">
      <c r="A57" s="977"/>
      <c r="B57" s="978"/>
      <c r="C57" s="990" t="s">
        <v>949</v>
      </c>
      <c r="D57" s="988"/>
      <c r="E57" s="1004"/>
      <c r="F57" s="989"/>
      <c r="G57" s="986">
        <f>SUM(G55:G56)</f>
        <v>5203.53</v>
      </c>
      <c r="H57" s="1001"/>
      <c r="I57" s="1008">
        <v>59.2</v>
      </c>
    </row>
    <row r="58" spans="1:9">
      <c r="A58" s="1009"/>
      <c r="B58" s="978"/>
      <c r="C58" s="990"/>
      <c r="D58" s="988"/>
      <c r="E58" s="1004"/>
      <c r="F58" s="989"/>
      <c r="G58" s="1010"/>
      <c r="H58" s="1001"/>
      <c r="I58" s="1002"/>
    </row>
    <row r="59" spans="1:9">
      <c r="A59" s="1009"/>
      <c r="B59" s="978"/>
      <c r="C59" s="990" t="s">
        <v>950</v>
      </c>
      <c r="D59" s="988"/>
      <c r="E59" s="1004"/>
      <c r="F59" s="989"/>
      <c r="G59" s="1010"/>
      <c r="H59" s="1001"/>
      <c r="I59" s="1002"/>
    </row>
    <row r="60" spans="1:9" ht="63.75">
      <c r="A60" s="1011">
        <v>4</v>
      </c>
      <c r="B60" s="1003" t="s">
        <v>951</v>
      </c>
      <c r="C60" s="980" t="s">
        <v>952</v>
      </c>
      <c r="D60" s="981"/>
      <c r="E60" s="985"/>
      <c r="F60" s="985"/>
      <c r="G60" s="1012"/>
      <c r="H60" s="987"/>
      <c r="I60" s="987"/>
    </row>
    <row r="61" spans="1:9">
      <c r="A61" s="1009"/>
      <c r="B61" s="978" t="s">
        <v>953</v>
      </c>
      <c r="C61" s="983" t="s">
        <v>954</v>
      </c>
      <c r="D61" s="981"/>
      <c r="E61" s="985"/>
      <c r="F61" s="985"/>
      <c r="G61" s="1012"/>
      <c r="H61" s="987"/>
      <c r="I61" s="987"/>
    </row>
    <row r="62" spans="1:9" ht="25.5">
      <c r="A62" s="1009"/>
      <c r="B62" s="978"/>
      <c r="C62" s="1013" t="s">
        <v>955</v>
      </c>
      <c r="D62" s="981"/>
      <c r="E62" s="985"/>
      <c r="F62" s="985"/>
      <c r="G62" s="1012"/>
      <c r="H62" s="987"/>
      <c r="I62" s="987"/>
    </row>
    <row r="63" spans="1:9">
      <c r="A63" s="1009"/>
      <c r="B63" s="978"/>
      <c r="C63" s="981" t="s">
        <v>956</v>
      </c>
      <c r="D63" s="981"/>
      <c r="E63" s="985"/>
      <c r="F63" s="985"/>
      <c r="G63" s="1012"/>
      <c r="H63" s="987"/>
      <c r="I63" s="987"/>
    </row>
    <row r="64" spans="1:9">
      <c r="A64" s="1009"/>
      <c r="B64" s="978"/>
      <c r="C64" s="983" t="s">
        <v>957</v>
      </c>
      <c r="D64" s="981"/>
      <c r="E64" s="985"/>
      <c r="F64" s="985"/>
      <c r="G64" s="1012"/>
      <c r="H64" s="987"/>
      <c r="I64" s="987"/>
    </row>
    <row r="65" spans="1:9">
      <c r="A65" s="1009"/>
      <c r="B65" s="978"/>
      <c r="C65" s="981" t="s">
        <v>958</v>
      </c>
      <c r="D65" s="981" t="s">
        <v>933</v>
      </c>
      <c r="E65" s="985"/>
      <c r="F65" s="985"/>
      <c r="G65" s="1012"/>
      <c r="H65" s="987"/>
      <c r="I65" s="987"/>
    </row>
    <row r="66" spans="1:9">
      <c r="A66" s="1009"/>
      <c r="B66" s="978"/>
      <c r="C66" s="981" t="s">
        <v>959</v>
      </c>
      <c r="D66" s="981" t="s">
        <v>933</v>
      </c>
      <c r="E66" s="985">
        <v>1.25</v>
      </c>
      <c r="F66" s="985">
        <v>795</v>
      </c>
      <c r="G66" s="1014">
        <f>ROUND(E66*F66,2)</f>
        <v>993.75</v>
      </c>
      <c r="H66" s="987"/>
      <c r="I66" s="987"/>
    </row>
    <row r="67" spans="1:9">
      <c r="A67" s="1009"/>
      <c r="B67" s="978"/>
      <c r="C67" s="981" t="s">
        <v>421</v>
      </c>
      <c r="D67" s="981" t="s">
        <v>933</v>
      </c>
      <c r="E67" s="985">
        <v>0.56999999999999995</v>
      </c>
      <c r="F67" s="984">
        <v>595</v>
      </c>
      <c r="G67" s="1014">
        <f>ROUND(E67*F67,2)</f>
        <v>339.15</v>
      </c>
      <c r="H67" s="987"/>
      <c r="I67" s="987"/>
    </row>
    <row r="68" spans="1:9">
      <c r="A68" s="1009"/>
      <c r="B68" s="978"/>
      <c r="C68" s="983" t="s">
        <v>960</v>
      </c>
      <c r="D68" s="981"/>
      <c r="E68" s="985"/>
      <c r="F68" s="985"/>
      <c r="G68" s="1012"/>
      <c r="H68" s="987"/>
      <c r="I68" s="987"/>
    </row>
    <row r="69" spans="1:9">
      <c r="A69" s="1009"/>
      <c r="B69" s="978"/>
      <c r="C69" s="981" t="s">
        <v>961</v>
      </c>
      <c r="D69" s="981" t="s">
        <v>88</v>
      </c>
      <c r="E69" s="985">
        <v>0.5</v>
      </c>
      <c r="F69" s="985">
        <v>200</v>
      </c>
      <c r="G69" s="1014">
        <f>ROUND(E69*F69,2)</f>
        <v>100</v>
      </c>
      <c r="H69" s="987"/>
      <c r="I69" s="987"/>
    </row>
    <row r="70" spans="1:9">
      <c r="A70" s="1009"/>
      <c r="B70" s="978"/>
      <c r="C70" s="981"/>
      <c r="D70" s="981"/>
      <c r="E70" s="985"/>
      <c r="F70" s="985"/>
      <c r="G70" s="1015">
        <f>SUM(G66:G69)</f>
        <v>1432.9</v>
      </c>
      <c r="H70" s="987"/>
      <c r="I70" s="987"/>
    </row>
    <row r="71" spans="1:9">
      <c r="A71" s="1009"/>
      <c r="B71" s="978"/>
      <c r="C71" s="981" t="s">
        <v>962</v>
      </c>
      <c r="D71" s="981"/>
      <c r="E71" s="985"/>
      <c r="F71" s="985"/>
      <c r="G71" s="1016">
        <f>G70</f>
        <v>1432.9</v>
      </c>
      <c r="H71" s="987"/>
      <c r="I71" s="987"/>
    </row>
    <row r="72" spans="1:9">
      <c r="A72" s="1009"/>
      <c r="B72" s="978"/>
      <c r="C72" s="983" t="s">
        <v>963</v>
      </c>
      <c r="D72" s="981"/>
      <c r="E72" s="985"/>
      <c r="F72" s="985"/>
      <c r="G72" s="1010">
        <f>ROUND(G71/1600,2)</f>
        <v>0.9</v>
      </c>
      <c r="H72" s="987"/>
      <c r="I72" s="987"/>
    </row>
    <row r="73" spans="1:9">
      <c r="A73" s="977"/>
      <c r="B73" s="978"/>
      <c r="C73" s="990" t="s">
        <v>964</v>
      </c>
      <c r="D73" s="988"/>
      <c r="E73" s="1004"/>
      <c r="F73" s="989"/>
      <c r="G73" s="986"/>
      <c r="H73" s="1001"/>
      <c r="I73" s="1002"/>
    </row>
    <row r="74" spans="1:9" ht="52.5">
      <c r="A74" s="978">
        <v>3</v>
      </c>
      <c r="B74" s="1003" t="s">
        <v>965</v>
      </c>
      <c r="C74" s="980" t="s">
        <v>966</v>
      </c>
      <c r="D74" s="981"/>
      <c r="E74" s="985"/>
      <c r="F74" s="985"/>
      <c r="G74" s="985"/>
      <c r="H74" s="987"/>
      <c r="I74" s="987"/>
    </row>
    <row r="75" spans="1:9">
      <c r="A75" s="977"/>
      <c r="B75" s="978" t="s">
        <v>928</v>
      </c>
      <c r="C75" s="981" t="s">
        <v>967</v>
      </c>
      <c r="D75" s="981"/>
      <c r="E75" s="985"/>
      <c r="F75" s="985"/>
      <c r="G75" s="985"/>
      <c r="H75" s="987"/>
      <c r="I75" s="987"/>
    </row>
    <row r="76" spans="1:9">
      <c r="A76" s="977"/>
      <c r="B76" s="978"/>
      <c r="C76" s="981" t="s">
        <v>968</v>
      </c>
      <c r="D76" s="981"/>
      <c r="E76" s="985"/>
      <c r="F76" s="985"/>
      <c r="G76" s="985"/>
      <c r="H76" s="987"/>
      <c r="I76" s="987"/>
    </row>
    <row r="77" spans="1:9">
      <c r="A77" s="977"/>
      <c r="B77" s="978"/>
      <c r="C77" s="983" t="s">
        <v>957</v>
      </c>
      <c r="D77" s="981"/>
      <c r="E77" s="985"/>
      <c r="F77" s="985"/>
      <c r="G77" s="985"/>
      <c r="H77" s="987"/>
      <c r="I77" s="987"/>
    </row>
    <row r="78" spans="1:9">
      <c r="A78" s="977"/>
      <c r="B78" s="978"/>
      <c r="C78" s="981"/>
      <c r="D78" s="981"/>
      <c r="E78" s="985"/>
      <c r="F78" s="985"/>
      <c r="G78" s="985"/>
      <c r="H78" s="987"/>
      <c r="I78" s="987"/>
    </row>
    <row r="79" spans="1:9">
      <c r="A79" s="977"/>
      <c r="B79" s="978"/>
      <c r="C79" s="981" t="s">
        <v>959</v>
      </c>
      <c r="D79" s="981" t="s">
        <v>933</v>
      </c>
      <c r="E79" s="985">
        <v>3</v>
      </c>
      <c r="F79" s="985">
        <v>820</v>
      </c>
      <c r="G79" s="984">
        <f>ROUND(E79*F79,2)</f>
        <v>2460</v>
      </c>
      <c r="H79" s="987"/>
      <c r="I79" s="987"/>
    </row>
    <row r="80" spans="1:9">
      <c r="A80" s="977"/>
      <c r="B80" s="978"/>
      <c r="C80" s="981" t="s">
        <v>421</v>
      </c>
      <c r="D80" s="981" t="s">
        <v>933</v>
      </c>
      <c r="E80" s="985">
        <v>2.2000000000000002</v>
      </c>
      <c r="F80" s="984">
        <v>615</v>
      </c>
      <c r="G80" s="984">
        <f>ROUND(E80*F80,2)</f>
        <v>1353</v>
      </c>
      <c r="H80" s="987"/>
      <c r="I80" s="987"/>
    </row>
    <row r="81" spans="1:9">
      <c r="A81" s="977"/>
      <c r="B81" s="978"/>
      <c r="C81" s="981" t="s">
        <v>960</v>
      </c>
      <c r="D81" s="981"/>
      <c r="E81" s="985"/>
      <c r="F81" s="985"/>
      <c r="G81" s="985"/>
      <c r="H81" s="987"/>
      <c r="I81" s="987"/>
    </row>
    <row r="82" spans="1:9" ht="25.5">
      <c r="A82" s="977"/>
      <c r="B82" s="978"/>
      <c r="C82" s="980" t="s">
        <v>969</v>
      </c>
      <c r="D82" s="981" t="s">
        <v>88</v>
      </c>
      <c r="E82" s="985">
        <v>3</v>
      </c>
      <c r="F82" s="985">
        <v>92.5</v>
      </c>
      <c r="G82" s="984">
        <f>ROUND(E82*F82,2)</f>
        <v>277.5</v>
      </c>
      <c r="H82" s="987"/>
      <c r="I82" s="987"/>
    </row>
    <row r="83" spans="1:9" ht="25.5">
      <c r="A83" s="977"/>
      <c r="B83" s="978"/>
      <c r="C83" s="1017" t="s">
        <v>1270</v>
      </c>
      <c r="D83" s="981" t="s">
        <v>88</v>
      </c>
      <c r="E83" s="985">
        <v>6</v>
      </c>
      <c r="F83" s="985">
        <v>205</v>
      </c>
      <c r="G83" s="984">
        <f>ROUND(E83*F83,2)</f>
        <v>1230</v>
      </c>
      <c r="H83" s="987"/>
      <c r="I83" s="987"/>
    </row>
    <row r="84" spans="1:9">
      <c r="A84" s="977"/>
      <c r="B84" s="978"/>
      <c r="C84" s="981"/>
      <c r="D84" s="981"/>
      <c r="E84" s="985"/>
      <c r="F84" s="985"/>
      <c r="G84" s="995">
        <f>SUM(G79:G83)</f>
        <v>5320.5</v>
      </c>
      <c r="H84" s="987"/>
      <c r="I84" s="987"/>
    </row>
    <row r="85" spans="1:9">
      <c r="A85" s="977"/>
      <c r="B85" s="978"/>
      <c r="C85" s="981" t="s">
        <v>1146</v>
      </c>
      <c r="D85" s="981"/>
      <c r="E85" s="985"/>
      <c r="F85" s="985"/>
      <c r="G85" s="1018">
        <f>SUM(G84)</f>
        <v>5320.5</v>
      </c>
      <c r="H85" s="987"/>
      <c r="I85" s="987"/>
    </row>
    <row r="86" spans="1:9">
      <c r="A86" s="977"/>
      <c r="B86" s="978"/>
      <c r="C86" s="981" t="s">
        <v>1145</v>
      </c>
      <c r="D86" s="981"/>
      <c r="E86" s="985"/>
      <c r="F86" s="985"/>
      <c r="G86" s="986">
        <f>ROUND(G85/40,2)</f>
        <v>133.01</v>
      </c>
      <c r="H86" s="987"/>
      <c r="I86" s="987"/>
    </row>
    <row r="87" spans="1:9">
      <c r="A87" s="977"/>
      <c r="B87" s="978"/>
      <c r="C87" s="990" t="s">
        <v>971</v>
      </c>
      <c r="D87" s="988"/>
      <c r="E87" s="1004"/>
      <c r="F87" s="989"/>
      <c r="G87" s="986"/>
      <c r="H87" s="1001"/>
      <c r="I87" s="1002"/>
    </row>
    <row r="88" spans="1:9" ht="63.75">
      <c r="A88" s="978">
        <v>6</v>
      </c>
      <c r="B88" s="1003" t="s">
        <v>972</v>
      </c>
      <c r="C88" s="980" t="s">
        <v>973</v>
      </c>
      <c r="D88" s="981"/>
      <c r="E88" s="985"/>
      <c r="F88" s="985"/>
      <c r="G88" s="985"/>
      <c r="H88" s="987"/>
      <c r="I88" s="987"/>
    </row>
    <row r="89" spans="1:9">
      <c r="A89" s="977"/>
      <c r="B89" s="978" t="s">
        <v>928</v>
      </c>
      <c r="C89" s="981" t="s">
        <v>967</v>
      </c>
      <c r="D89" s="981"/>
      <c r="E89" s="985"/>
      <c r="F89" s="985"/>
      <c r="G89" s="985"/>
      <c r="H89" s="987"/>
      <c r="I89" s="987"/>
    </row>
    <row r="90" spans="1:9">
      <c r="A90" s="977"/>
      <c r="B90" s="978"/>
      <c r="C90" s="981" t="s">
        <v>974</v>
      </c>
      <c r="D90" s="981"/>
      <c r="E90" s="985"/>
      <c r="F90" s="985"/>
      <c r="G90" s="985"/>
      <c r="H90" s="987"/>
      <c r="I90" s="987"/>
    </row>
    <row r="91" spans="1:9">
      <c r="A91" s="977"/>
      <c r="B91" s="978"/>
      <c r="C91" s="983" t="s">
        <v>957</v>
      </c>
      <c r="D91" s="981"/>
      <c r="E91" s="985"/>
      <c r="F91" s="985"/>
      <c r="G91" s="985"/>
      <c r="H91" s="987"/>
      <c r="I91" s="987"/>
    </row>
    <row r="92" spans="1:9">
      <c r="A92" s="977"/>
      <c r="B92" s="978"/>
      <c r="C92" s="981" t="s">
        <v>959</v>
      </c>
      <c r="D92" s="981" t="s">
        <v>933</v>
      </c>
      <c r="E92" s="985">
        <v>0.6</v>
      </c>
      <c r="F92" s="985">
        <v>795</v>
      </c>
      <c r="G92" s="984">
        <f>ROUND(E92*F92,2)</f>
        <v>477</v>
      </c>
      <c r="H92" s="987"/>
      <c r="I92" s="987"/>
    </row>
    <row r="93" spans="1:9">
      <c r="A93" s="977"/>
      <c r="B93" s="978"/>
      <c r="C93" s="981" t="s">
        <v>421</v>
      </c>
      <c r="D93" s="981" t="s">
        <v>933</v>
      </c>
      <c r="E93" s="985">
        <v>0.4</v>
      </c>
      <c r="F93" s="984">
        <v>595</v>
      </c>
      <c r="G93" s="984">
        <f>ROUND(E93*F93,2)</f>
        <v>238</v>
      </c>
    </row>
    <row r="94" spans="1:9">
      <c r="A94" s="977"/>
      <c r="B94" s="978"/>
      <c r="C94" s="981" t="s">
        <v>960</v>
      </c>
      <c r="D94" s="981"/>
      <c r="E94" s="985"/>
      <c r="F94" s="985"/>
      <c r="G94" s="985"/>
    </row>
    <row r="95" spans="1:9">
      <c r="A95" s="977"/>
      <c r="B95" s="978"/>
      <c r="C95" s="981" t="s">
        <v>975</v>
      </c>
      <c r="D95" s="981" t="s">
        <v>88</v>
      </c>
      <c r="E95" s="985">
        <v>0.6</v>
      </c>
      <c r="F95" s="985">
        <v>160</v>
      </c>
      <c r="G95" s="984">
        <f>ROUND(E95*F95,2)</f>
        <v>96</v>
      </c>
    </row>
    <row r="96" spans="1:9">
      <c r="A96" s="977"/>
      <c r="B96" s="978"/>
      <c r="C96" s="981" t="s">
        <v>976</v>
      </c>
      <c r="D96" s="981" t="s">
        <v>88</v>
      </c>
      <c r="E96" s="985">
        <v>1.25</v>
      </c>
      <c r="F96" s="985">
        <v>200</v>
      </c>
      <c r="G96" s="984">
        <f>ROUND(E96*F96,2)</f>
        <v>250</v>
      </c>
    </row>
    <row r="97" spans="1:7">
      <c r="A97" s="977"/>
      <c r="B97" s="978"/>
      <c r="C97" s="1017" t="s">
        <v>977</v>
      </c>
      <c r="D97" s="981"/>
      <c r="E97" s="985"/>
      <c r="F97" s="924">
        <v>0.01</v>
      </c>
      <c r="G97" s="997">
        <f>ROUND(SUM(G92:G93)*F97,2)</f>
        <v>7.15</v>
      </c>
    </row>
    <row r="98" spans="1:7">
      <c r="A98" s="977"/>
      <c r="B98" s="978"/>
      <c r="C98" s="981"/>
      <c r="D98" s="981"/>
      <c r="E98" s="985"/>
      <c r="F98" s="985"/>
      <c r="G98" s="995">
        <f>SUM(G92:G97)</f>
        <v>1068.1500000000001</v>
      </c>
    </row>
    <row r="99" spans="1:7">
      <c r="A99" s="977"/>
      <c r="B99" s="978"/>
      <c r="C99" s="981" t="s">
        <v>978</v>
      </c>
      <c r="D99" s="981"/>
      <c r="E99" s="985"/>
      <c r="F99" s="985"/>
      <c r="G99" s="1018">
        <f>G98</f>
        <v>1068.1500000000001</v>
      </c>
    </row>
    <row r="100" spans="1:7">
      <c r="A100" s="977"/>
      <c r="B100" s="978"/>
      <c r="C100" s="983" t="s">
        <v>970</v>
      </c>
      <c r="D100" s="981"/>
      <c r="E100" s="985"/>
      <c r="F100" s="985"/>
      <c r="G100" s="986">
        <f>ROUND(G99/10,2)</f>
        <v>106.82</v>
      </c>
    </row>
    <row r="101" spans="1:7">
      <c r="A101" s="977"/>
      <c r="B101" s="978"/>
      <c r="C101" s="983"/>
      <c r="D101" s="981"/>
      <c r="E101" s="985"/>
      <c r="F101" s="985"/>
      <c r="G101" s="986"/>
    </row>
    <row r="102" spans="1:7">
      <c r="A102" s="977"/>
      <c r="B102" s="978"/>
      <c r="C102" s="983" t="s">
        <v>979</v>
      </c>
      <c r="D102" s="981"/>
      <c r="E102" s="985"/>
      <c r="F102" s="985"/>
      <c r="G102" s="986"/>
    </row>
    <row r="103" spans="1:7" ht="76.5">
      <c r="A103" s="1019">
        <v>4</v>
      </c>
      <c r="B103" s="1003" t="s">
        <v>980</v>
      </c>
      <c r="C103" s="980" t="s">
        <v>1067</v>
      </c>
      <c r="D103" s="1020"/>
      <c r="E103" s="1006"/>
      <c r="F103" s="1021"/>
      <c r="G103" s="1022"/>
    </row>
    <row r="104" spans="1:7">
      <c r="A104" s="1019"/>
      <c r="B104" s="978"/>
      <c r="C104" s="980" t="s">
        <v>981</v>
      </c>
      <c r="D104" s="981"/>
      <c r="E104" s="1006"/>
      <c r="F104" s="1021"/>
      <c r="G104" s="1022"/>
    </row>
    <row r="105" spans="1:7">
      <c r="A105" s="1019"/>
      <c r="B105" s="978"/>
      <c r="C105" s="990" t="s">
        <v>938</v>
      </c>
      <c r="D105" s="981"/>
      <c r="E105" s="1006"/>
      <c r="F105" s="1021"/>
      <c r="G105" s="1022"/>
    </row>
    <row r="106" spans="1:7">
      <c r="A106" s="1019"/>
      <c r="B106" s="978"/>
      <c r="C106" s="980" t="s">
        <v>982</v>
      </c>
      <c r="D106" s="978" t="s">
        <v>416</v>
      </c>
      <c r="E106" s="1006">
        <v>1.05</v>
      </c>
      <c r="F106" s="1023">
        <f>'lead 2025-26'!K27</f>
        <v>58000</v>
      </c>
      <c r="G106" s="984">
        <f>ROUND(E106*F106,2)</f>
        <v>60900</v>
      </c>
    </row>
    <row r="107" spans="1:7">
      <c r="A107" s="1019"/>
      <c r="B107" s="978"/>
      <c r="C107" s="980" t="s">
        <v>593</v>
      </c>
      <c r="D107" s="978" t="s">
        <v>983</v>
      </c>
      <c r="E107" s="1006">
        <v>6</v>
      </c>
      <c r="F107" s="78">
        <v>70</v>
      </c>
      <c r="G107" s="984">
        <f>ROUND(E107*F107,2)</f>
        <v>420</v>
      </c>
    </row>
    <row r="108" spans="1:7" ht="25.5">
      <c r="A108" s="1019"/>
      <c r="B108" s="978"/>
      <c r="C108" s="990" t="s">
        <v>984</v>
      </c>
      <c r="D108" s="978"/>
      <c r="E108" s="1006"/>
      <c r="F108" s="1023"/>
      <c r="G108" s="995"/>
    </row>
    <row r="109" spans="1:7">
      <c r="A109" s="1019"/>
      <c r="B109" s="978"/>
      <c r="C109" s="980" t="s">
        <v>985</v>
      </c>
      <c r="D109" s="978" t="s">
        <v>24</v>
      </c>
      <c r="E109" s="1006">
        <v>10</v>
      </c>
      <c r="F109" s="78">
        <v>870</v>
      </c>
      <c r="G109" s="984">
        <f>ROUND(E109*F109,2)</f>
        <v>8700</v>
      </c>
    </row>
    <row r="110" spans="1:7">
      <c r="A110" s="988"/>
      <c r="B110" s="978"/>
      <c r="C110" s="980" t="s">
        <v>421</v>
      </c>
      <c r="D110" s="978" t="s">
        <v>24</v>
      </c>
      <c r="E110" s="1006">
        <v>10</v>
      </c>
      <c r="F110" s="660">
        <v>615</v>
      </c>
      <c r="G110" s="984">
        <f>ROUND(E110*F110,2)</f>
        <v>6150</v>
      </c>
    </row>
    <row r="111" spans="1:7">
      <c r="A111" s="1019"/>
      <c r="B111" s="978"/>
      <c r="C111" s="990" t="s">
        <v>986</v>
      </c>
      <c r="D111" s="978"/>
      <c r="E111" s="1006"/>
      <c r="F111" s="1024"/>
      <c r="G111" s="1025">
        <f>SUM(G106:G110)</f>
        <v>76170</v>
      </c>
    </row>
    <row r="112" spans="1:7">
      <c r="A112" s="1019"/>
      <c r="B112" s="978"/>
      <c r="C112" s="990" t="s">
        <v>987</v>
      </c>
      <c r="D112" s="978"/>
      <c r="E112" s="1006"/>
      <c r="F112" s="1024"/>
      <c r="G112" s="1025">
        <f>G111/1000</f>
        <v>76.17</v>
      </c>
    </row>
    <row r="113" spans="1:7">
      <c r="A113" s="977"/>
      <c r="B113" s="978" t="s">
        <v>953</v>
      </c>
      <c r="C113" s="983" t="s">
        <v>1006</v>
      </c>
      <c r="D113" s="981"/>
      <c r="E113" s="985"/>
      <c r="F113" s="985"/>
      <c r="G113" s="986"/>
    </row>
    <row r="114" spans="1:7" ht="139.5" customHeight="1">
      <c r="A114" s="1026">
        <v>5</v>
      </c>
      <c r="B114" s="1003" t="s">
        <v>988</v>
      </c>
      <c r="C114" s="980" t="s">
        <v>1071</v>
      </c>
      <c r="D114" s="1020"/>
      <c r="E114" s="1006"/>
      <c r="F114" s="1021"/>
      <c r="G114" s="1022"/>
    </row>
    <row r="115" spans="1:7">
      <c r="A115" s="1019"/>
      <c r="B115" s="978"/>
      <c r="C115" s="980" t="s">
        <v>989</v>
      </c>
      <c r="D115" s="981"/>
      <c r="E115" s="1006"/>
      <c r="F115" s="1021"/>
      <c r="G115" s="1022"/>
    </row>
    <row r="116" spans="1:7">
      <c r="A116" s="1019"/>
      <c r="B116" s="978"/>
      <c r="C116" s="980" t="s">
        <v>1007</v>
      </c>
      <c r="D116" s="981"/>
      <c r="E116" s="1006"/>
      <c r="F116" s="1021"/>
      <c r="G116" s="1022"/>
    </row>
    <row r="117" spans="1:7">
      <c r="A117" s="1019"/>
      <c r="B117" s="978"/>
      <c r="C117" s="980" t="s">
        <v>990</v>
      </c>
      <c r="D117" s="981"/>
      <c r="E117" s="1006"/>
      <c r="F117" s="1021"/>
      <c r="G117" s="1022"/>
    </row>
    <row r="118" spans="1:7">
      <c r="A118" s="1019"/>
      <c r="B118" s="978"/>
      <c r="C118" s="980" t="s">
        <v>991</v>
      </c>
      <c r="D118" s="978" t="s">
        <v>10</v>
      </c>
      <c r="E118" s="1006">
        <v>3.77</v>
      </c>
      <c r="F118" s="1023">
        <f>$G$32</f>
        <v>6542.0000000000009</v>
      </c>
      <c r="G118" s="984">
        <f>ROUND(E118*F118,2)</f>
        <v>24663.34</v>
      </c>
    </row>
    <row r="119" spans="1:7">
      <c r="A119" s="1019"/>
      <c r="B119" s="978"/>
      <c r="C119" s="980" t="s">
        <v>992</v>
      </c>
      <c r="D119" s="1022"/>
      <c r="E119" s="1022"/>
      <c r="F119" s="1022"/>
      <c r="G119" s="1022"/>
    </row>
    <row r="120" spans="1:7">
      <c r="A120" s="1019"/>
      <c r="B120" s="978"/>
      <c r="C120" s="980" t="s">
        <v>993</v>
      </c>
      <c r="D120" s="978" t="s">
        <v>983</v>
      </c>
      <c r="E120" s="1006">
        <v>26.32</v>
      </c>
      <c r="F120" s="1023">
        <f>$G$112</f>
        <v>76.17</v>
      </c>
      <c r="G120" s="984">
        <f>ROUND(E120*F120,2)</f>
        <v>2004.79</v>
      </c>
    </row>
    <row r="121" spans="1:7">
      <c r="A121" s="1019"/>
      <c r="B121" s="978"/>
      <c r="C121" s="980" t="s">
        <v>994</v>
      </c>
      <c r="D121" s="981"/>
      <c r="E121" s="1006"/>
      <c r="F121" s="1021"/>
      <c r="G121" s="1022"/>
    </row>
    <row r="122" spans="1:7">
      <c r="A122" s="1019"/>
      <c r="B122" s="978"/>
      <c r="C122" s="980" t="s">
        <v>995</v>
      </c>
      <c r="D122" s="978" t="s">
        <v>10</v>
      </c>
      <c r="E122" s="1006">
        <v>2.77</v>
      </c>
      <c r="F122" s="1023">
        <f>$G$14</f>
        <v>223.86</v>
      </c>
      <c r="G122" s="984">
        <f>ROUND(E122*F122,2)</f>
        <v>620.09</v>
      </c>
    </row>
    <row r="123" spans="1:7">
      <c r="A123" s="1019"/>
      <c r="B123" s="978"/>
      <c r="C123" s="980" t="s">
        <v>996</v>
      </c>
      <c r="D123" s="981"/>
      <c r="E123" s="1006"/>
      <c r="F123" s="1021"/>
      <c r="G123" s="1022"/>
    </row>
    <row r="124" spans="1:7">
      <c r="A124" s="1019"/>
      <c r="B124" s="978"/>
      <c r="C124" s="980" t="s">
        <v>997</v>
      </c>
      <c r="D124" s="978" t="s">
        <v>84</v>
      </c>
      <c r="E124" s="1006">
        <v>11.41</v>
      </c>
      <c r="F124" s="1023">
        <f>G86</f>
        <v>133.01</v>
      </c>
      <c r="G124" s="984">
        <f>ROUND(E124*F124,2)</f>
        <v>1517.64</v>
      </c>
    </row>
    <row r="125" spans="1:7" ht="25.5">
      <c r="A125" s="1019"/>
      <c r="B125" s="978"/>
      <c r="C125" s="980" t="s">
        <v>998</v>
      </c>
      <c r="D125" s="981"/>
      <c r="E125" s="1006"/>
      <c r="F125" s="1021"/>
      <c r="G125" s="1022"/>
    </row>
    <row r="126" spans="1:7">
      <c r="A126" s="1019"/>
      <c r="B126" s="978"/>
      <c r="C126" s="980" t="s">
        <v>999</v>
      </c>
      <c r="D126" s="988" t="s">
        <v>1000</v>
      </c>
      <c r="E126" s="1006">
        <v>1680</v>
      </c>
      <c r="F126" s="1023">
        <f>G72</f>
        <v>0.9</v>
      </c>
      <c r="G126" s="984">
        <f>ROUND(E126*F126,2)</f>
        <v>1512</v>
      </c>
    </row>
    <row r="127" spans="1:7">
      <c r="A127" s="1019"/>
      <c r="B127" s="978"/>
      <c r="C127" s="990" t="s">
        <v>1001</v>
      </c>
      <c r="D127" s="978"/>
      <c r="E127" s="1006"/>
      <c r="F127" s="1023"/>
      <c r="G127" s="995"/>
    </row>
    <row r="128" spans="1:7">
      <c r="A128" s="1019"/>
      <c r="B128" s="978"/>
      <c r="C128" s="990" t="s">
        <v>1002</v>
      </c>
      <c r="D128" s="978"/>
      <c r="E128" s="1006"/>
      <c r="F128" s="1023"/>
      <c r="G128" s="995"/>
    </row>
    <row r="129" spans="1:7">
      <c r="A129" s="1019"/>
      <c r="B129" s="978"/>
      <c r="C129" s="980" t="s">
        <v>1271</v>
      </c>
      <c r="D129" s="978" t="s">
        <v>24</v>
      </c>
      <c r="E129" s="1006">
        <v>1</v>
      </c>
      <c r="F129" s="78">
        <v>735</v>
      </c>
      <c r="G129" s="984">
        <f>ROUND(E129*F129,2)</f>
        <v>735</v>
      </c>
    </row>
    <row r="130" spans="1:7">
      <c r="A130" s="988"/>
      <c r="B130" s="978"/>
      <c r="C130" s="980" t="s">
        <v>421</v>
      </c>
      <c r="D130" s="978" t="s">
        <v>24</v>
      </c>
      <c r="E130" s="1006">
        <v>7.32</v>
      </c>
      <c r="F130" s="984">
        <v>615</v>
      </c>
      <c r="G130" s="984">
        <f>ROUND(E130*F130,2)</f>
        <v>4501.8</v>
      </c>
    </row>
    <row r="131" spans="1:7">
      <c r="A131" s="1019"/>
      <c r="B131" s="978"/>
      <c r="C131" s="990" t="s">
        <v>1004</v>
      </c>
      <c r="D131" s="978"/>
      <c r="E131" s="1006"/>
      <c r="F131" s="1023"/>
      <c r="G131" s="995"/>
    </row>
    <row r="132" spans="1:7">
      <c r="A132" s="1019"/>
      <c r="B132" s="978"/>
      <c r="C132" s="980" t="s">
        <v>1272</v>
      </c>
      <c r="D132" s="978" t="s">
        <v>422</v>
      </c>
      <c r="E132" s="1006">
        <v>6</v>
      </c>
      <c r="F132" s="1023">
        <v>541</v>
      </c>
      <c r="G132" s="984">
        <f>ROUND(E132*F132,2)</f>
        <v>3246</v>
      </c>
    </row>
    <row r="133" spans="1:7">
      <c r="A133" s="988"/>
      <c r="B133" s="978"/>
      <c r="C133" s="980"/>
      <c r="D133" s="978"/>
      <c r="E133" s="1006"/>
      <c r="F133" s="991"/>
      <c r="G133" s="995">
        <f>SUM(G118:G132)</f>
        <v>38800.660000000003</v>
      </c>
    </row>
    <row r="134" spans="1:7" ht="25.5">
      <c r="A134" s="988"/>
      <c r="B134" s="978"/>
      <c r="C134" s="1020" t="s">
        <v>948</v>
      </c>
      <c r="D134" s="978"/>
      <c r="E134" s="1006"/>
      <c r="F134" s="1007">
        <f>'data 2025-26'!$K$3</f>
        <v>0.13614999999999999</v>
      </c>
      <c r="G134" s="984">
        <f>ROUND(G133*F134,2)</f>
        <v>5282.71</v>
      </c>
    </row>
    <row r="135" spans="1:7">
      <c r="A135" s="988"/>
      <c r="B135" s="978"/>
      <c r="C135" s="983" t="s">
        <v>1008</v>
      </c>
      <c r="D135" s="978"/>
      <c r="E135" s="1006"/>
      <c r="F135" s="991"/>
      <c r="G135" s="995">
        <f>SUM(G133:G134)</f>
        <v>44083.37</v>
      </c>
    </row>
    <row r="136" spans="1:7">
      <c r="A136" s="1019"/>
      <c r="B136" s="978"/>
      <c r="C136" s="990" t="s">
        <v>1009</v>
      </c>
      <c r="D136" s="978"/>
      <c r="E136" s="1006"/>
      <c r="F136" s="1024"/>
      <c r="G136" s="1025">
        <f>ROUND(G135/14,2)</f>
        <v>3148.81</v>
      </c>
    </row>
    <row r="137" spans="1:7">
      <c r="A137" s="977"/>
      <c r="B137" s="978" t="s">
        <v>1010</v>
      </c>
      <c r="C137" s="983" t="s">
        <v>1011</v>
      </c>
      <c r="D137" s="981"/>
      <c r="E137" s="985"/>
      <c r="F137" s="985"/>
      <c r="G137" s="986"/>
    </row>
    <row r="138" spans="1:7" ht="138.75" customHeight="1">
      <c r="A138" s="1026">
        <v>6</v>
      </c>
      <c r="B138" s="1003" t="s">
        <v>988</v>
      </c>
      <c r="C138" s="980" t="s">
        <v>1072</v>
      </c>
      <c r="D138" s="1020"/>
      <c r="E138" s="1006"/>
      <c r="F138" s="1021"/>
      <c r="G138" s="1022"/>
    </row>
    <row r="139" spans="1:7">
      <c r="A139" s="1019"/>
      <c r="B139" s="978"/>
      <c r="C139" s="980" t="s">
        <v>989</v>
      </c>
      <c r="D139" s="981"/>
      <c r="E139" s="1006"/>
      <c r="F139" s="1021"/>
      <c r="G139" s="1022"/>
    </row>
    <row r="140" spans="1:7">
      <c r="A140" s="1019"/>
      <c r="B140" s="978"/>
      <c r="C140" s="980" t="s">
        <v>1012</v>
      </c>
      <c r="D140" s="981"/>
      <c r="E140" s="1006"/>
      <c r="F140" s="1021"/>
      <c r="G140" s="1022"/>
    </row>
    <row r="141" spans="1:7">
      <c r="A141" s="1019"/>
      <c r="B141" s="978"/>
      <c r="C141" s="980" t="s">
        <v>990</v>
      </c>
      <c r="D141" s="981"/>
      <c r="E141" s="1006"/>
      <c r="F141" s="1021"/>
      <c r="G141" s="1022"/>
    </row>
    <row r="142" spans="1:7">
      <c r="A142" s="1019"/>
      <c r="B142" s="978"/>
      <c r="C142" s="980" t="s">
        <v>991</v>
      </c>
      <c r="D142" s="978" t="s">
        <v>10</v>
      </c>
      <c r="E142" s="1006">
        <v>1.58</v>
      </c>
      <c r="F142" s="1023">
        <f>F118</f>
        <v>6542.0000000000009</v>
      </c>
      <c r="G142" s="984">
        <f>ROUND(E142*F142,2)</f>
        <v>10336.36</v>
      </c>
    </row>
    <row r="143" spans="1:7">
      <c r="A143" s="1019"/>
      <c r="B143" s="978"/>
      <c r="C143" s="980" t="s">
        <v>992</v>
      </c>
      <c r="D143" s="1022"/>
      <c r="E143" s="1022"/>
      <c r="F143" s="1022"/>
      <c r="G143" s="1022"/>
    </row>
    <row r="144" spans="1:7">
      <c r="A144" s="1019"/>
      <c r="B144" s="978"/>
      <c r="C144" s="980" t="s">
        <v>993</v>
      </c>
      <c r="D144" s="978" t="s">
        <v>983</v>
      </c>
      <c r="E144" s="1006">
        <v>66</v>
      </c>
      <c r="F144" s="1023">
        <f>F120</f>
        <v>76.17</v>
      </c>
      <c r="G144" s="984">
        <f>ROUND(E144*F144,2)</f>
        <v>5027.22</v>
      </c>
    </row>
    <row r="145" spans="1:7">
      <c r="A145" s="1019"/>
      <c r="B145" s="978"/>
      <c r="C145" s="980" t="s">
        <v>994</v>
      </c>
      <c r="D145" s="981"/>
      <c r="E145" s="1006"/>
      <c r="F145" s="1021"/>
      <c r="G145" s="1022"/>
    </row>
    <row r="146" spans="1:7">
      <c r="A146" s="1019"/>
      <c r="B146" s="978"/>
      <c r="C146" s="980" t="s">
        <v>995</v>
      </c>
      <c r="D146" s="978" t="s">
        <v>10</v>
      </c>
      <c r="E146" s="1006">
        <v>1.39</v>
      </c>
      <c r="F146" s="1023">
        <f>F122</f>
        <v>223.86</v>
      </c>
      <c r="G146" s="984">
        <f>ROUND(E146*F146,2)</f>
        <v>311.17</v>
      </c>
    </row>
    <row r="147" spans="1:7">
      <c r="A147" s="1019"/>
      <c r="B147" s="978"/>
      <c r="C147" s="980" t="s">
        <v>996</v>
      </c>
      <c r="D147" s="981"/>
      <c r="E147" s="1006"/>
      <c r="F147" s="1021"/>
      <c r="G147" s="1022"/>
    </row>
    <row r="148" spans="1:7">
      <c r="A148" s="1019"/>
      <c r="B148" s="978"/>
      <c r="C148" s="980" t="s">
        <v>997</v>
      </c>
      <c r="D148" s="978" t="s">
        <v>84</v>
      </c>
      <c r="E148" s="1006">
        <v>6.27</v>
      </c>
      <c r="F148" s="1023">
        <f>F124</f>
        <v>133.01</v>
      </c>
      <c r="G148" s="984">
        <f>ROUND(E148*F148,2)</f>
        <v>833.97</v>
      </c>
    </row>
    <row r="149" spans="1:7" ht="25.5">
      <c r="A149" s="1019"/>
      <c r="B149" s="978"/>
      <c r="C149" s="980" t="s">
        <v>998</v>
      </c>
      <c r="D149" s="981"/>
      <c r="E149" s="1006"/>
      <c r="F149" s="1021"/>
      <c r="G149" s="1022"/>
    </row>
    <row r="150" spans="1:7">
      <c r="A150" s="1019"/>
      <c r="B150" s="978"/>
      <c r="C150" s="980" t="s">
        <v>999</v>
      </c>
      <c r="D150" s="988" t="s">
        <v>1000</v>
      </c>
      <c r="E150" s="1006">
        <v>330</v>
      </c>
      <c r="F150" s="1023">
        <f>F126</f>
        <v>0.9</v>
      </c>
      <c r="G150" s="984">
        <f>ROUND(E150*F150,2)</f>
        <v>297</v>
      </c>
    </row>
    <row r="151" spans="1:7">
      <c r="A151" s="1019"/>
      <c r="B151" s="978"/>
      <c r="C151" s="990" t="s">
        <v>1001</v>
      </c>
      <c r="D151" s="978"/>
      <c r="E151" s="1006"/>
      <c r="F151" s="1023"/>
      <c r="G151" s="995"/>
    </row>
    <row r="152" spans="1:7">
      <c r="A152" s="1019"/>
      <c r="B152" s="978"/>
      <c r="C152" s="990" t="s">
        <v>1002</v>
      </c>
      <c r="D152" s="978"/>
      <c r="E152" s="1006"/>
      <c r="F152" s="1023"/>
      <c r="G152" s="995"/>
    </row>
    <row r="153" spans="1:7">
      <c r="A153" s="1019"/>
      <c r="B153" s="978"/>
      <c r="C153" s="980" t="s">
        <v>1003</v>
      </c>
      <c r="D153" s="978" t="s">
        <v>24</v>
      </c>
      <c r="E153" s="1006">
        <v>1.5</v>
      </c>
      <c r="F153" s="78">
        <v>735</v>
      </c>
      <c r="G153" s="984">
        <f>ROUND(E153*F153,2)</f>
        <v>1102.5</v>
      </c>
    </row>
    <row r="154" spans="1:7">
      <c r="A154" s="988"/>
      <c r="B154" s="978"/>
      <c r="C154" s="980" t="s">
        <v>421</v>
      </c>
      <c r="D154" s="978" t="s">
        <v>24</v>
      </c>
      <c r="E154" s="1006">
        <v>7.34</v>
      </c>
      <c r="F154" s="984">
        <v>615</v>
      </c>
      <c r="G154" s="984">
        <f>ROUND(E154*F154,2)</f>
        <v>4514.1000000000004</v>
      </c>
    </row>
    <row r="155" spans="1:7">
      <c r="A155" s="1019"/>
      <c r="B155" s="978"/>
      <c r="C155" s="990" t="s">
        <v>1004</v>
      </c>
      <c r="D155" s="978"/>
      <c r="E155" s="1006"/>
      <c r="F155" s="1023"/>
      <c r="G155" s="995"/>
    </row>
    <row r="156" spans="1:7">
      <c r="A156" s="1019"/>
      <c r="B156" s="978"/>
      <c r="C156" s="980" t="s">
        <v>1005</v>
      </c>
      <c r="D156" s="978" t="s">
        <v>422</v>
      </c>
      <c r="E156" s="1006">
        <v>6</v>
      </c>
      <c r="F156" s="1023">
        <v>541</v>
      </c>
      <c r="G156" s="984">
        <f>ROUND(E156*F156,2)</f>
        <v>3246</v>
      </c>
    </row>
    <row r="157" spans="1:7">
      <c r="A157" s="988"/>
      <c r="B157" s="978"/>
      <c r="C157" s="980"/>
      <c r="D157" s="978"/>
      <c r="E157" s="1006"/>
      <c r="F157" s="991"/>
      <c r="G157" s="995">
        <f>SUM(G142:G156)</f>
        <v>25668.32</v>
      </c>
    </row>
    <row r="158" spans="1:7" ht="14.25" customHeight="1">
      <c r="A158" s="988"/>
      <c r="B158" s="978"/>
      <c r="C158" s="1020" t="s">
        <v>948</v>
      </c>
      <c r="D158" s="978"/>
      <c r="E158" s="1006"/>
      <c r="F158" s="1007">
        <f>'data 2025-26'!$K$3</f>
        <v>0.13614999999999999</v>
      </c>
      <c r="G158" s="984">
        <f>ROUND(G157*F158,2)</f>
        <v>3494.74</v>
      </c>
    </row>
    <row r="159" spans="1:7">
      <c r="A159" s="988"/>
      <c r="B159" s="978"/>
      <c r="C159" s="983" t="s">
        <v>1013</v>
      </c>
      <c r="D159" s="978"/>
      <c r="E159" s="1006"/>
      <c r="F159" s="991"/>
      <c r="G159" s="995">
        <f>SUM(G157:G158)</f>
        <v>29163.059999999998</v>
      </c>
    </row>
    <row r="160" spans="1:7">
      <c r="A160" s="1019"/>
      <c r="B160" s="978"/>
      <c r="C160" s="990" t="s">
        <v>1014</v>
      </c>
      <c r="D160" s="978"/>
      <c r="E160" s="1006"/>
      <c r="F160" s="1024"/>
      <c r="G160" s="1025">
        <f>ROUND(G159/33,2)</f>
        <v>883.73</v>
      </c>
    </row>
    <row r="161" spans="1:7" hidden="1">
      <c r="A161" s="977"/>
      <c r="B161" s="978" t="s">
        <v>21</v>
      </c>
      <c r="C161" s="983" t="s">
        <v>1028</v>
      </c>
      <c r="D161" s="981"/>
      <c r="E161" s="985"/>
      <c r="F161" s="985"/>
      <c r="G161" s="986"/>
    </row>
    <row r="162" spans="1:7" ht="216.75" hidden="1" customHeight="1">
      <c r="A162" s="1026">
        <v>10</v>
      </c>
      <c r="B162" s="1003" t="s">
        <v>1016</v>
      </c>
      <c r="C162" s="980" t="s">
        <v>1073</v>
      </c>
      <c r="D162" s="1020"/>
      <c r="E162" s="1006"/>
      <c r="F162" s="1021"/>
      <c r="G162" s="1022"/>
    </row>
    <row r="163" spans="1:7" hidden="1">
      <c r="A163" s="1019"/>
      <c r="B163" s="978"/>
      <c r="C163" s="913" t="s">
        <v>1029</v>
      </c>
      <c r="D163" s="912"/>
      <c r="E163" s="912"/>
      <c r="F163" s="912"/>
      <c r="G163" s="1027"/>
    </row>
    <row r="164" spans="1:7" hidden="1">
      <c r="A164" s="1019"/>
      <c r="B164" s="978"/>
      <c r="C164" s="913" t="s">
        <v>1030</v>
      </c>
      <c r="D164" s="912" t="s">
        <v>13</v>
      </c>
      <c r="E164" s="912">
        <v>0.126</v>
      </c>
      <c r="F164" s="1023">
        <f>$F$146</f>
        <v>223.86</v>
      </c>
      <c r="G164" s="984">
        <f>ROUND(E164*F164,2)</f>
        <v>28.21</v>
      </c>
    </row>
    <row r="165" spans="1:7" hidden="1">
      <c r="A165" s="1019"/>
      <c r="B165" s="978"/>
      <c r="C165" s="913" t="s">
        <v>1031</v>
      </c>
      <c r="D165" s="912" t="s">
        <v>13</v>
      </c>
      <c r="E165" s="912">
        <v>0.126</v>
      </c>
      <c r="F165" s="1023">
        <f>$G$57</f>
        <v>5203.53</v>
      </c>
      <c r="G165" s="984">
        <f>ROUND(E165*F165,2)</f>
        <v>655.64</v>
      </c>
    </row>
    <row r="166" spans="1:7" ht="25.5" hidden="1">
      <c r="A166" s="1019"/>
      <c r="B166" s="978"/>
      <c r="C166" s="913" t="s">
        <v>1032</v>
      </c>
      <c r="D166" s="912" t="s">
        <v>1033</v>
      </c>
      <c r="E166" s="1028">
        <v>0.46</v>
      </c>
      <c r="F166" s="1023">
        <f>$G$100</f>
        <v>106.82</v>
      </c>
      <c r="G166" s="984">
        <f>ROUND(E166*F166,2)</f>
        <v>49.14</v>
      </c>
    </row>
    <row r="167" spans="1:7" hidden="1">
      <c r="A167" s="1019"/>
      <c r="B167" s="978"/>
      <c r="C167" s="1029" t="s">
        <v>37</v>
      </c>
      <c r="D167" s="912"/>
      <c r="E167" s="912"/>
      <c r="F167" s="1030"/>
      <c r="G167" s="1031"/>
    </row>
    <row r="168" spans="1:7" hidden="1">
      <c r="A168" s="1019"/>
      <c r="B168" s="978"/>
      <c r="C168" s="913" t="s">
        <v>114</v>
      </c>
      <c r="D168" s="912" t="s">
        <v>24</v>
      </c>
      <c r="E168" s="912">
        <v>0.26</v>
      </c>
      <c r="F168" s="984">
        <v>615</v>
      </c>
      <c r="G168" s="984">
        <f>ROUND(E168*F168,2)</f>
        <v>159.9</v>
      </c>
    </row>
    <row r="169" spans="1:7" hidden="1">
      <c r="A169" s="1019"/>
      <c r="B169" s="978"/>
      <c r="C169" s="1029" t="s">
        <v>39</v>
      </c>
      <c r="D169" s="912"/>
      <c r="E169" s="912"/>
      <c r="F169" s="1030"/>
      <c r="G169" s="1027"/>
    </row>
    <row r="170" spans="1:7" hidden="1">
      <c r="A170" s="1019"/>
      <c r="B170" s="978"/>
      <c r="C170" s="913" t="s">
        <v>1065</v>
      </c>
      <c r="D170" s="912"/>
      <c r="E170" s="912"/>
      <c r="F170" s="1030"/>
      <c r="G170" s="1027"/>
    </row>
    <row r="171" spans="1:7" ht="25.5" hidden="1">
      <c r="A171" s="1019"/>
      <c r="B171" s="978"/>
      <c r="C171" s="913" t="s">
        <v>1273</v>
      </c>
      <c r="D171" s="912" t="s">
        <v>983</v>
      </c>
      <c r="E171" s="1028">
        <v>12.4</v>
      </c>
      <c r="F171" s="1030">
        <v>88</v>
      </c>
      <c r="G171" s="984">
        <f>ROUND(E171*F171/1,2)</f>
        <v>1091.2</v>
      </c>
    </row>
    <row r="172" spans="1:7" ht="25.5" hidden="1">
      <c r="A172" s="988"/>
      <c r="B172" s="978"/>
      <c r="C172" s="913" t="s">
        <v>1034</v>
      </c>
      <c r="D172" s="912" t="s">
        <v>983</v>
      </c>
      <c r="E172" s="912">
        <v>1.06</v>
      </c>
      <c r="F172" s="1030">
        <f>F171</f>
        <v>88</v>
      </c>
      <c r="G172" s="984">
        <f>ROUND(E172*F172/1,2)</f>
        <v>93.28</v>
      </c>
    </row>
    <row r="173" spans="1:7" ht="27" hidden="1" customHeight="1">
      <c r="A173" s="988"/>
      <c r="B173" s="978"/>
      <c r="C173" s="1032" t="s">
        <v>1035</v>
      </c>
      <c r="D173" s="912"/>
      <c r="E173" s="912"/>
      <c r="F173" s="925">
        <v>0.03</v>
      </c>
      <c r="G173" s="1031">
        <f>SUM(G171:G172)*F173</f>
        <v>35.534399999999998</v>
      </c>
    </row>
    <row r="174" spans="1:7" hidden="1">
      <c r="A174" s="988"/>
      <c r="B174" s="978"/>
      <c r="C174" s="913"/>
      <c r="D174" s="912"/>
      <c r="E174" s="912"/>
      <c r="F174" s="1030"/>
      <c r="G174" s="1033">
        <f>SUM(G164:G173)</f>
        <v>2112.9044000000004</v>
      </c>
    </row>
    <row r="175" spans="1:7" ht="51" hidden="1" customHeight="1">
      <c r="A175" s="1019"/>
      <c r="B175" s="978"/>
      <c r="C175" s="1032" t="s">
        <v>1036</v>
      </c>
      <c r="D175" s="912"/>
      <c r="E175" s="912"/>
      <c r="F175" s="1030"/>
      <c r="G175" s="1027"/>
    </row>
    <row r="176" spans="1:7" hidden="1">
      <c r="A176" s="1019"/>
      <c r="B176" s="978">
        <v>1</v>
      </c>
      <c r="C176" s="1034" t="s">
        <v>1037</v>
      </c>
      <c r="D176" s="912"/>
      <c r="E176" s="912"/>
      <c r="F176" s="1030"/>
      <c r="G176" s="1027"/>
    </row>
    <row r="177" spans="1:9" hidden="1">
      <c r="A177" s="1019"/>
      <c r="B177" s="978"/>
      <c r="C177" s="913" t="s">
        <v>1037</v>
      </c>
      <c r="D177" s="912" t="s">
        <v>1033</v>
      </c>
      <c r="E177" s="1028"/>
      <c r="F177" s="1030"/>
      <c r="G177" s="1027"/>
    </row>
    <row r="178" spans="1:9" hidden="1">
      <c r="A178" s="1019"/>
      <c r="B178" s="978"/>
      <c r="C178" s="913" t="s">
        <v>1038</v>
      </c>
      <c r="D178" s="912" t="s">
        <v>983</v>
      </c>
      <c r="E178" s="912">
        <v>1.84</v>
      </c>
      <c r="F178" s="1030">
        <f>F172</f>
        <v>88</v>
      </c>
      <c r="G178" s="984">
        <f>ROUND(E178*F178/1,2)</f>
        <v>161.91999999999999</v>
      </c>
    </row>
    <row r="179" spans="1:9" ht="27" hidden="1" customHeight="1">
      <c r="A179" s="1019"/>
      <c r="B179" s="978"/>
      <c r="C179" s="1032" t="s">
        <v>1035</v>
      </c>
      <c r="D179" s="912"/>
      <c r="E179" s="912"/>
      <c r="F179" s="925">
        <v>0.03</v>
      </c>
      <c r="G179" s="1031">
        <f>SUM(G178)*F179</f>
        <v>4.8575999999999997</v>
      </c>
    </row>
    <row r="180" spans="1:9" hidden="1">
      <c r="A180" s="1019"/>
      <c r="B180" s="978"/>
      <c r="C180" s="1029" t="s">
        <v>38</v>
      </c>
      <c r="D180" s="912"/>
      <c r="E180" s="912"/>
      <c r="F180" s="1030"/>
      <c r="G180" s="1027"/>
    </row>
    <row r="181" spans="1:9" hidden="1">
      <c r="A181" s="1019"/>
      <c r="B181" s="978"/>
      <c r="C181" s="913" t="s">
        <v>1039</v>
      </c>
      <c r="D181" s="912" t="s">
        <v>422</v>
      </c>
      <c r="E181" s="912">
        <v>0.08</v>
      </c>
      <c r="F181" s="1023">
        <v>541</v>
      </c>
      <c r="G181" s="1031">
        <v>29.73</v>
      </c>
      <c r="H181" s="1035"/>
      <c r="I181" s="1035"/>
    </row>
    <row r="182" spans="1:9" hidden="1">
      <c r="A182" s="981"/>
      <c r="B182" s="981"/>
      <c r="C182" s="1029" t="s">
        <v>1040</v>
      </c>
      <c r="D182" s="912"/>
      <c r="E182" s="912"/>
      <c r="F182" s="1030"/>
      <c r="G182" s="1033">
        <f>SUM(G174:G181)</f>
        <v>2309.4120000000003</v>
      </c>
      <c r="H182" s="987"/>
      <c r="I182" s="987"/>
    </row>
    <row r="183" spans="1:9" ht="15" hidden="1" customHeight="1">
      <c r="A183" s="1019"/>
      <c r="B183" s="978"/>
      <c r="C183" s="1020" t="s">
        <v>948</v>
      </c>
      <c r="D183" s="978"/>
      <c r="E183" s="1006"/>
      <c r="F183" s="1007">
        <f>'data 2025-26'!$K$3</f>
        <v>0.13614999999999999</v>
      </c>
      <c r="G183" s="984">
        <f>ROUND(G182*F183,2)</f>
        <v>314.43</v>
      </c>
      <c r="H183" s="1035"/>
      <c r="I183" s="1035"/>
    </row>
    <row r="184" spans="1:9" hidden="1">
      <c r="A184" s="988"/>
      <c r="B184" s="978"/>
      <c r="C184" s="1029" t="s">
        <v>1041</v>
      </c>
      <c r="D184" s="912"/>
      <c r="E184" s="912"/>
      <c r="F184" s="1030"/>
      <c r="G184" s="1036">
        <f>SUM(G182:G183)</f>
        <v>2623.8420000000001</v>
      </c>
      <c r="H184" s="1037"/>
      <c r="I184" s="1037"/>
    </row>
    <row r="185" spans="1:9" hidden="1">
      <c r="A185" s="977"/>
      <c r="B185" s="978" t="s">
        <v>679</v>
      </c>
      <c r="C185" s="983" t="s">
        <v>1015</v>
      </c>
      <c r="D185" s="981"/>
      <c r="E185" s="985"/>
      <c r="F185" s="985"/>
      <c r="G185" s="986"/>
    </row>
    <row r="186" spans="1:9" ht="153.75" hidden="1" customHeight="1">
      <c r="A186" s="1026">
        <v>11</v>
      </c>
      <c r="B186" s="1003" t="s">
        <v>1042</v>
      </c>
      <c r="C186" s="980" t="s">
        <v>1074</v>
      </c>
      <c r="D186" s="1020"/>
      <c r="E186" s="1006"/>
      <c r="F186" s="1021"/>
      <c r="G186" s="1022"/>
    </row>
    <row r="187" spans="1:9" hidden="1">
      <c r="A187" s="1019"/>
      <c r="B187" s="978"/>
      <c r="C187" s="980" t="s">
        <v>989</v>
      </c>
      <c r="D187" s="981"/>
      <c r="E187" s="1006"/>
      <c r="F187" s="1021"/>
      <c r="G187" s="1022"/>
    </row>
    <row r="188" spans="1:9" hidden="1">
      <c r="A188" s="1019"/>
      <c r="B188" s="978"/>
      <c r="C188" s="980" t="s">
        <v>1043</v>
      </c>
      <c r="D188" s="981"/>
      <c r="E188" s="1006"/>
      <c r="F188" s="1021"/>
      <c r="G188" s="1022"/>
      <c r="H188" s="1035"/>
      <c r="I188" s="1035"/>
    </row>
    <row r="189" spans="1:9" hidden="1">
      <c r="A189" s="1019"/>
      <c r="B189" s="978"/>
      <c r="C189" s="990" t="s">
        <v>1017</v>
      </c>
      <c r="D189" s="981"/>
      <c r="E189" s="1006"/>
      <c r="F189" s="1021"/>
      <c r="G189" s="1022"/>
      <c r="H189" s="1035"/>
      <c r="I189" s="1035"/>
    </row>
    <row r="190" spans="1:9" hidden="1">
      <c r="A190" s="1019"/>
      <c r="B190" s="978"/>
      <c r="C190" s="980" t="s">
        <v>995</v>
      </c>
      <c r="D190" s="978" t="s">
        <v>10</v>
      </c>
      <c r="E190" s="1004">
        <v>0.126</v>
      </c>
      <c r="F190" s="1023">
        <f>$F$146</f>
        <v>223.86</v>
      </c>
      <c r="G190" s="984">
        <f>ROUND(E190*F190,2)</f>
        <v>28.21</v>
      </c>
      <c r="H190" s="1035"/>
      <c r="I190" s="1035" t="s">
        <v>1044</v>
      </c>
    </row>
    <row r="191" spans="1:9" hidden="1">
      <c r="A191" s="1019"/>
      <c r="B191" s="978"/>
      <c r="C191" s="990" t="s">
        <v>1018</v>
      </c>
      <c r="D191" s="981"/>
      <c r="E191" s="1004"/>
      <c r="F191" s="1021"/>
      <c r="G191" s="1022"/>
      <c r="H191" s="1035"/>
      <c r="I191" s="1035"/>
    </row>
    <row r="192" spans="1:9" hidden="1">
      <c r="A192" s="1019"/>
      <c r="B192" s="978"/>
      <c r="C192" s="980" t="s">
        <v>1019</v>
      </c>
      <c r="D192" s="978" t="s">
        <v>84</v>
      </c>
      <c r="E192" s="1004">
        <v>0.126</v>
      </c>
      <c r="F192" s="1023">
        <f>$G$57</f>
        <v>5203.53</v>
      </c>
      <c r="G192" s="984">
        <f>ROUND(E192*F192,2)</f>
        <v>655.64</v>
      </c>
      <c r="H192" s="1035"/>
      <c r="I192" s="1035" t="s">
        <v>1044</v>
      </c>
    </row>
    <row r="193" spans="1:9" ht="25.5" hidden="1">
      <c r="A193" s="1019"/>
      <c r="B193" s="978"/>
      <c r="C193" s="990" t="s">
        <v>1020</v>
      </c>
      <c r="D193" s="981"/>
      <c r="E193" s="1006"/>
      <c r="F193" s="1021"/>
      <c r="G193" s="1022"/>
      <c r="H193" s="1035"/>
      <c r="I193" s="1035"/>
    </row>
    <row r="194" spans="1:9" hidden="1">
      <c r="A194" s="1019"/>
      <c r="B194" s="978"/>
      <c r="C194" s="980" t="s">
        <v>1021</v>
      </c>
      <c r="D194" s="988" t="s">
        <v>84</v>
      </c>
      <c r="E194" s="1006">
        <v>0.43</v>
      </c>
      <c r="F194" s="1023">
        <f>$G$100</f>
        <v>106.82</v>
      </c>
      <c r="G194" s="984">
        <f>ROUND(E194*F194,2)</f>
        <v>45.93</v>
      </c>
      <c r="H194" s="1035"/>
      <c r="I194" s="1035" t="s">
        <v>1044</v>
      </c>
    </row>
    <row r="195" spans="1:9" hidden="1">
      <c r="A195" s="1019"/>
      <c r="B195" s="978"/>
      <c r="C195" s="990" t="s">
        <v>1022</v>
      </c>
      <c r="D195" s="978"/>
      <c r="E195" s="1006"/>
      <c r="F195" s="1023"/>
      <c r="G195" s="995"/>
      <c r="H195" s="1035"/>
      <c r="I195" s="1035"/>
    </row>
    <row r="196" spans="1:9" hidden="1">
      <c r="A196" s="988"/>
      <c r="B196" s="978"/>
      <c r="C196" s="980" t="s">
        <v>421</v>
      </c>
      <c r="D196" s="978" t="s">
        <v>24</v>
      </c>
      <c r="E196" s="1006">
        <v>0.21</v>
      </c>
      <c r="F196" s="984">
        <v>615</v>
      </c>
      <c r="G196" s="984">
        <f>ROUND(E196*F196,2)</f>
        <v>129.15</v>
      </c>
      <c r="H196" s="1037"/>
      <c r="I196" s="1035" t="s">
        <v>1044</v>
      </c>
    </row>
    <row r="197" spans="1:9" hidden="1">
      <c r="A197" s="1019"/>
      <c r="B197" s="978"/>
      <c r="C197" s="990" t="s">
        <v>960</v>
      </c>
      <c r="D197" s="978"/>
      <c r="E197" s="1006"/>
      <c r="F197" s="1023"/>
      <c r="G197" s="995"/>
      <c r="H197" s="1035"/>
      <c r="I197" s="1035"/>
    </row>
    <row r="198" spans="1:9" hidden="1">
      <c r="A198" s="1019"/>
      <c r="B198" s="978"/>
      <c r="C198" s="980" t="s">
        <v>1023</v>
      </c>
      <c r="D198" s="978" t="s">
        <v>1024</v>
      </c>
      <c r="E198" s="1006">
        <v>19</v>
      </c>
      <c r="F198" s="1023">
        <f>F171</f>
        <v>88</v>
      </c>
      <c r="G198" s="984">
        <f>ROUND(E198*F198/1000,2)</f>
        <v>1.67</v>
      </c>
      <c r="H198" s="1035"/>
      <c r="I198" s="1035" t="s">
        <v>1044</v>
      </c>
    </row>
    <row r="199" spans="1:9" ht="51" hidden="1">
      <c r="A199" s="1019"/>
      <c r="B199" s="978"/>
      <c r="C199" s="980" t="s">
        <v>1274</v>
      </c>
      <c r="D199" s="978" t="s">
        <v>84</v>
      </c>
      <c r="E199" s="1004">
        <v>0.9</v>
      </c>
      <c r="F199" s="1023">
        <v>988</v>
      </c>
      <c r="G199" s="984">
        <f>ROUND(E199*F199,2)</f>
        <v>889.2</v>
      </c>
      <c r="H199" s="1035" t="s">
        <v>1025</v>
      </c>
      <c r="I199" s="1035" t="s">
        <v>1026</v>
      </c>
    </row>
    <row r="200" spans="1:9" hidden="1">
      <c r="A200" s="1019"/>
      <c r="B200" s="978"/>
      <c r="C200" s="990" t="s">
        <v>1027</v>
      </c>
      <c r="D200" s="978"/>
      <c r="E200" s="1006"/>
      <c r="F200" s="1023"/>
      <c r="G200" s="995"/>
      <c r="H200" s="1035"/>
      <c r="I200" s="1035"/>
    </row>
    <row r="201" spans="1:9" hidden="1">
      <c r="A201" s="1019"/>
      <c r="B201" s="978"/>
      <c r="C201" s="980" t="s">
        <v>1005</v>
      </c>
      <c r="D201" s="978" t="s">
        <v>422</v>
      </c>
      <c r="E201" s="1006">
        <v>0.02</v>
      </c>
      <c r="F201" s="1023">
        <v>541</v>
      </c>
      <c r="G201" s="984">
        <f>ROUND(E201*F201,2)</f>
        <v>10.82</v>
      </c>
      <c r="H201" s="1035"/>
      <c r="I201" s="1035"/>
    </row>
    <row r="202" spans="1:9" hidden="1">
      <c r="A202" s="988"/>
      <c r="B202" s="978"/>
      <c r="C202" s="980"/>
      <c r="D202" s="978"/>
      <c r="E202" s="1006"/>
      <c r="F202" s="991"/>
      <c r="G202" s="995">
        <f>SUM(G190:G201)</f>
        <v>1760.62</v>
      </c>
      <c r="H202" s="1037"/>
      <c r="I202" s="1037"/>
    </row>
    <row r="203" spans="1:9" ht="14.25" hidden="1" customHeight="1">
      <c r="A203" s="988"/>
      <c r="B203" s="978"/>
      <c r="C203" s="1020" t="s">
        <v>948</v>
      </c>
      <c r="D203" s="978"/>
      <c r="E203" s="1006"/>
      <c r="F203" s="1007">
        <f>'data 2025-26'!$K$3</f>
        <v>0.13614999999999999</v>
      </c>
      <c r="G203" s="984">
        <f>ROUND(G202*F203,2)</f>
        <v>239.71</v>
      </c>
      <c r="H203" s="1037"/>
      <c r="I203" s="1037"/>
    </row>
    <row r="204" spans="1:9" hidden="1">
      <c r="A204" s="988"/>
      <c r="B204" s="978"/>
      <c r="C204" s="1020" t="s">
        <v>1045</v>
      </c>
      <c r="D204" s="978"/>
      <c r="E204" s="1006"/>
      <c r="F204" s="991"/>
      <c r="G204" s="995">
        <f>SUM(G202:G203)</f>
        <v>2000.33</v>
      </c>
      <c r="H204" s="1037"/>
      <c r="I204" s="1037"/>
    </row>
    <row r="205" spans="1:9" hidden="1">
      <c r="A205" s="977"/>
      <c r="B205" s="1038"/>
      <c r="C205" s="1020" t="s">
        <v>1046</v>
      </c>
      <c r="D205" s="981"/>
      <c r="E205" s="985"/>
      <c r="F205" s="985"/>
      <c r="G205" s="986">
        <f>ROUND(G204/0.9,2)</f>
        <v>2222.59</v>
      </c>
      <c r="H205" s="987"/>
      <c r="I205" s="987"/>
    </row>
    <row r="206" spans="1:9" hidden="1">
      <c r="A206" s="977"/>
      <c r="B206" s="1020" t="s">
        <v>21</v>
      </c>
      <c r="C206" s="983" t="s">
        <v>1047</v>
      </c>
      <c r="D206" s="981"/>
      <c r="E206" s="985"/>
      <c r="F206" s="985"/>
      <c r="G206" s="986"/>
      <c r="H206" s="987"/>
      <c r="I206" s="987"/>
    </row>
    <row r="207" spans="1:9" ht="179.25" hidden="1" customHeight="1">
      <c r="A207" s="1026">
        <v>12</v>
      </c>
      <c r="B207" s="1003" t="s">
        <v>1042</v>
      </c>
      <c r="C207" s="980" t="s">
        <v>1059</v>
      </c>
      <c r="D207" s="1020"/>
      <c r="E207" s="1006"/>
      <c r="F207" s="1021"/>
      <c r="G207" s="1022"/>
      <c r="H207" s="1035"/>
      <c r="I207" s="1035"/>
    </row>
    <row r="208" spans="1:9" hidden="1">
      <c r="A208" s="1019"/>
      <c r="B208" s="1038"/>
      <c r="C208" s="980" t="s">
        <v>989</v>
      </c>
      <c r="D208" s="981"/>
      <c r="E208" s="1006"/>
      <c r="F208" s="1021"/>
      <c r="G208" s="1022"/>
      <c r="H208" s="1035"/>
      <c r="I208" s="1035"/>
    </row>
    <row r="209" spans="1:9" hidden="1">
      <c r="A209" s="1019"/>
      <c r="B209" s="1038"/>
      <c r="C209" s="980" t="s">
        <v>1043</v>
      </c>
      <c r="D209" s="981"/>
      <c r="E209" s="1006"/>
      <c r="F209" s="1021"/>
      <c r="G209" s="1022"/>
      <c r="H209" s="1035"/>
      <c r="I209" s="1035"/>
    </row>
    <row r="210" spans="1:9" hidden="1">
      <c r="A210" s="1019"/>
      <c r="B210" s="1038"/>
      <c r="C210" s="990" t="s">
        <v>1017</v>
      </c>
      <c r="D210" s="981"/>
      <c r="E210" s="1006"/>
      <c r="F210" s="1021"/>
      <c r="G210" s="1022"/>
      <c r="H210" s="1035"/>
      <c r="I210" s="1035"/>
    </row>
    <row r="211" spans="1:9" hidden="1">
      <c r="A211" s="1019"/>
      <c r="B211" s="1038"/>
      <c r="C211" s="980" t="s">
        <v>995</v>
      </c>
      <c r="D211" s="978" t="s">
        <v>10</v>
      </c>
      <c r="E211" s="1004">
        <v>0.126</v>
      </c>
      <c r="F211" s="1023">
        <f>$F$146</f>
        <v>223.86</v>
      </c>
      <c r="G211" s="984">
        <f>ROUND(E211*F211,2)</f>
        <v>28.21</v>
      </c>
      <c r="H211" s="1035"/>
      <c r="I211" s="1035" t="s">
        <v>1044</v>
      </c>
    </row>
    <row r="212" spans="1:9" hidden="1">
      <c r="A212" s="1019"/>
      <c r="B212" s="1038"/>
      <c r="C212" s="990" t="s">
        <v>1018</v>
      </c>
      <c r="D212" s="981"/>
      <c r="E212" s="1004"/>
      <c r="F212" s="1021"/>
      <c r="G212" s="1022"/>
      <c r="H212" s="1035"/>
      <c r="I212" s="1035"/>
    </row>
    <row r="213" spans="1:9" hidden="1">
      <c r="A213" s="1019"/>
      <c r="B213" s="1038"/>
      <c r="C213" s="980" t="s">
        <v>1019</v>
      </c>
      <c r="D213" s="978" t="s">
        <v>84</v>
      </c>
      <c r="E213" s="1004">
        <v>0.126</v>
      </c>
      <c r="F213" s="1023">
        <f>$G$57</f>
        <v>5203.53</v>
      </c>
      <c r="G213" s="984">
        <f>ROUND(E213*F213,2)</f>
        <v>655.64</v>
      </c>
      <c r="H213" s="1035"/>
      <c r="I213" s="1035" t="s">
        <v>1044</v>
      </c>
    </row>
    <row r="214" spans="1:9" ht="25.5" hidden="1">
      <c r="A214" s="1019"/>
      <c r="B214" s="1038"/>
      <c r="C214" s="990" t="s">
        <v>1020</v>
      </c>
      <c r="D214" s="981"/>
      <c r="E214" s="1006"/>
      <c r="F214" s="1021"/>
      <c r="G214" s="1022"/>
      <c r="H214" s="1035"/>
      <c r="I214" s="1035"/>
    </row>
    <row r="215" spans="1:9" hidden="1">
      <c r="A215" s="1019"/>
      <c r="B215" s="1038"/>
      <c r="C215" s="980" t="s">
        <v>1021</v>
      </c>
      <c r="D215" s="988" t="s">
        <v>84</v>
      </c>
      <c r="E215" s="1006">
        <v>0.43</v>
      </c>
      <c r="F215" s="1023">
        <f>$G$100</f>
        <v>106.82</v>
      </c>
      <c r="G215" s="984">
        <f>ROUND(E215*F215,2)</f>
        <v>45.93</v>
      </c>
      <c r="H215" s="1035"/>
      <c r="I215" s="1035" t="s">
        <v>1044</v>
      </c>
    </row>
    <row r="216" spans="1:9" hidden="1">
      <c r="A216" s="1019"/>
      <c r="B216" s="1038"/>
      <c r="C216" s="990" t="s">
        <v>1022</v>
      </c>
      <c r="D216" s="978"/>
      <c r="E216" s="1006"/>
      <c r="F216" s="1023"/>
      <c r="G216" s="995"/>
      <c r="H216" s="1035"/>
      <c r="I216" s="1035"/>
    </row>
    <row r="217" spans="1:9" hidden="1">
      <c r="A217" s="988"/>
      <c r="B217" s="1038"/>
      <c r="C217" s="980" t="s">
        <v>421</v>
      </c>
      <c r="D217" s="978" t="s">
        <v>24</v>
      </c>
      <c r="E217" s="1006">
        <v>0.21</v>
      </c>
      <c r="F217" s="984">
        <v>615</v>
      </c>
      <c r="G217" s="984">
        <f>ROUND(E217*F217,2)</f>
        <v>129.15</v>
      </c>
      <c r="H217" s="1037"/>
      <c r="I217" s="1035" t="s">
        <v>1044</v>
      </c>
    </row>
    <row r="218" spans="1:9" hidden="1">
      <c r="A218" s="1019"/>
      <c r="B218" s="1038"/>
      <c r="C218" s="990" t="s">
        <v>960</v>
      </c>
      <c r="D218" s="978"/>
      <c r="E218" s="1006"/>
      <c r="F218" s="1023"/>
      <c r="G218" s="995"/>
      <c r="H218" s="1035"/>
      <c r="I218" s="1035"/>
    </row>
    <row r="219" spans="1:9" ht="25.5" hidden="1">
      <c r="A219" s="1019"/>
      <c r="B219" s="1038"/>
      <c r="C219" s="980" t="s">
        <v>1048</v>
      </c>
      <c r="D219" s="978" t="s">
        <v>1024</v>
      </c>
      <c r="E219" s="1006">
        <v>19</v>
      </c>
      <c r="F219" s="1023">
        <f>$F$198</f>
        <v>88</v>
      </c>
      <c r="G219" s="984">
        <f>ROUND(E219*F219/1000,2)</f>
        <v>1.67</v>
      </c>
      <c r="H219" s="1035"/>
      <c r="I219" s="1035" t="s">
        <v>1044</v>
      </c>
    </row>
    <row r="220" spans="1:9" ht="27" hidden="1" customHeight="1">
      <c r="A220" s="1039"/>
      <c r="B220" s="912"/>
      <c r="C220" s="1032" t="s">
        <v>1035</v>
      </c>
      <c r="D220" s="912"/>
      <c r="E220" s="912"/>
      <c r="F220" s="925">
        <v>0.03</v>
      </c>
      <c r="G220" s="1031">
        <f>SUM(G219)*F220</f>
        <v>5.0099999999999999E-2</v>
      </c>
      <c r="H220" s="1040"/>
      <c r="I220" s="1040"/>
    </row>
    <row r="221" spans="1:9" ht="63.75" hidden="1">
      <c r="A221" s="1019"/>
      <c r="B221" s="978"/>
      <c r="C221" s="1032" t="s">
        <v>1049</v>
      </c>
      <c r="D221" s="912" t="s">
        <v>1033</v>
      </c>
      <c r="E221" s="1028">
        <v>0.9</v>
      </c>
      <c r="F221" s="1023">
        <v>988</v>
      </c>
      <c r="G221" s="984">
        <f>ROUND(E221*F221,2)</f>
        <v>889.2</v>
      </c>
      <c r="H221" s="1035"/>
      <c r="I221" s="1035"/>
    </row>
    <row r="222" spans="1:9" hidden="1">
      <c r="A222" s="1019"/>
      <c r="B222" s="1038"/>
      <c r="C222" s="990" t="s">
        <v>1027</v>
      </c>
      <c r="D222" s="978"/>
      <c r="E222" s="1006"/>
      <c r="F222" s="1023"/>
      <c r="G222" s="995"/>
      <c r="H222" s="1035"/>
      <c r="I222" s="1035"/>
    </row>
    <row r="223" spans="1:9" hidden="1">
      <c r="A223" s="1019"/>
      <c r="B223" s="1038"/>
      <c r="C223" s="980" t="s">
        <v>1005</v>
      </c>
      <c r="D223" s="978" t="s">
        <v>422</v>
      </c>
      <c r="E223" s="1006">
        <v>0.02</v>
      </c>
      <c r="F223" s="1023">
        <v>541</v>
      </c>
      <c r="G223" s="984">
        <f>ROUND(E223*F223,2)</f>
        <v>10.82</v>
      </c>
      <c r="H223" s="1035"/>
      <c r="I223" s="1035"/>
    </row>
    <row r="224" spans="1:9" hidden="1">
      <c r="A224" s="988"/>
      <c r="B224" s="1038"/>
      <c r="C224" s="980"/>
      <c r="D224" s="978"/>
      <c r="E224" s="1006"/>
      <c r="F224" s="991"/>
      <c r="G224" s="995">
        <f>SUM(G211:G223)</f>
        <v>1760.6701</v>
      </c>
      <c r="H224" s="1037"/>
      <c r="I224" s="1037"/>
    </row>
    <row r="225" spans="1:9" ht="17.25" hidden="1" customHeight="1">
      <c r="A225" s="988"/>
      <c r="B225" s="1038"/>
      <c r="C225" s="1020" t="s">
        <v>948</v>
      </c>
      <c r="D225" s="978"/>
      <c r="E225" s="1006"/>
      <c r="F225" s="1007">
        <f>'data 2025-26'!$K$3</f>
        <v>0.13614999999999999</v>
      </c>
      <c r="G225" s="984">
        <f>ROUND(G224*F225,2)</f>
        <v>239.72</v>
      </c>
      <c r="H225" s="1037"/>
      <c r="I225" s="1037"/>
    </row>
    <row r="226" spans="1:9" hidden="1">
      <c r="A226" s="988"/>
      <c r="B226" s="1038"/>
      <c r="C226" s="1020" t="s">
        <v>1050</v>
      </c>
      <c r="D226" s="978"/>
      <c r="E226" s="1006"/>
      <c r="F226" s="991"/>
      <c r="G226" s="995">
        <f>SUM(G224:G225)</f>
        <v>2000.3901000000001</v>
      </c>
      <c r="H226" s="1037"/>
      <c r="I226" s="1037"/>
    </row>
    <row r="227" spans="1:9" hidden="1">
      <c r="A227" s="988"/>
      <c r="B227" s="1038"/>
      <c r="C227" s="1020"/>
      <c r="D227" s="978"/>
      <c r="E227" s="1006"/>
      <c r="F227" s="991"/>
      <c r="G227" s="995">
        <f>+G226/0.9</f>
        <v>2222.6556666666665</v>
      </c>
      <c r="H227" s="1037"/>
      <c r="I227" s="1037"/>
    </row>
    <row r="228" spans="1:9" ht="169.5" customHeight="1">
      <c r="A228" s="977">
        <v>7</v>
      </c>
      <c r="B228" s="1003"/>
      <c r="C228" s="980" t="s">
        <v>1075</v>
      </c>
      <c r="D228" s="981"/>
      <c r="E228" s="985"/>
      <c r="F228" s="985"/>
      <c r="G228" s="985"/>
    </row>
    <row r="229" spans="1:9">
      <c r="A229" s="977"/>
      <c r="B229" s="978"/>
      <c r="C229" s="981" t="s">
        <v>1051</v>
      </c>
      <c r="D229" s="981"/>
      <c r="E229" s="985"/>
      <c r="F229" s="985"/>
      <c r="G229" s="985"/>
    </row>
    <row r="230" spans="1:9" ht="25.5">
      <c r="A230" s="977"/>
      <c r="B230" s="978"/>
      <c r="C230" s="1017" t="s">
        <v>1185</v>
      </c>
      <c r="D230" s="978" t="s">
        <v>84</v>
      </c>
      <c r="E230" s="985"/>
      <c r="F230" s="985"/>
      <c r="G230" s="985">
        <v>560</v>
      </c>
    </row>
    <row r="231" spans="1:9" ht="25.5">
      <c r="A231" s="977"/>
      <c r="B231" s="978"/>
      <c r="C231" s="1020" t="s">
        <v>948</v>
      </c>
      <c r="D231" s="978"/>
      <c r="E231" s="1006"/>
      <c r="F231" s="1007">
        <f>'data 2025-26'!$K$3</f>
        <v>0.13614999999999999</v>
      </c>
      <c r="G231" s="984">
        <f>ROUND(G230*F231,2)</f>
        <v>76.239999999999995</v>
      </c>
    </row>
    <row r="232" spans="1:9">
      <c r="A232" s="977"/>
      <c r="B232" s="978"/>
      <c r="C232" s="1017"/>
      <c r="D232" s="978"/>
      <c r="E232" s="985"/>
      <c r="F232" s="985"/>
      <c r="G232" s="985">
        <f>SUM(G230:G231)</f>
        <v>636.24</v>
      </c>
    </row>
    <row r="236" spans="1:9">
      <c r="C236" s="1041" t="str">
        <f>'CD WORK DATA'!D228</f>
        <v>Deputy Executive Engineer</v>
      </c>
      <c r="F236" s="1041" t="str">
        <f>'CD WORK DATA'!G228</f>
        <v>Assistant   Engineer</v>
      </c>
    </row>
    <row r="237" spans="1:9">
      <c r="C237" s="1041" t="str">
        <f>'CD WORK DATA'!D229</f>
        <v>PRI Sub Division: Kanigiri</v>
      </c>
      <c r="F237" s="1041" t="str">
        <f>'CD WORK DATA'!G229</f>
        <v>Mandal Praja Parishad</v>
      </c>
    </row>
    <row r="238" spans="1:9">
      <c r="F238" s="1041" t="str">
        <f>'CD WORK DATA'!G230</f>
        <v>Pamuru</v>
      </c>
    </row>
  </sheetData>
  <autoFilter ref="A4:G232" xr:uid="{00000000-0009-0000-0000-000010000000}"/>
  <mergeCells count="3">
    <mergeCell ref="A2:B2"/>
    <mergeCell ref="C2:G2"/>
    <mergeCell ref="A1:G1"/>
  </mergeCells>
  <printOptions horizontalCentered="1"/>
  <pageMargins left="0.5" right="0.25"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F0"/>
  </sheetPr>
  <dimension ref="A1:N186"/>
  <sheetViews>
    <sheetView showZeros="0" view="pageBreakPreview" topLeftCell="A61" zoomScaleSheetLayoutView="100" workbookViewId="0">
      <selection activeCell="F64" sqref="F64:F69"/>
    </sheetView>
  </sheetViews>
  <sheetFormatPr defaultColWidth="9.140625" defaultRowHeight="12.75"/>
  <cols>
    <col min="1" max="1" width="5.140625" style="546" customWidth="1"/>
    <col min="2" max="2" width="41.85546875" style="546" customWidth="1"/>
    <col min="3" max="3" width="9.140625" style="595" customWidth="1"/>
    <col min="4" max="4" width="5.140625" style="596" customWidth="1"/>
    <col min="5" max="5" width="9" style="546" customWidth="1"/>
    <col min="6" max="6" width="10.85546875" style="546" customWidth="1"/>
    <col min="7" max="7" width="8.140625" style="597" customWidth="1"/>
    <col min="8" max="8" width="4.7109375" style="596" customWidth="1"/>
    <col min="9" max="9" width="9.140625" style="546"/>
    <col min="10" max="10" width="11.28515625" style="598" customWidth="1"/>
    <col min="11" max="12" width="11" style="597" customWidth="1"/>
    <col min="13" max="13" width="7.85546875" style="546" customWidth="1"/>
    <col min="14" max="14" width="9.28515625" style="546" bestFit="1" customWidth="1"/>
    <col min="15" max="16384" width="9.140625" style="546"/>
  </cols>
  <sheetData>
    <row r="1" spans="1:14" ht="19.5" customHeight="1">
      <c r="A1" s="1166" t="s">
        <v>626</v>
      </c>
      <c r="B1" s="1167"/>
      <c r="C1" s="1167"/>
      <c r="D1" s="1167"/>
      <c r="E1" s="1167"/>
      <c r="F1" s="1167"/>
      <c r="G1" s="1167"/>
      <c r="H1" s="1167"/>
      <c r="I1" s="1167"/>
      <c r="J1" s="1167"/>
      <c r="K1" s="1167"/>
      <c r="L1" s="1168"/>
      <c r="M1" s="1168"/>
    </row>
    <row r="2" spans="1:14" s="547" customFormat="1" ht="36.75" customHeight="1">
      <c r="A2" s="1169" t="str">
        <f>'lead 2025-26'!B3&amp;'lead 2025-26'!C3</f>
        <v>Name of the work : Providing BT Surface to the road from Inimerla SC colony to National Highway at Nuchupoda in Inimerla GP of Pamuru Mandal.</v>
      </c>
      <c r="B2" s="1170"/>
      <c r="C2" s="1170"/>
      <c r="D2" s="1170"/>
      <c r="E2" s="1170"/>
      <c r="F2" s="1170"/>
      <c r="G2" s="1170"/>
      <c r="H2" s="1170"/>
      <c r="I2" s="1170"/>
      <c r="J2" s="1170"/>
      <c r="K2" s="1170"/>
      <c r="L2" s="1170"/>
      <c r="M2" s="1170"/>
    </row>
    <row r="3" spans="1:14" s="547" customFormat="1" ht="15">
      <c r="A3" s="548"/>
      <c r="B3" s="549"/>
      <c r="C3" s="550"/>
      <c r="D3" s="551"/>
      <c r="E3" s="549"/>
      <c r="F3" s="549"/>
      <c r="G3" s="552"/>
      <c r="H3" s="551"/>
      <c r="I3" s="549"/>
      <c r="J3" s="553" t="s">
        <v>93</v>
      </c>
      <c r="K3" s="1171" t="str">
        <f>'lead 2025-26'!K4</f>
        <v>140.00 Lakhs</v>
      </c>
      <c r="L3" s="1172"/>
      <c r="M3" s="1172"/>
    </row>
    <row r="4" spans="1:14" s="547" customFormat="1" ht="19.5" customHeight="1">
      <c r="A4" s="1173" t="s">
        <v>35</v>
      </c>
      <c r="B4" s="1173" t="s">
        <v>627</v>
      </c>
      <c r="C4" s="1173" t="s">
        <v>628</v>
      </c>
      <c r="D4" s="1173"/>
      <c r="E4" s="1174"/>
      <c r="F4" s="1174"/>
      <c r="G4" s="1173" t="s">
        <v>629</v>
      </c>
      <c r="H4" s="1173"/>
      <c r="I4" s="1174"/>
      <c r="J4" s="1174"/>
      <c r="K4" s="1173" t="s">
        <v>630</v>
      </c>
      <c r="L4" s="1174"/>
      <c r="M4" s="1173" t="s">
        <v>183</v>
      </c>
    </row>
    <row r="5" spans="1:14" s="547" customFormat="1" ht="15.75" customHeight="1">
      <c r="A5" s="1173"/>
      <c r="B5" s="1173"/>
      <c r="C5" s="1173" t="s">
        <v>631</v>
      </c>
      <c r="D5" s="1173"/>
      <c r="E5" s="554" t="s">
        <v>547</v>
      </c>
      <c r="F5" s="554" t="s">
        <v>182</v>
      </c>
      <c r="G5" s="1173" t="s">
        <v>631</v>
      </c>
      <c r="H5" s="1173"/>
      <c r="I5" s="554" t="s">
        <v>547</v>
      </c>
      <c r="J5" s="555" t="s">
        <v>182</v>
      </c>
      <c r="K5" s="555" t="s">
        <v>632</v>
      </c>
      <c r="L5" s="555" t="s">
        <v>633</v>
      </c>
      <c r="M5" s="1173"/>
    </row>
    <row r="6" spans="1:14" s="547" customFormat="1" ht="16.5" customHeight="1">
      <c r="A6" s="554" t="s">
        <v>497</v>
      </c>
      <c r="B6" s="554" t="s">
        <v>498</v>
      </c>
      <c r="C6" s="1173" t="s">
        <v>499</v>
      </c>
      <c r="D6" s="1173"/>
      <c r="E6" s="554" t="s">
        <v>500</v>
      </c>
      <c r="F6" s="554" t="s">
        <v>501</v>
      </c>
      <c r="G6" s="1173" t="s">
        <v>502</v>
      </c>
      <c r="H6" s="1173"/>
      <c r="I6" s="554" t="s">
        <v>503</v>
      </c>
      <c r="J6" s="555" t="s">
        <v>504</v>
      </c>
      <c r="K6" s="555" t="s">
        <v>505</v>
      </c>
      <c r="L6" s="555" t="s">
        <v>634</v>
      </c>
      <c r="M6" s="554" t="s">
        <v>635</v>
      </c>
    </row>
    <row r="7" spans="1:14" s="565" customFormat="1" ht="60">
      <c r="A7" s="556" t="s">
        <v>497</v>
      </c>
      <c r="B7" s="557" t="s">
        <v>387</v>
      </c>
      <c r="C7" s="558"/>
      <c r="D7" s="559"/>
      <c r="E7" s="560"/>
      <c r="F7" s="561">
        <f t="shared" ref="F7" si="0">ROUND(C7*E7,0)</f>
        <v>0</v>
      </c>
      <c r="G7" s="574">
        <f>MAIN!I10</f>
        <v>0</v>
      </c>
      <c r="H7" s="559" t="s">
        <v>10</v>
      </c>
      <c r="I7" s="562">
        <f>MAIN!K10</f>
        <v>144.26</v>
      </c>
      <c r="J7" s="561">
        <f t="shared" ref="J7" si="1">ROUND(G7*I7,0)</f>
        <v>0</v>
      </c>
      <c r="K7" s="563">
        <f>IF(J7&gt;F7,J7-F7,0)</f>
        <v>0</v>
      </c>
      <c r="L7" s="563">
        <f>IF(J7&lt;F7,F7-J7,0)</f>
        <v>0</v>
      </c>
      <c r="M7" s="564" t="s">
        <v>52</v>
      </c>
      <c r="N7" s="561">
        <f>E7-I7</f>
        <v>-144.26</v>
      </c>
    </row>
    <row r="8" spans="1:14" s="565" customFormat="1" ht="120">
      <c r="A8" s="556" t="s">
        <v>497</v>
      </c>
      <c r="B8" s="557" t="s">
        <v>785</v>
      </c>
      <c r="C8" s="558"/>
      <c r="D8" s="559"/>
      <c r="E8" s="560"/>
      <c r="F8" s="561">
        <f t="shared" ref="F8" si="2">ROUND(C8*E8,0)</f>
        <v>0</v>
      </c>
      <c r="G8" s="574">
        <f>MAIN!I17</f>
        <v>4032</v>
      </c>
      <c r="H8" s="559" t="s">
        <v>84</v>
      </c>
      <c r="I8" s="562">
        <f>MAIN!K17</f>
        <v>2.25</v>
      </c>
      <c r="J8" s="561">
        <f t="shared" ref="J8:J9" si="3">ROUND(G8*I8,0)</f>
        <v>9072</v>
      </c>
      <c r="K8" s="563">
        <f t="shared" ref="K8:K69" si="4">IF(J8&gt;F8,J8-F8,0)</f>
        <v>9072</v>
      </c>
      <c r="L8" s="563">
        <f t="shared" ref="L8:L69" si="5">IF(J8&lt;F8,F8-J8,0)</f>
        <v>0</v>
      </c>
      <c r="M8" s="564" t="s">
        <v>52</v>
      </c>
      <c r="N8" s="561">
        <f t="shared" ref="N8:N69" si="6">E8-I8</f>
        <v>-2.25</v>
      </c>
    </row>
    <row r="9" spans="1:14" s="565" customFormat="1" ht="84">
      <c r="A9" s="556"/>
      <c r="B9" s="557" t="s">
        <v>797</v>
      </c>
      <c r="C9" s="558"/>
      <c r="D9" s="559"/>
      <c r="E9" s="560"/>
      <c r="F9" s="561"/>
      <c r="G9" s="574">
        <f>MAIN!I25</f>
        <v>3360</v>
      </c>
      <c r="H9" s="559" t="s">
        <v>10</v>
      </c>
      <c r="I9" s="562">
        <f>MAIN!K25</f>
        <v>236.56</v>
      </c>
      <c r="J9" s="561">
        <f t="shared" si="3"/>
        <v>794842</v>
      </c>
      <c r="K9" s="563">
        <f t="shared" si="4"/>
        <v>794842</v>
      </c>
      <c r="L9" s="563">
        <f t="shared" si="5"/>
        <v>0</v>
      </c>
      <c r="M9" s="564" t="s">
        <v>52</v>
      </c>
      <c r="N9" s="561">
        <f t="shared" si="6"/>
        <v>-236.56</v>
      </c>
    </row>
    <row r="10" spans="1:14" s="565" customFormat="1" ht="48">
      <c r="A10" s="556" t="s">
        <v>502</v>
      </c>
      <c r="B10" s="557" t="s">
        <v>262</v>
      </c>
      <c r="C10" s="558"/>
      <c r="D10" s="559"/>
      <c r="E10" s="560"/>
      <c r="F10" s="561">
        <f>ROUND(C10*E10,0)</f>
        <v>0</v>
      </c>
      <c r="G10" s="574">
        <f>MAIN!I33</f>
        <v>6720</v>
      </c>
      <c r="H10" s="559" t="s">
        <v>84</v>
      </c>
      <c r="I10" s="562">
        <f>MAIN!K33</f>
        <v>38.49</v>
      </c>
      <c r="J10" s="561">
        <f t="shared" ref="J10:J16" si="7">ROUND(G10*I10,0)</f>
        <v>258653</v>
      </c>
      <c r="K10" s="563">
        <f t="shared" si="4"/>
        <v>258653</v>
      </c>
      <c r="L10" s="563">
        <f t="shared" si="5"/>
        <v>0</v>
      </c>
      <c r="M10" s="564" t="s">
        <v>52</v>
      </c>
      <c r="N10" s="561">
        <f t="shared" si="6"/>
        <v>-38.49</v>
      </c>
    </row>
    <row r="11" spans="1:14" s="565" customFormat="1" ht="84">
      <c r="A11" s="556" t="s">
        <v>503</v>
      </c>
      <c r="B11" s="557" t="s">
        <v>111</v>
      </c>
      <c r="C11" s="566"/>
      <c r="D11" s="559"/>
      <c r="E11" s="560"/>
      <c r="F11" s="561">
        <f>ROUND(C11*E11,0)</f>
        <v>0</v>
      </c>
      <c r="G11" s="760">
        <f>MAIN!I47</f>
        <v>672</v>
      </c>
      <c r="H11" s="567" t="s">
        <v>10</v>
      </c>
      <c r="I11" s="568">
        <f>MAIN!K47</f>
        <v>2928.41</v>
      </c>
      <c r="J11" s="561">
        <f t="shared" si="7"/>
        <v>1967892</v>
      </c>
      <c r="K11" s="563">
        <f t="shared" si="4"/>
        <v>1967892</v>
      </c>
      <c r="L11" s="563">
        <f t="shared" si="5"/>
        <v>0</v>
      </c>
      <c r="M11" s="564" t="s">
        <v>52</v>
      </c>
      <c r="N11" s="561">
        <f t="shared" si="6"/>
        <v>-2928.41</v>
      </c>
    </row>
    <row r="12" spans="1:14" s="565" customFormat="1" ht="156">
      <c r="A12" s="556" t="s">
        <v>503</v>
      </c>
      <c r="B12" s="557" t="s">
        <v>697</v>
      </c>
      <c r="C12" s="566"/>
      <c r="D12" s="559"/>
      <c r="E12" s="560"/>
      <c r="F12" s="561">
        <f>ROUND(C12*E12,0)</f>
        <v>0</v>
      </c>
      <c r="G12" s="760">
        <f>MAIN!I51</f>
        <v>945</v>
      </c>
      <c r="H12" s="567" t="s">
        <v>10</v>
      </c>
      <c r="I12" s="568">
        <f>MAIN!K51</f>
        <v>3982.34</v>
      </c>
      <c r="J12" s="561">
        <f t="shared" si="7"/>
        <v>3763311</v>
      </c>
      <c r="K12" s="563">
        <f t="shared" si="4"/>
        <v>3763311</v>
      </c>
      <c r="L12" s="563">
        <f t="shared" si="5"/>
        <v>0</v>
      </c>
      <c r="M12" s="564" t="s">
        <v>52</v>
      </c>
      <c r="N12" s="561">
        <f t="shared" si="6"/>
        <v>-3982.34</v>
      </c>
    </row>
    <row r="13" spans="1:14" s="565" customFormat="1" ht="84">
      <c r="A13" s="556"/>
      <c r="B13" s="557" t="s">
        <v>703</v>
      </c>
      <c r="C13" s="558"/>
      <c r="D13" s="559"/>
      <c r="E13" s="560"/>
      <c r="F13" s="561"/>
      <c r="G13" s="574">
        <f>MAIN!I55</f>
        <v>6300</v>
      </c>
      <c r="H13" s="559" t="s">
        <v>84</v>
      </c>
      <c r="I13" s="562">
        <f>MAIN!K55</f>
        <v>42.54</v>
      </c>
      <c r="J13" s="561">
        <f t="shared" si="7"/>
        <v>268002</v>
      </c>
      <c r="K13" s="563">
        <f t="shared" si="4"/>
        <v>268002</v>
      </c>
      <c r="L13" s="563">
        <f t="shared" si="5"/>
        <v>0</v>
      </c>
      <c r="M13" s="564" t="s">
        <v>52</v>
      </c>
      <c r="N13" s="561">
        <f t="shared" si="6"/>
        <v>-42.54</v>
      </c>
    </row>
    <row r="14" spans="1:14" s="565" customFormat="1" ht="72">
      <c r="A14" s="556"/>
      <c r="B14" s="557" t="s">
        <v>711</v>
      </c>
      <c r="C14" s="558"/>
      <c r="D14" s="559"/>
      <c r="E14" s="560"/>
      <c r="F14" s="561"/>
      <c r="G14" s="574">
        <f>MAIN!I59</f>
        <v>6300</v>
      </c>
      <c r="H14" s="559" t="s">
        <v>84</v>
      </c>
      <c r="I14" s="562">
        <f>MAIN!K59</f>
        <v>16.239999999999998</v>
      </c>
      <c r="J14" s="561">
        <f t="shared" si="7"/>
        <v>102312</v>
      </c>
      <c r="K14" s="563">
        <f t="shared" si="4"/>
        <v>102312</v>
      </c>
      <c r="L14" s="563">
        <f t="shared" si="5"/>
        <v>0</v>
      </c>
      <c r="M14" s="564" t="s">
        <v>52</v>
      </c>
      <c r="N14" s="561">
        <f t="shared" si="6"/>
        <v>-16.239999999999998</v>
      </c>
    </row>
    <row r="15" spans="1:14" s="565" customFormat="1" ht="144">
      <c r="A15" s="556"/>
      <c r="B15" s="557" t="s">
        <v>718</v>
      </c>
      <c r="C15" s="558"/>
      <c r="D15" s="559"/>
      <c r="E15" s="560"/>
      <c r="F15" s="561"/>
      <c r="G15" s="574">
        <f>MAIN!I73</f>
        <v>157.5</v>
      </c>
      <c r="H15" s="559" t="s">
        <v>10</v>
      </c>
      <c r="I15" s="562">
        <f>MAIN!K73</f>
        <v>11856.57</v>
      </c>
      <c r="J15" s="561">
        <f t="shared" si="7"/>
        <v>1867410</v>
      </c>
      <c r="K15" s="563">
        <f t="shared" si="4"/>
        <v>1867410</v>
      </c>
      <c r="L15" s="563">
        <f t="shared" si="5"/>
        <v>0</v>
      </c>
      <c r="M15" s="564" t="s">
        <v>52</v>
      </c>
      <c r="N15" s="561">
        <f t="shared" si="6"/>
        <v>-11856.57</v>
      </c>
    </row>
    <row r="16" spans="1:14" s="565" customFormat="1" ht="108">
      <c r="A16" s="556"/>
      <c r="B16" s="557" t="s">
        <v>746</v>
      </c>
      <c r="C16" s="558"/>
      <c r="D16" s="559"/>
      <c r="E16" s="560"/>
      <c r="F16" s="561"/>
      <c r="G16" s="574">
        <f>MAIN!I77</f>
        <v>907.2</v>
      </c>
      <c r="H16" s="559" t="s">
        <v>10</v>
      </c>
      <c r="I16" s="562">
        <f>MAIN!K77</f>
        <v>384.05</v>
      </c>
      <c r="J16" s="561">
        <f t="shared" si="7"/>
        <v>348410</v>
      </c>
      <c r="K16" s="563">
        <f t="shared" si="4"/>
        <v>348410</v>
      </c>
      <c r="L16" s="563">
        <f t="shared" si="5"/>
        <v>0</v>
      </c>
      <c r="M16" s="564" t="s">
        <v>52</v>
      </c>
      <c r="N16" s="561">
        <f t="shared" si="6"/>
        <v>-384.05</v>
      </c>
    </row>
    <row r="17" spans="1:14" s="565" customFormat="1">
      <c r="A17" s="556"/>
      <c r="B17" s="557" t="s">
        <v>904</v>
      </c>
      <c r="C17" s="558"/>
      <c r="D17" s="559"/>
      <c r="E17" s="560"/>
      <c r="F17" s="561"/>
      <c r="G17" s="574"/>
      <c r="H17" s="559"/>
      <c r="I17" s="562"/>
      <c r="J17" s="561"/>
      <c r="K17" s="563">
        <f t="shared" si="4"/>
        <v>0</v>
      </c>
      <c r="L17" s="563">
        <f t="shared" si="5"/>
        <v>0</v>
      </c>
      <c r="M17" s="564" t="s">
        <v>52</v>
      </c>
      <c r="N17" s="561">
        <f t="shared" si="6"/>
        <v>0</v>
      </c>
    </row>
    <row r="18" spans="1:14" s="565" customFormat="1" ht="96">
      <c r="A18" s="556" t="s">
        <v>497</v>
      </c>
      <c r="B18" s="557" t="s">
        <v>587</v>
      </c>
      <c r="C18" s="558"/>
      <c r="D18" s="559"/>
      <c r="E18" s="560"/>
      <c r="F18" s="561">
        <f t="shared" ref="F18" si="8">ROUND(C18*E18,0)</f>
        <v>0</v>
      </c>
      <c r="G18" s="574">
        <f>'SUB-1'!I19</f>
        <v>0</v>
      </c>
      <c r="H18" s="559" t="s">
        <v>10</v>
      </c>
      <c r="I18" s="562">
        <f>'SUB-1'!K19</f>
        <v>126.69</v>
      </c>
      <c r="J18" s="561">
        <f t="shared" ref="J18" si="9">ROUND(G18*I18,0)</f>
        <v>0</v>
      </c>
      <c r="K18" s="563">
        <f t="shared" si="4"/>
        <v>0</v>
      </c>
      <c r="L18" s="563">
        <f t="shared" si="5"/>
        <v>0</v>
      </c>
      <c r="M18" s="564" t="s">
        <v>52</v>
      </c>
      <c r="N18" s="561">
        <f t="shared" si="6"/>
        <v>-126.69</v>
      </c>
    </row>
    <row r="19" spans="1:14" s="565" customFormat="1" ht="96">
      <c r="A19" s="556" t="s">
        <v>498</v>
      </c>
      <c r="B19" s="557" t="s">
        <v>866</v>
      </c>
      <c r="C19" s="558"/>
      <c r="D19" s="559"/>
      <c r="E19" s="560"/>
      <c r="F19" s="561">
        <f t="shared" ref="F19" si="10">ROUND(C19*E19,0)</f>
        <v>0</v>
      </c>
      <c r="G19" s="574">
        <f>'SUB-1'!I26</f>
        <v>0</v>
      </c>
      <c r="H19" s="559" t="s">
        <v>10</v>
      </c>
      <c r="I19" s="562">
        <f>'SUB-1'!K26</f>
        <v>5600.99</v>
      </c>
      <c r="J19" s="561">
        <f t="shared" ref="J19" si="11">ROUND(G19*I19,0)</f>
        <v>0</v>
      </c>
      <c r="K19" s="563">
        <f t="shared" si="4"/>
        <v>0</v>
      </c>
      <c r="L19" s="563">
        <f t="shared" si="5"/>
        <v>0</v>
      </c>
      <c r="M19" s="564" t="s">
        <v>52</v>
      </c>
      <c r="N19" s="561">
        <f t="shared" si="6"/>
        <v>-5600.99</v>
      </c>
    </row>
    <row r="20" spans="1:14" s="565" customFormat="1" ht="72">
      <c r="A20" s="556" t="s">
        <v>498</v>
      </c>
      <c r="B20" s="557" t="s">
        <v>867</v>
      </c>
      <c r="C20" s="558"/>
      <c r="D20" s="559"/>
      <c r="E20" s="560"/>
      <c r="F20" s="561">
        <f t="shared" ref="F20" si="12">ROUND(C20*E20,0)</f>
        <v>0</v>
      </c>
      <c r="G20" s="574">
        <f>'SUB-1'!I30</f>
        <v>0</v>
      </c>
      <c r="H20" s="559" t="s">
        <v>612</v>
      </c>
      <c r="I20" s="562">
        <f>'SUB-1'!K30</f>
        <v>9006.27</v>
      </c>
      <c r="J20" s="561">
        <f t="shared" ref="J20" si="13">ROUND(G20*I20,0)</f>
        <v>0</v>
      </c>
      <c r="K20" s="563">
        <f t="shared" si="4"/>
        <v>0</v>
      </c>
      <c r="L20" s="563">
        <f t="shared" si="5"/>
        <v>0</v>
      </c>
      <c r="M20" s="564" t="s">
        <v>52</v>
      </c>
      <c r="N20" s="561">
        <f t="shared" si="6"/>
        <v>-9006.27</v>
      </c>
    </row>
    <row r="21" spans="1:14" s="565" customFormat="1" ht="60">
      <c r="A21" s="556" t="s">
        <v>499</v>
      </c>
      <c r="B21" s="557" t="s">
        <v>435</v>
      </c>
      <c r="C21" s="558"/>
      <c r="D21" s="559"/>
      <c r="E21" s="560"/>
      <c r="F21" s="561">
        <f t="shared" ref="F21" si="14">ROUND(C21*E21,0)</f>
        <v>0</v>
      </c>
      <c r="G21" s="574">
        <f>'SUB-1'!I37</f>
        <v>0</v>
      </c>
      <c r="H21" s="559" t="s">
        <v>10</v>
      </c>
      <c r="I21" s="562">
        <f>'SUB-1'!K37</f>
        <v>5954.5599999999995</v>
      </c>
      <c r="J21" s="561">
        <f t="shared" ref="J21" si="15">ROUND(G21*I21,0)</f>
        <v>0</v>
      </c>
      <c r="K21" s="563">
        <f t="shared" si="4"/>
        <v>0</v>
      </c>
      <c r="L21" s="563">
        <f t="shared" si="5"/>
        <v>0</v>
      </c>
      <c r="M21" s="564" t="s">
        <v>52</v>
      </c>
      <c r="N21" s="561">
        <f t="shared" si="6"/>
        <v>-5954.5599999999995</v>
      </c>
    </row>
    <row r="22" spans="1:14" s="565" customFormat="1" ht="96">
      <c r="A22" s="556" t="s">
        <v>499</v>
      </c>
      <c r="B22" s="557" t="s">
        <v>838</v>
      </c>
      <c r="C22" s="558"/>
      <c r="D22" s="559"/>
      <c r="E22" s="560"/>
      <c r="F22" s="561">
        <f t="shared" ref="F22" si="16">ROUND(C22*E22,0)</f>
        <v>0</v>
      </c>
      <c r="G22" s="574">
        <f>'SUB-1'!I42</f>
        <v>0</v>
      </c>
      <c r="H22" s="559" t="s">
        <v>10</v>
      </c>
      <c r="I22" s="562">
        <f>'SUB-1'!K42</f>
        <v>7542</v>
      </c>
      <c r="J22" s="561">
        <f t="shared" ref="J22:J23" si="17">ROUND(G22*I22,0)</f>
        <v>0</v>
      </c>
      <c r="K22" s="563">
        <f t="shared" si="4"/>
        <v>0</v>
      </c>
      <c r="L22" s="563">
        <f t="shared" si="5"/>
        <v>0</v>
      </c>
      <c r="M22" s="564" t="s">
        <v>52</v>
      </c>
      <c r="N22" s="561">
        <f t="shared" si="6"/>
        <v>-7542</v>
      </c>
    </row>
    <row r="23" spans="1:14" s="565" customFormat="1" ht="72">
      <c r="A23" s="556"/>
      <c r="B23" s="557" t="s">
        <v>589</v>
      </c>
      <c r="C23" s="558"/>
      <c r="D23" s="559"/>
      <c r="E23" s="560"/>
      <c r="F23" s="561"/>
      <c r="G23" s="574">
        <f>'SUB-1'!I46</f>
        <v>0</v>
      </c>
      <c r="H23" s="559" t="s">
        <v>45</v>
      </c>
      <c r="I23" s="562">
        <f>'SUB-1'!K46</f>
        <v>86540.55</v>
      </c>
      <c r="J23" s="561">
        <f t="shared" si="17"/>
        <v>0</v>
      </c>
      <c r="K23" s="563">
        <f t="shared" si="4"/>
        <v>0</v>
      </c>
      <c r="L23" s="563">
        <f t="shared" si="5"/>
        <v>0</v>
      </c>
      <c r="M23" s="564" t="s">
        <v>52</v>
      </c>
      <c r="N23" s="561">
        <f t="shared" si="6"/>
        <v>-86540.55</v>
      </c>
    </row>
    <row r="24" spans="1:14" s="565" customFormat="1" ht="60">
      <c r="A24" s="556" t="s">
        <v>500</v>
      </c>
      <c r="B24" s="557" t="s">
        <v>885</v>
      </c>
      <c r="C24" s="558"/>
      <c r="D24" s="559"/>
      <c r="E24" s="560"/>
      <c r="F24" s="561">
        <f t="shared" ref="F24" si="18">ROUND(C24*E24,0)</f>
        <v>0</v>
      </c>
      <c r="G24" s="574">
        <f>'SUB-1'!I50</f>
        <v>0</v>
      </c>
      <c r="H24" s="559" t="s">
        <v>10</v>
      </c>
      <c r="I24" s="562">
        <f>'SUB-1'!K50</f>
        <v>279.77999999999997</v>
      </c>
      <c r="J24" s="561">
        <f>ROUND(G24*I24,0)</f>
        <v>0</v>
      </c>
      <c r="K24" s="563">
        <f t="shared" si="4"/>
        <v>0</v>
      </c>
      <c r="L24" s="563">
        <f t="shared" si="5"/>
        <v>0</v>
      </c>
      <c r="M24" s="564" t="s">
        <v>52</v>
      </c>
      <c r="N24" s="561">
        <f t="shared" si="6"/>
        <v>-279.77999999999997</v>
      </c>
    </row>
    <row r="25" spans="1:14" s="565" customFormat="1" ht="144">
      <c r="A25" s="556" t="s">
        <v>504</v>
      </c>
      <c r="B25" s="569" t="s">
        <v>135</v>
      </c>
      <c r="C25" s="566"/>
      <c r="D25" s="559"/>
      <c r="E25" s="560"/>
      <c r="F25" s="561">
        <f>ROUND(C25*E25,0)</f>
        <v>0</v>
      </c>
      <c r="G25" s="566">
        <f>'SUB-1'!I55</f>
        <v>0</v>
      </c>
      <c r="H25" s="567" t="s">
        <v>10</v>
      </c>
      <c r="I25" s="568">
        <f>'SUB-1'!K55</f>
        <v>7873.37</v>
      </c>
      <c r="J25" s="561">
        <f>ROUND(G25*I25,0)</f>
        <v>0</v>
      </c>
      <c r="K25" s="563">
        <f t="shared" si="4"/>
        <v>0</v>
      </c>
      <c r="L25" s="563">
        <f t="shared" si="5"/>
        <v>0</v>
      </c>
      <c r="M25" s="564" t="s">
        <v>52</v>
      </c>
      <c r="N25" s="561">
        <f t="shared" si="6"/>
        <v>-7873.37</v>
      </c>
    </row>
    <row r="26" spans="1:14" s="565" customFormat="1">
      <c r="A26" s="556"/>
      <c r="B26" s="557" t="s">
        <v>904</v>
      </c>
      <c r="C26" s="558"/>
      <c r="D26" s="559"/>
      <c r="E26" s="560"/>
      <c r="F26" s="561"/>
      <c r="G26" s="574"/>
      <c r="H26" s="559"/>
      <c r="I26" s="562"/>
      <c r="J26" s="561"/>
      <c r="K26" s="563">
        <f t="shared" si="4"/>
        <v>0</v>
      </c>
      <c r="L26" s="563">
        <f t="shared" si="5"/>
        <v>0</v>
      </c>
      <c r="M26" s="564" t="s">
        <v>52</v>
      </c>
      <c r="N26" s="561">
        <f t="shared" si="6"/>
        <v>0</v>
      </c>
    </row>
    <row r="27" spans="1:14" s="565" customFormat="1" ht="96">
      <c r="A27" s="556" t="s">
        <v>497</v>
      </c>
      <c r="B27" s="557" t="s">
        <v>587</v>
      </c>
      <c r="C27" s="558"/>
      <c r="D27" s="559"/>
      <c r="E27" s="560"/>
      <c r="F27" s="561">
        <f t="shared" ref="F27:F31" si="19">ROUND(C27*E27,0)</f>
        <v>0</v>
      </c>
      <c r="G27" s="574">
        <f>'SUB-2'!I15</f>
        <v>0</v>
      </c>
      <c r="H27" s="559" t="s">
        <v>10</v>
      </c>
      <c r="I27" s="574">
        <f>'SUB-2'!K15</f>
        <v>126.69</v>
      </c>
      <c r="J27" s="561">
        <f t="shared" ref="J27:J32" si="20">ROUND(G27*I27,0)</f>
        <v>0</v>
      </c>
      <c r="K27" s="563">
        <f t="shared" si="4"/>
        <v>0</v>
      </c>
      <c r="L27" s="563">
        <f t="shared" si="5"/>
        <v>0</v>
      </c>
      <c r="M27" s="564" t="s">
        <v>52</v>
      </c>
      <c r="N27" s="561">
        <f t="shared" si="6"/>
        <v>-126.69</v>
      </c>
    </row>
    <row r="28" spans="1:14" s="565" customFormat="1" ht="96">
      <c r="A28" s="556" t="s">
        <v>498</v>
      </c>
      <c r="B28" s="557" t="s">
        <v>866</v>
      </c>
      <c r="C28" s="558"/>
      <c r="D28" s="559"/>
      <c r="E28" s="560"/>
      <c r="F28" s="561">
        <f t="shared" si="19"/>
        <v>0</v>
      </c>
      <c r="G28" s="574">
        <f>'SUB-2'!I27</f>
        <v>0</v>
      </c>
      <c r="H28" s="559" t="s">
        <v>10</v>
      </c>
      <c r="I28" s="574">
        <f>'SUB-2'!K27</f>
        <v>5600.99</v>
      </c>
      <c r="J28" s="561">
        <f t="shared" si="20"/>
        <v>0</v>
      </c>
      <c r="K28" s="563">
        <f t="shared" si="4"/>
        <v>0</v>
      </c>
      <c r="L28" s="563">
        <f t="shared" si="5"/>
        <v>0</v>
      </c>
      <c r="M28" s="564" t="s">
        <v>52</v>
      </c>
      <c r="N28" s="561">
        <f t="shared" si="6"/>
        <v>-5600.99</v>
      </c>
    </row>
    <row r="29" spans="1:14" s="565" customFormat="1" ht="72">
      <c r="A29" s="556" t="s">
        <v>498</v>
      </c>
      <c r="B29" s="557" t="s">
        <v>867</v>
      </c>
      <c r="C29" s="558"/>
      <c r="D29" s="559"/>
      <c r="E29" s="560"/>
      <c r="F29" s="561">
        <f t="shared" si="19"/>
        <v>0</v>
      </c>
      <c r="G29" s="574">
        <f>'SUB-2'!I32</f>
        <v>0</v>
      </c>
      <c r="H29" s="559" t="s">
        <v>612</v>
      </c>
      <c r="I29" s="574">
        <f>'SUB-2'!K32</f>
        <v>9006.27</v>
      </c>
      <c r="J29" s="561">
        <f t="shared" si="20"/>
        <v>0</v>
      </c>
      <c r="K29" s="563">
        <f t="shared" si="4"/>
        <v>0</v>
      </c>
      <c r="L29" s="563">
        <f t="shared" si="5"/>
        <v>0</v>
      </c>
      <c r="M29" s="564" t="s">
        <v>52</v>
      </c>
      <c r="N29" s="561">
        <f t="shared" si="6"/>
        <v>-9006.27</v>
      </c>
    </row>
    <row r="30" spans="1:14" s="565" customFormat="1" ht="60">
      <c r="A30" s="556" t="s">
        <v>499</v>
      </c>
      <c r="B30" s="557" t="s">
        <v>435</v>
      </c>
      <c r="C30" s="558"/>
      <c r="D30" s="559"/>
      <c r="E30" s="560"/>
      <c r="F30" s="561">
        <f t="shared" si="19"/>
        <v>0</v>
      </c>
      <c r="G30" s="574">
        <f>'SUB-2'!I44</f>
        <v>0</v>
      </c>
      <c r="H30" s="559" t="s">
        <v>10</v>
      </c>
      <c r="I30" s="574">
        <f>'SUB-2'!K44</f>
        <v>5954.5599999999995</v>
      </c>
      <c r="J30" s="561">
        <f t="shared" si="20"/>
        <v>0</v>
      </c>
      <c r="K30" s="563">
        <f t="shared" si="4"/>
        <v>0</v>
      </c>
      <c r="L30" s="563">
        <f t="shared" si="5"/>
        <v>0</v>
      </c>
      <c r="M30" s="564" t="s">
        <v>52</v>
      </c>
      <c r="N30" s="561">
        <f t="shared" si="6"/>
        <v>-5954.5599999999995</v>
      </c>
    </row>
    <row r="31" spans="1:14" s="565" customFormat="1" ht="96">
      <c r="A31" s="556" t="s">
        <v>499</v>
      </c>
      <c r="B31" s="557" t="s">
        <v>838</v>
      </c>
      <c r="C31" s="558"/>
      <c r="D31" s="559"/>
      <c r="E31" s="560"/>
      <c r="F31" s="561">
        <f t="shared" si="19"/>
        <v>0</v>
      </c>
      <c r="G31" s="574">
        <f>'SUB-2'!I48</f>
        <v>0</v>
      </c>
      <c r="H31" s="559" t="s">
        <v>10</v>
      </c>
      <c r="I31" s="574">
        <f>'SUB-2'!K48</f>
        <v>7542</v>
      </c>
      <c r="J31" s="561">
        <f t="shared" si="20"/>
        <v>0</v>
      </c>
      <c r="K31" s="563">
        <f t="shared" si="4"/>
        <v>0</v>
      </c>
      <c r="L31" s="563">
        <f t="shared" si="5"/>
        <v>0</v>
      </c>
      <c r="M31" s="564" t="s">
        <v>52</v>
      </c>
      <c r="N31" s="561">
        <f t="shared" si="6"/>
        <v>-7542</v>
      </c>
    </row>
    <row r="32" spans="1:14" s="565" customFormat="1" ht="72">
      <c r="A32" s="556"/>
      <c r="B32" s="557" t="s">
        <v>589</v>
      </c>
      <c r="C32" s="558"/>
      <c r="D32" s="559"/>
      <c r="E32" s="560"/>
      <c r="F32" s="561"/>
      <c r="G32" s="574">
        <f>'SUB-2'!I52</f>
        <v>0</v>
      </c>
      <c r="H32" s="559" t="s">
        <v>45</v>
      </c>
      <c r="I32" s="574">
        <f>'SUB-2'!K52</f>
        <v>86540.55</v>
      </c>
      <c r="J32" s="561">
        <f t="shared" si="20"/>
        <v>0</v>
      </c>
      <c r="K32" s="563">
        <f t="shared" si="4"/>
        <v>0</v>
      </c>
      <c r="L32" s="563">
        <f t="shared" si="5"/>
        <v>0</v>
      </c>
      <c r="M32" s="564" t="s">
        <v>52</v>
      </c>
      <c r="N32" s="561">
        <f t="shared" si="6"/>
        <v>-86540.55</v>
      </c>
    </row>
    <row r="33" spans="1:14" s="565" customFormat="1" ht="60">
      <c r="A33" s="556" t="s">
        <v>500</v>
      </c>
      <c r="B33" s="557" t="s">
        <v>885</v>
      </c>
      <c r="C33" s="558"/>
      <c r="D33" s="559"/>
      <c r="E33" s="560"/>
      <c r="F33" s="561">
        <f t="shared" ref="F33" si="21">ROUND(C33*E33,0)</f>
        <v>0</v>
      </c>
      <c r="G33" s="574">
        <f>'SUB-2'!I57</f>
        <v>0</v>
      </c>
      <c r="H33" s="559" t="s">
        <v>10</v>
      </c>
      <c r="I33" s="574">
        <f>'SUB-2'!K57</f>
        <v>279.77999999999997</v>
      </c>
      <c r="J33" s="561">
        <f>ROUND(G33*I33,0)</f>
        <v>0</v>
      </c>
      <c r="K33" s="563">
        <f t="shared" si="4"/>
        <v>0</v>
      </c>
      <c r="L33" s="563">
        <f t="shared" si="5"/>
        <v>0</v>
      </c>
      <c r="M33" s="564" t="s">
        <v>52</v>
      </c>
      <c r="N33" s="561">
        <f t="shared" si="6"/>
        <v>-279.77999999999997</v>
      </c>
    </row>
    <row r="34" spans="1:14" s="565" customFormat="1" ht="144">
      <c r="A34" s="556" t="s">
        <v>504</v>
      </c>
      <c r="B34" s="569" t="s">
        <v>135</v>
      </c>
      <c r="C34" s="566"/>
      <c r="D34" s="559"/>
      <c r="E34" s="560"/>
      <c r="F34" s="561">
        <f>ROUND(C34*E34,0)</f>
        <v>0</v>
      </c>
      <c r="G34" s="566">
        <f>'SUB-2'!I61</f>
        <v>0</v>
      </c>
      <c r="H34" s="567" t="s">
        <v>10</v>
      </c>
      <c r="I34" s="566">
        <f>'SUB-2'!K61</f>
        <v>7873.37</v>
      </c>
      <c r="J34" s="561">
        <f>ROUND(G34*I34,0)</f>
        <v>0</v>
      </c>
      <c r="K34" s="563">
        <f t="shared" si="4"/>
        <v>0</v>
      </c>
      <c r="L34" s="563">
        <f t="shared" si="5"/>
        <v>0</v>
      </c>
      <c r="M34" s="564" t="s">
        <v>52</v>
      </c>
      <c r="N34" s="561">
        <f t="shared" si="6"/>
        <v>-7873.37</v>
      </c>
    </row>
    <row r="35" spans="1:14" s="565" customFormat="1">
      <c r="A35" s="556"/>
      <c r="B35" s="557" t="s">
        <v>904</v>
      </c>
      <c r="C35" s="558"/>
      <c r="D35" s="559"/>
      <c r="E35" s="560"/>
      <c r="F35" s="561"/>
      <c r="G35" s="574"/>
      <c r="H35" s="559"/>
      <c r="I35" s="562"/>
      <c r="J35" s="561"/>
      <c r="K35" s="563">
        <f t="shared" si="4"/>
        <v>0</v>
      </c>
      <c r="L35" s="563">
        <f t="shared" si="5"/>
        <v>0</v>
      </c>
      <c r="M35" s="564" t="s">
        <v>52</v>
      </c>
      <c r="N35" s="561">
        <f t="shared" si="6"/>
        <v>0</v>
      </c>
    </row>
    <row r="36" spans="1:14" s="565" customFormat="1" ht="96">
      <c r="A36" s="556" t="s">
        <v>497</v>
      </c>
      <c r="B36" s="557" t="s">
        <v>587</v>
      </c>
      <c r="C36" s="558"/>
      <c r="D36" s="559"/>
      <c r="E36" s="560"/>
      <c r="F36" s="561">
        <f t="shared" ref="F36:F40" si="22">ROUND(C36*E36,0)</f>
        <v>0</v>
      </c>
      <c r="G36" s="574">
        <f>'SUB-3'!I12</f>
        <v>78.239999999999995</v>
      </c>
      <c r="H36" s="559" t="s">
        <v>10</v>
      </c>
      <c r="I36" s="574">
        <f>'SUB-3'!K12</f>
        <v>126.69</v>
      </c>
      <c r="J36" s="561">
        <f t="shared" ref="J36:J41" si="23">ROUND(G36*I36,0)</f>
        <v>9912</v>
      </c>
      <c r="K36" s="563">
        <f t="shared" si="4"/>
        <v>9912</v>
      </c>
      <c r="L36" s="563">
        <f t="shared" si="5"/>
        <v>0</v>
      </c>
      <c r="M36" s="564" t="s">
        <v>52</v>
      </c>
      <c r="N36" s="561">
        <f t="shared" si="6"/>
        <v>-126.69</v>
      </c>
    </row>
    <row r="37" spans="1:14" s="565" customFormat="1" ht="96">
      <c r="A37" s="556" t="s">
        <v>498</v>
      </c>
      <c r="B37" s="557" t="s">
        <v>866</v>
      </c>
      <c r="C37" s="558"/>
      <c r="D37" s="559"/>
      <c r="E37" s="560"/>
      <c r="F37" s="561">
        <f t="shared" si="22"/>
        <v>0</v>
      </c>
      <c r="G37" s="574">
        <f>'SUB-3'!I22</f>
        <v>17.53</v>
      </c>
      <c r="H37" s="559" t="s">
        <v>10</v>
      </c>
      <c r="I37" s="574">
        <f>'SUB-3'!K22</f>
        <v>5600.99</v>
      </c>
      <c r="J37" s="561">
        <f t="shared" si="23"/>
        <v>98185</v>
      </c>
      <c r="K37" s="563">
        <f t="shared" si="4"/>
        <v>98185</v>
      </c>
      <c r="L37" s="563">
        <f t="shared" si="5"/>
        <v>0</v>
      </c>
      <c r="M37" s="564" t="s">
        <v>52</v>
      </c>
      <c r="N37" s="561">
        <f t="shared" si="6"/>
        <v>-5600.99</v>
      </c>
    </row>
    <row r="38" spans="1:14" s="565" customFormat="1" ht="72">
      <c r="A38" s="556" t="s">
        <v>498</v>
      </c>
      <c r="B38" s="557" t="s">
        <v>867</v>
      </c>
      <c r="C38" s="558"/>
      <c r="D38" s="559"/>
      <c r="E38" s="560"/>
      <c r="F38" s="561">
        <f t="shared" si="22"/>
        <v>0</v>
      </c>
      <c r="G38" s="574">
        <f>'SUB-3'!I26</f>
        <v>22.5</v>
      </c>
      <c r="H38" s="559" t="s">
        <v>612</v>
      </c>
      <c r="I38" s="574">
        <f>'SUB-3'!K26</f>
        <v>9006.27</v>
      </c>
      <c r="J38" s="561">
        <f t="shared" si="23"/>
        <v>202641</v>
      </c>
      <c r="K38" s="563">
        <f t="shared" si="4"/>
        <v>202641</v>
      </c>
      <c r="L38" s="563">
        <f t="shared" si="5"/>
        <v>0</v>
      </c>
      <c r="M38" s="564" t="s">
        <v>52</v>
      </c>
      <c r="N38" s="561">
        <f t="shared" si="6"/>
        <v>-9006.27</v>
      </c>
    </row>
    <row r="39" spans="1:14" s="565" customFormat="1" ht="60">
      <c r="A39" s="556" t="s">
        <v>499</v>
      </c>
      <c r="B39" s="557" t="s">
        <v>435</v>
      </c>
      <c r="C39" s="558"/>
      <c r="D39" s="559"/>
      <c r="E39" s="560"/>
      <c r="F39" s="561">
        <f t="shared" si="22"/>
        <v>0</v>
      </c>
      <c r="G39" s="574">
        <f>'SUB-3'!I32</f>
        <v>41.489999999999995</v>
      </c>
      <c r="H39" s="559" t="s">
        <v>10</v>
      </c>
      <c r="I39" s="574">
        <f>'SUB-3'!K32</f>
        <v>5954.5599999999995</v>
      </c>
      <c r="J39" s="561">
        <f t="shared" si="23"/>
        <v>247055</v>
      </c>
      <c r="K39" s="563">
        <f t="shared" si="4"/>
        <v>247055</v>
      </c>
      <c r="L39" s="563">
        <f t="shared" si="5"/>
        <v>0</v>
      </c>
      <c r="M39" s="564" t="s">
        <v>52</v>
      </c>
      <c r="N39" s="561">
        <f t="shared" si="6"/>
        <v>-5954.5599999999995</v>
      </c>
    </row>
    <row r="40" spans="1:14" s="565" customFormat="1" ht="96">
      <c r="A40" s="556" t="s">
        <v>499</v>
      </c>
      <c r="B40" s="557" t="s">
        <v>838</v>
      </c>
      <c r="C40" s="558"/>
      <c r="D40" s="559"/>
      <c r="E40" s="560"/>
      <c r="F40" s="561">
        <f t="shared" si="22"/>
        <v>0</v>
      </c>
      <c r="G40" s="574">
        <f>'SUB-3'!I36</f>
        <v>0</v>
      </c>
      <c r="H40" s="559" t="s">
        <v>10</v>
      </c>
      <c r="I40" s="574">
        <f>'SUB-3'!K36</f>
        <v>7542</v>
      </c>
      <c r="J40" s="561">
        <f t="shared" si="23"/>
        <v>0</v>
      </c>
      <c r="K40" s="563">
        <f t="shared" si="4"/>
        <v>0</v>
      </c>
      <c r="L40" s="563">
        <f t="shared" si="5"/>
        <v>0</v>
      </c>
      <c r="M40" s="564" t="s">
        <v>52</v>
      </c>
      <c r="N40" s="561">
        <f t="shared" si="6"/>
        <v>-7542</v>
      </c>
    </row>
    <row r="41" spans="1:14" s="565" customFormat="1" ht="72">
      <c r="A41" s="556"/>
      <c r="B41" s="557" t="s">
        <v>589</v>
      </c>
      <c r="C41" s="558"/>
      <c r="D41" s="559"/>
      <c r="E41" s="560"/>
      <c r="F41" s="561"/>
      <c r="G41" s="574">
        <f>'SUB-3'!I40</f>
        <v>0</v>
      </c>
      <c r="H41" s="559" t="s">
        <v>45</v>
      </c>
      <c r="I41" s="574">
        <f>'SUB-3'!K40</f>
        <v>86540.55</v>
      </c>
      <c r="J41" s="561">
        <f t="shared" si="23"/>
        <v>0</v>
      </c>
      <c r="K41" s="563">
        <f t="shared" si="4"/>
        <v>0</v>
      </c>
      <c r="L41" s="563">
        <f t="shared" si="5"/>
        <v>0</v>
      </c>
      <c r="M41" s="564" t="s">
        <v>52</v>
      </c>
      <c r="N41" s="561">
        <f t="shared" si="6"/>
        <v>-86540.55</v>
      </c>
    </row>
    <row r="42" spans="1:14" s="565" customFormat="1" ht="60">
      <c r="A42" s="556" t="s">
        <v>500</v>
      </c>
      <c r="B42" s="557" t="s">
        <v>885</v>
      </c>
      <c r="C42" s="558"/>
      <c r="D42" s="559"/>
      <c r="E42" s="560"/>
      <c r="F42" s="561">
        <f t="shared" ref="F42" si="24">ROUND(C42*E42,0)</f>
        <v>0</v>
      </c>
      <c r="G42" s="574">
        <f>'SUB-3'!I45</f>
        <v>40.700000000000003</v>
      </c>
      <c r="H42" s="559" t="s">
        <v>10</v>
      </c>
      <c r="I42" s="574">
        <f>'SUB-3'!K45</f>
        <v>279.77999999999997</v>
      </c>
      <c r="J42" s="561">
        <f>ROUND(G42*I42,0)</f>
        <v>11387</v>
      </c>
      <c r="K42" s="563">
        <f t="shared" si="4"/>
        <v>11387</v>
      </c>
      <c r="L42" s="563">
        <f t="shared" si="5"/>
        <v>0</v>
      </c>
      <c r="M42" s="564" t="s">
        <v>52</v>
      </c>
      <c r="N42" s="561">
        <f t="shared" si="6"/>
        <v>-279.77999999999997</v>
      </c>
    </row>
    <row r="43" spans="1:14" s="565" customFormat="1" ht="144">
      <c r="A43" s="556" t="s">
        <v>504</v>
      </c>
      <c r="B43" s="569" t="s">
        <v>135</v>
      </c>
      <c r="C43" s="566"/>
      <c r="D43" s="559"/>
      <c r="E43" s="560"/>
      <c r="F43" s="561">
        <f>ROUND(C43*E43,0)</f>
        <v>0</v>
      </c>
      <c r="G43" s="566">
        <f>'SUB-3'!I49</f>
        <v>0</v>
      </c>
      <c r="H43" s="567" t="s">
        <v>10</v>
      </c>
      <c r="I43" s="566">
        <f>'SUB-3'!K49</f>
        <v>7873.37</v>
      </c>
      <c r="J43" s="561">
        <f>ROUND(G43*I43,0)</f>
        <v>0</v>
      </c>
      <c r="K43" s="563">
        <f t="shared" si="4"/>
        <v>0</v>
      </c>
      <c r="L43" s="563">
        <f t="shared" si="5"/>
        <v>0</v>
      </c>
      <c r="M43" s="564" t="s">
        <v>52</v>
      </c>
      <c r="N43" s="561">
        <f t="shared" si="6"/>
        <v>-7873.37</v>
      </c>
    </row>
    <row r="44" spans="1:14" s="565" customFormat="1">
      <c r="A44" s="556"/>
      <c r="B44" s="557" t="s">
        <v>904</v>
      </c>
      <c r="C44" s="558"/>
      <c r="D44" s="559"/>
      <c r="E44" s="560"/>
      <c r="F44" s="561"/>
      <c r="G44" s="574"/>
      <c r="H44" s="559"/>
      <c r="I44" s="562"/>
      <c r="J44" s="561"/>
      <c r="K44" s="563">
        <f t="shared" si="4"/>
        <v>0</v>
      </c>
      <c r="L44" s="563">
        <f t="shared" si="5"/>
        <v>0</v>
      </c>
      <c r="M44" s="564" t="s">
        <v>52</v>
      </c>
      <c r="N44" s="561">
        <f t="shared" si="6"/>
        <v>0</v>
      </c>
    </row>
    <row r="45" spans="1:14" s="565" customFormat="1" ht="96">
      <c r="A45" s="556" t="s">
        <v>497</v>
      </c>
      <c r="B45" s="557" t="s">
        <v>587</v>
      </c>
      <c r="C45" s="558"/>
      <c r="D45" s="559"/>
      <c r="E45" s="560"/>
      <c r="F45" s="561">
        <f t="shared" ref="F45:F49" si="25">ROUND(C45*E45,0)</f>
        <v>0</v>
      </c>
      <c r="G45" s="574">
        <f>'SUB-4'!I12</f>
        <v>0</v>
      </c>
      <c r="H45" s="559" t="s">
        <v>10</v>
      </c>
      <c r="I45" s="574">
        <f>'SUB-4'!K12</f>
        <v>126.69</v>
      </c>
      <c r="J45" s="561">
        <f t="shared" ref="J45:J50" si="26">ROUND(G45*I45,0)</f>
        <v>0</v>
      </c>
      <c r="K45" s="563">
        <f t="shared" si="4"/>
        <v>0</v>
      </c>
      <c r="L45" s="563">
        <f t="shared" si="5"/>
        <v>0</v>
      </c>
      <c r="M45" s="564" t="s">
        <v>52</v>
      </c>
      <c r="N45" s="561">
        <f t="shared" si="6"/>
        <v>-126.69</v>
      </c>
    </row>
    <row r="46" spans="1:14" s="565" customFormat="1" ht="96">
      <c r="A46" s="556" t="s">
        <v>498</v>
      </c>
      <c r="B46" s="557" t="s">
        <v>866</v>
      </c>
      <c r="C46" s="558"/>
      <c r="D46" s="559"/>
      <c r="E46" s="560"/>
      <c r="F46" s="561">
        <f t="shared" si="25"/>
        <v>0</v>
      </c>
      <c r="G46" s="574">
        <f>'SUB-4'!I22</f>
        <v>0</v>
      </c>
      <c r="H46" s="559" t="s">
        <v>10</v>
      </c>
      <c r="I46" s="574">
        <f>'SUB-4'!K22</f>
        <v>5600.99</v>
      </c>
      <c r="J46" s="561">
        <f t="shared" si="26"/>
        <v>0</v>
      </c>
      <c r="K46" s="563">
        <f t="shared" si="4"/>
        <v>0</v>
      </c>
      <c r="L46" s="563">
        <f t="shared" si="5"/>
        <v>0</v>
      </c>
      <c r="M46" s="564" t="s">
        <v>52</v>
      </c>
      <c r="N46" s="561">
        <f t="shared" si="6"/>
        <v>-5600.99</v>
      </c>
    </row>
    <row r="47" spans="1:14" s="565" customFormat="1" ht="72">
      <c r="A47" s="556" t="s">
        <v>498</v>
      </c>
      <c r="B47" s="557" t="s">
        <v>867</v>
      </c>
      <c r="C47" s="558"/>
      <c r="D47" s="559"/>
      <c r="E47" s="560"/>
      <c r="F47" s="561">
        <f t="shared" si="25"/>
        <v>0</v>
      </c>
      <c r="G47" s="574">
        <f>'SUB-4'!I26</f>
        <v>0</v>
      </c>
      <c r="H47" s="559" t="s">
        <v>612</v>
      </c>
      <c r="I47" s="574">
        <f>'SUB-4'!K26</f>
        <v>9006.27</v>
      </c>
      <c r="J47" s="561">
        <f t="shared" si="26"/>
        <v>0</v>
      </c>
      <c r="K47" s="563">
        <f t="shared" si="4"/>
        <v>0</v>
      </c>
      <c r="L47" s="563">
        <f t="shared" si="5"/>
        <v>0</v>
      </c>
      <c r="M47" s="564" t="s">
        <v>52</v>
      </c>
      <c r="N47" s="561">
        <f t="shared" si="6"/>
        <v>-9006.27</v>
      </c>
    </row>
    <row r="48" spans="1:14" s="565" customFormat="1" ht="60">
      <c r="A48" s="556" t="s">
        <v>499</v>
      </c>
      <c r="B48" s="557" t="s">
        <v>435</v>
      </c>
      <c r="C48" s="558"/>
      <c r="D48" s="559"/>
      <c r="E48" s="560"/>
      <c r="F48" s="561">
        <f t="shared" si="25"/>
        <v>0</v>
      </c>
      <c r="G48" s="574">
        <f>'SUB-4'!I32</f>
        <v>0</v>
      </c>
      <c r="H48" s="559" t="s">
        <v>10</v>
      </c>
      <c r="I48" s="574">
        <f>'SUB-4'!K32</f>
        <v>5954.5599999999995</v>
      </c>
      <c r="J48" s="561">
        <f t="shared" si="26"/>
        <v>0</v>
      </c>
      <c r="K48" s="563">
        <f t="shared" si="4"/>
        <v>0</v>
      </c>
      <c r="L48" s="563">
        <f t="shared" si="5"/>
        <v>0</v>
      </c>
      <c r="M48" s="564" t="s">
        <v>52</v>
      </c>
      <c r="N48" s="561">
        <f t="shared" si="6"/>
        <v>-5954.5599999999995</v>
      </c>
    </row>
    <row r="49" spans="1:14" s="565" customFormat="1" ht="96">
      <c r="A49" s="556" t="s">
        <v>499</v>
      </c>
      <c r="B49" s="557" t="s">
        <v>838</v>
      </c>
      <c r="C49" s="558"/>
      <c r="D49" s="559"/>
      <c r="E49" s="560"/>
      <c r="F49" s="561">
        <f t="shared" si="25"/>
        <v>0</v>
      </c>
      <c r="G49" s="574">
        <f>'SUB-4'!I36</f>
        <v>0</v>
      </c>
      <c r="H49" s="559" t="s">
        <v>10</v>
      </c>
      <c r="I49" s="574">
        <f>'SUB-4'!K36</f>
        <v>7542</v>
      </c>
      <c r="J49" s="561">
        <f t="shared" si="26"/>
        <v>0</v>
      </c>
      <c r="K49" s="563">
        <f t="shared" si="4"/>
        <v>0</v>
      </c>
      <c r="L49" s="563">
        <f t="shared" si="5"/>
        <v>0</v>
      </c>
      <c r="M49" s="564" t="s">
        <v>52</v>
      </c>
      <c r="N49" s="561">
        <f t="shared" si="6"/>
        <v>-7542</v>
      </c>
    </row>
    <row r="50" spans="1:14" s="565" customFormat="1" ht="72">
      <c r="A50" s="556"/>
      <c r="B50" s="557" t="s">
        <v>589</v>
      </c>
      <c r="C50" s="558"/>
      <c r="D50" s="559"/>
      <c r="E50" s="560"/>
      <c r="F50" s="561"/>
      <c r="G50" s="574">
        <f>'SUB-4'!I40</f>
        <v>0</v>
      </c>
      <c r="H50" s="559" t="s">
        <v>45</v>
      </c>
      <c r="I50" s="574">
        <f>'SUB-4'!K40</f>
        <v>86540.55</v>
      </c>
      <c r="J50" s="561">
        <f t="shared" si="26"/>
        <v>0</v>
      </c>
      <c r="K50" s="563">
        <f t="shared" si="4"/>
        <v>0</v>
      </c>
      <c r="L50" s="563">
        <f t="shared" si="5"/>
        <v>0</v>
      </c>
      <c r="M50" s="564" t="s">
        <v>52</v>
      </c>
      <c r="N50" s="561">
        <f t="shared" si="6"/>
        <v>-86540.55</v>
      </c>
    </row>
    <row r="51" spans="1:14" s="565" customFormat="1" ht="60">
      <c r="A51" s="556" t="s">
        <v>500</v>
      </c>
      <c r="B51" s="557" t="s">
        <v>885</v>
      </c>
      <c r="C51" s="558"/>
      <c r="D51" s="559"/>
      <c r="E51" s="560"/>
      <c r="F51" s="561">
        <f t="shared" ref="F51" si="27">ROUND(C51*E51,0)</f>
        <v>0</v>
      </c>
      <c r="G51" s="574">
        <f>'SUB-4'!I45</f>
        <v>0</v>
      </c>
      <c r="H51" s="559" t="s">
        <v>10</v>
      </c>
      <c r="I51" s="574">
        <f>'SUB-4'!K45</f>
        <v>279.77999999999997</v>
      </c>
      <c r="J51" s="561">
        <f>ROUND(G51*I51,0)</f>
        <v>0</v>
      </c>
      <c r="K51" s="563">
        <f t="shared" si="4"/>
        <v>0</v>
      </c>
      <c r="L51" s="563">
        <f t="shared" si="5"/>
        <v>0</v>
      </c>
      <c r="M51" s="564" t="s">
        <v>52</v>
      </c>
      <c r="N51" s="561">
        <f t="shared" si="6"/>
        <v>-279.77999999999997</v>
      </c>
    </row>
    <row r="52" spans="1:14" s="565" customFormat="1" ht="144">
      <c r="A52" s="556" t="s">
        <v>504</v>
      </c>
      <c r="B52" s="569" t="s">
        <v>135</v>
      </c>
      <c r="C52" s="566"/>
      <c r="D52" s="559"/>
      <c r="E52" s="560"/>
      <c r="F52" s="561">
        <f>ROUND(C52*E52,0)</f>
        <v>0</v>
      </c>
      <c r="G52" s="566">
        <f>'SUB-4'!I49</f>
        <v>0</v>
      </c>
      <c r="H52" s="567" t="s">
        <v>10</v>
      </c>
      <c r="I52" s="566">
        <f>'SUB-4'!K49</f>
        <v>7873.37</v>
      </c>
      <c r="J52" s="561">
        <f>ROUND(G52*I52,0)</f>
        <v>0</v>
      </c>
      <c r="K52" s="563">
        <f t="shared" si="4"/>
        <v>0</v>
      </c>
      <c r="L52" s="563">
        <f t="shared" si="5"/>
        <v>0</v>
      </c>
      <c r="M52" s="564" t="s">
        <v>52</v>
      </c>
      <c r="N52" s="561">
        <f t="shared" si="6"/>
        <v>-7873.37</v>
      </c>
    </row>
    <row r="53" spans="1:14" s="565" customFormat="1">
      <c r="A53" s="556"/>
      <c r="B53" s="557" t="s">
        <v>904</v>
      </c>
      <c r="C53" s="558"/>
      <c r="D53" s="559"/>
      <c r="E53" s="560"/>
      <c r="F53" s="561"/>
      <c r="G53" s="574"/>
      <c r="H53" s="559"/>
      <c r="I53" s="562"/>
      <c r="J53" s="561"/>
      <c r="K53" s="563">
        <f t="shared" si="4"/>
        <v>0</v>
      </c>
      <c r="L53" s="563">
        <f t="shared" si="5"/>
        <v>0</v>
      </c>
      <c r="M53" s="564" t="s">
        <v>52</v>
      </c>
      <c r="N53" s="561">
        <f t="shared" si="6"/>
        <v>0</v>
      </c>
    </row>
    <row r="54" spans="1:14" s="565" customFormat="1" ht="96">
      <c r="A54" s="556" t="s">
        <v>497</v>
      </c>
      <c r="B54" s="557" t="s">
        <v>587</v>
      </c>
      <c r="C54" s="558"/>
      <c r="D54" s="559"/>
      <c r="E54" s="560"/>
      <c r="F54" s="561">
        <f t="shared" ref="F54:F56" si="28">ROUND(C54*E54,0)</f>
        <v>0</v>
      </c>
      <c r="G54" s="574">
        <f>'sub-5'!I11</f>
        <v>0</v>
      </c>
      <c r="H54" s="559" t="s">
        <v>10</v>
      </c>
      <c r="I54" s="574">
        <f>'sub-5'!K11</f>
        <v>126.69</v>
      </c>
      <c r="J54" s="561">
        <f t="shared" ref="J54:J56" si="29">ROUND(G54*I54,0)</f>
        <v>0</v>
      </c>
      <c r="K54" s="563">
        <f t="shared" si="4"/>
        <v>0</v>
      </c>
      <c r="L54" s="563">
        <f t="shared" si="5"/>
        <v>0</v>
      </c>
      <c r="M54" s="564" t="s">
        <v>52</v>
      </c>
      <c r="N54" s="561">
        <f t="shared" si="6"/>
        <v>-126.69</v>
      </c>
    </row>
    <row r="55" spans="1:14" s="565" customFormat="1" ht="96">
      <c r="A55" s="556" t="s">
        <v>498</v>
      </c>
      <c r="B55" s="557" t="s">
        <v>866</v>
      </c>
      <c r="C55" s="558"/>
      <c r="D55" s="559"/>
      <c r="E55" s="560"/>
      <c r="F55" s="561">
        <f t="shared" si="28"/>
        <v>0</v>
      </c>
      <c r="G55" s="574">
        <f>'sub-5'!I18</f>
        <v>0</v>
      </c>
      <c r="H55" s="559" t="s">
        <v>10</v>
      </c>
      <c r="I55" s="574">
        <f>'sub-5'!K18</f>
        <v>5600.99</v>
      </c>
      <c r="J55" s="561">
        <f t="shared" si="29"/>
        <v>0</v>
      </c>
      <c r="K55" s="563">
        <f t="shared" si="4"/>
        <v>0</v>
      </c>
      <c r="L55" s="563">
        <f t="shared" si="5"/>
        <v>0</v>
      </c>
      <c r="M55" s="564" t="s">
        <v>52</v>
      </c>
      <c r="N55" s="561">
        <f t="shared" si="6"/>
        <v>-5600.99</v>
      </c>
    </row>
    <row r="56" spans="1:14" s="565" customFormat="1" ht="72">
      <c r="A56" s="556" t="s">
        <v>498</v>
      </c>
      <c r="B56" s="557" t="s">
        <v>1086</v>
      </c>
      <c r="C56" s="558"/>
      <c r="D56" s="559"/>
      <c r="E56" s="560"/>
      <c r="F56" s="561">
        <f t="shared" si="28"/>
        <v>0</v>
      </c>
      <c r="G56" s="574">
        <f>'sub-5'!I22</f>
        <v>0</v>
      </c>
      <c r="H56" s="559" t="s">
        <v>612</v>
      </c>
      <c r="I56" s="574">
        <f>'sub-5'!K22</f>
        <v>3804.82</v>
      </c>
      <c r="J56" s="561">
        <f t="shared" si="29"/>
        <v>0</v>
      </c>
      <c r="K56" s="563">
        <f t="shared" si="4"/>
        <v>0</v>
      </c>
      <c r="L56" s="563">
        <f t="shared" si="5"/>
        <v>0</v>
      </c>
      <c r="M56" s="564" t="s">
        <v>52</v>
      </c>
      <c r="N56" s="561">
        <f t="shared" si="6"/>
        <v>-3804.82</v>
      </c>
    </row>
    <row r="57" spans="1:14" s="565" customFormat="1">
      <c r="A57" s="556"/>
      <c r="B57" s="557" t="s">
        <v>904</v>
      </c>
      <c r="C57" s="558"/>
      <c r="D57" s="559"/>
      <c r="E57" s="560"/>
      <c r="F57" s="561"/>
      <c r="G57" s="574"/>
      <c r="H57" s="559"/>
      <c r="I57" s="562"/>
      <c r="J57" s="561"/>
      <c r="K57" s="563">
        <f t="shared" si="4"/>
        <v>0</v>
      </c>
      <c r="L57" s="563">
        <f t="shared" si="5"/>
        <v>0</v>
      </c>
      <c r="M57" s="564" t="s">
        <v>52</v>
      </c>
      <c r="N57" s="561">
        <f t="shared" si="6"/>
        <v>0</v>
      </c>
    </row>
    <row r="58" spans="1:14" s="565" customFormat="1" ht="24">
      <c r="A58" s="556" t="s">
        <v>497</v>
      </c>
      <c r="B58" s="557" t="s">
        <v>1054</v>
      </c>
      <c r="C58" s="558"/>
      <c r="D58" s="559"/>
      <c r="E58" s="560"/>
      <c r="F58" s="561">
        <f t="shared" ref="F58" si="30">ROUND(C58*E58,0)</f>
        <v>0</v>
      </c>
      <c r="G58" s="574">
        <f>'sub-6'!I11</f>
        <v>3</v>
      </c>
      <c r="H58" s="559" t="s">
        <v>60</v>
      </c>
      <c r="I58" s="574">
        <f>'sub-6'!K11</f>
        <v>3148.81</v>
      </c>
      <c r="J58" s="561">
        <f t="shared" ref="J58" si="31">ROUND(G58*I58,0)</f>
        <v>9446</v>
      </c>
      <c r="K58" s="563">
        <f t="shared" si="4"/>
        <v>9446</v>
      </c>
      <c r="L58" s="563">
        <f t="shared" si="5"/>
        <v>0</v>
      </c>
      <c r="M58" s="564" t="s">
        <v>52</v>
      </c>
      <c r="N58" s="561">
        <f t="shared" si="6"/>
        <v>-3148.81</v>
      </c>
    </row>
    <row r="59" spans="1:14" s="565" customFormat="1" ht="24">
      <c r="A59" s="556" t="s">
        <v>497</v>
      </c>
      <c r="B59" s="557" t="s">
        <v>1056</v>
      </c>
      <c r="C59" s="558"/>
      <c r="D59" s="559"/>
      <c r="E59" s="560"/>
      <c r="F59" s="561">
        <f t="shared" ref="F59" si="32">ROUND(C59*E59,0)</f>
        <v>0</v>
      </c>
      <c r="G59" s="574">
        <f>'sub-6'!I15</f>
        <v>7</v>
      </c>
      <c r="H59" s="559" t="s">
        <v>60</v>
      </c>
      <c r="I59" s="574">
        <f>'sub-6'!K15</f>
        <v>883.73</v>
      </c>
      <c r="J59" s="561">
        <f t="shared" ref="J59:J60" si="33">ROUND(G59*I59,0)</f>
        <v>6186</v>
      </c>
      <c r="K59" s="563">
        <f t="shared" si="4"/>
        <v>6186</v>
      </c>
      <c r="L59" s="563">
        <f t="shared" si="5"/>
        <v>0</v>
      </c>
      <c r="M59" s="564" t="s">
        <v>52</v>
      </c>
      <c r="N59" s="561">
        <f t="shared" si="6"/>
        <v>-883.73</v>
      </c>
    </row>
    <row r="60" spans="1:14" s="565" customFormat="1" ht="132">
      <c r="A60" s="556"/>
      <c r="B60" s="557" t="s">
        <v>1063</v>
      </c>
      <c r="C60" s="558"/>
      <c r="D60" s="559"/>
      <c r="E60" s="560"/>
      <c r="F60" s="561"/>
      <c r="G60" s="574">
        <f>'sub-6'!I19</f>
        <v>0</v>
      </c>
      <c r="H60" s="559" t="s">
        <v>60</v>
      </c>
      <c r="I60" s="574">
        <f>'sub-6'!K19</f>
        <v>2623.8420000000001</v>
      </c>
      <c r="J60" s="561">
        <f t="shared" si="33"/>
        <v>0</v>
      </c>
      <c r="K60" s="563">
        <f t="shared" si="4"/>
        <v>0</v>
      </c>
      <c r="L60" s="563">
        <f t="shared" si="5"/>
        <v>0</v>
      </c>
      <c r="M60" s="564" t="s">
        <v>52</v>
      </c>
      <c r="N60" s="561">
        <f t="shared" si="6"/>
        <v>-2623.8420000000001</v>
      </c>
    </row>
    <row r="61" spans="1:14" s="565" customFormat="1" ht="180">
      <c r="A61" s="556"/>
      <c r="B61" s="557" t="s">
        <v>1060</v>
      </c>
      <c r="C61" s="558"/>
      <c r="D61" s="559"/>
      <c r="E61" s="560"/>
      <c r="F61" s="561"/>
      <c r="G61" s="574">
        <f>'sub-6'!I23</f>
        <v>0</v>
      </c>
      <c r="H61" s="559" t="s">
        <v>84</v>
      </c>
      <c r="I61" s="574">
        <f>'sub-6'!K23</f>
        <v>2222.59</v>
      </c>
      <c r="J61" s="561">
        <f t="shared" ref="J61" si="34">ROUND(G61*I61,0)</f>
        <v>0</v>
      </c>
      <c r="K61" s="563">
        <f t="shared" si="4"/>
        <v>0</v>
      </c>
      <c r="L61" s="563">
        <f t="shared" si="5"/>
        <v>0</v>
      </c>
      <c r="M61" s="564" t="s">
        <v>52</v>
      </c>
      <c r="N61" s="561">
        <f t="shared" si="6"/>
        <v>-2222.59</v>
      </c>
    </row>
    <row r="62" spans="1:14" s="565" customFormat="1" ht="156">
      <c r="A62" s="556"/>
      <c r="B62" s="557" t="s">
        <v>1059</v>
      </c>
      <c r="C62" s="558"/>
      <c r="D62" s="559"/>
      <c r="E62" s="560"/>
      <c r="F62" s="561"/>
      <c r="G62" s="574">
        <f>'sub-6'!I27</f>
        <v>0</v>
      </c>
      <c r="H62" s="559" t="s">
        <v>84</v>
      </c>
      <c r="I62" s="574">
        <f>'sub-6'!K27</f>
        <v>2222.6556666666665</v>
      </c>
      <c r="J62" s="561">
        <f t="shared" ref="J62" si="35">ROUND(G62*I62,0)</f>
        <v>0</v>
      </c>
      <c r="K62" s="563">
        <f t="shared" si="4"/>
        <v>0</v>
      </c>
      <c r="L62" s="563">
        <f t="shared" si="5"/>
        <v>0</v>
      </c>
      <c r="M62" s="564" t="s">
        <v>52</v>
      </c>
      <c r="N62" s="561">
        <f t="shared" si="6"/>
        <v>-2222.6556666666665</v>
      </c>
    </row>
    <row r="63" spans="1:14" s="565" customFormat="1" ht="168">
      <c r="A63" s="556"/>
      <c r="B63" s="557" t="s">
        <v>1058</v>
      </c>
      <c r="C63" s="558"/>
      <c r="D63" s="559"/>
      <c r="E63" s="560"/>
      <c r="F63" s="561"/>
      <c r="G63" s="574">
        <f>'sub-6'!I31</f>
        <v>336</v>
      </c>
      <c r="H63" s="559" t="s">
        <v>84</v>
      </c>
      <c r="I63" s="574">
        <f>'sub-6'!K31</f>
        <v>636.24</v>
      </c>
      <c r="J63" s="561">
        <f t="shared" ref="J63" si="36">ROUND(G63*I63,0)</f>
        <v>213777</v>
      </c>
      <c r="K63" s="563">
        <f t="shared" si="4"/>
        <v>213777</v>
      </c>
      <c r="L63" s="563">
        <f t="shared" si="5"/>
        <v>0</v>
      </c>
      <c r="M63" s="564" t="s">
        <v>52</v>
      </c>
      <c r="N63" s="561">
        <f t="shared" si="6"/>
        <v>-636.24</v>
      </c>
    </row>
    <row r="64" spans="1:14" s="565" customFormat="1" ht="24">
      <c r="A64" s="556" t="s">
        <v>635</v>
      </c>
      <c r="B64" s="557" t="s">
        <v>636</v>
      </c>
      <c r="C64" s="572"/>
      <c r="D64" s="573"/>
      <c r="E64" s="570"/>
      <c r="F64" s="561"/>
      <c r="G64" s="566"/>
      <c r="H64" s="567"/>
      <c r="I64" s="568"/>
      <c r="J64" s="561">
        <f>Abstract!M15</f>
        <v>960158</v>
      </c>
      <c r="K64" s="563">
        <f t="shared" si="4"/>
        <v>960158</v>
      </c>
      <c r="L64" s="563">
        <f t="shared" si="5"/>
        <v>0</v>
      </c>
      <c r="M64" s="564" t="s">
        <v>52</v>
      </c>
      <c r="N64" s="561">
        <f t="shared" si="6"/>
        <v>0</v>
      </c>
    </row>
    <row r="65" spans="1:14" s="565" customFormat="1">
      <c r="A65" s="556" t="s">
        <v>667</v>
      </c>
      <c r="B65" s="557" t="s">
        <v>162</v>
      </c>
      <c r="C65" s="574"/>
      <c r="D65" s="571"/>
      <c r="E65" s="562"/>
      <c r="F65" s="561"/>
      <c r="G65" s="566"/>
      <c r="H65" s="567"/>
      <c r="I65" s="568"/>
      <c r="J65" s="561">
        <f>Abstract!M17</f>
        <v>50892</v>
      </c>
      <c r="K65" s="563">
        <f t="shared" si="4"/>
        <v>50892</v>
      </c>
      <c r="L65" s="563">
        <f t="shared" si="5"/>
        <v>0</v>
      </c>
      <c r="M65" s="564" t="s">
        <v>52</v>
      </c>
      <c r="N65" s="561">
        <f t="shared" si="6"/>
        <v>0</v>
      </c>
    </row>
    <row r="66" spans="1:14" s="565" customFormat="1">
      <c r="A66" s="556" t="s">
        <v>504</v>
      </c>
      <c r="B66" s="557" t="s">
        <v>267</v>
      </c>
      <c r="C66" s="574"/>
      <c r="D66" s="571"/>
      <c r="E66" s="562"/>
      <c r="F66" s="561"/>
      <c r="G66" s="566"/>
      <c r="H66" s="567"/>
      <c r="I66" s="568"/>
      <c r="J66" s="561">
        <f>Abstract!M18</f>
        <v>2004957</v>
      </c>
      <c r="K66" s="563">
        <f t="shared" si="4"/>
        <v>2004957</v>
      </c>
      <c r="L66" s="563">
        <f t="shared" si="5"/>
        <v>0</v>
      </c>
      <c r="M66" s="564" t="s">
        <v>52</v>
      </c>
      <c r="N66" s="561">
        <f t="shared" si="6"/>
        <v>0</v>
      </c>
    </row>
    <row r="67" spans="1:14" s="565" customFormat="1">
      <c r="A67" s="556"/>
      <c r="B67" s="557" t="s">
        <v>894</v>
      </c>
      <c r="C67" s="574"/>
      <c r="D67" s="571"/>
      <c r="E67" s="562"/>
      <c r="F67" s="561"/>
      <c r="G67" s="566"/>
      <c r="H67" s="567"/>
      <c r="I67" s="568"/>
      <c r="J67" s="561">
        <f>Abstract!M19</f>
        <v>0</v>
      </c>
      <c r="K67" s="563">
        <f t="shared" si="4"/>
        <v>0</v>
      </c>
      <c r="L67" s="563">
        <f t="shared" si="5"/>
        <v>0</v>
      </c>
      <c r="M67" s="564" t="s">
        <v>52</v>
      </c>
      <c r="N67" s="561">
        <f t="shared" si="6"/>
        <v>0</v>
      </c>
    </row>
    <row r="68" spans="1:14" s="565" customFormat="1">
      <c r="A68" s="556" t="s">
        <v>668</v>
      </c>
      <c r="B68" s="557" t="s">
        <v>354</v>
      </c>
      <c r="C68" s="574"/>
      <c r="D68" s="571"/>
      <c r="E68" s="562"/>
      <c r="F68" s="575"/>
      <c r="G68" s="566"/>
      <c r="H68" s="567"/>
      <c r="I68" s="568"/>
      <c r="J68" s="561">
        <f>Abstract!M20</f>
        <v>0</v>
      </c>
      <c r="K68" s="563">
        <f t="shared" si="4"/>
        <v>0</v>
      </c>
      <c r="L68" s="563">
        <f t="shared" si="5"/>
        <v>0</v>
      </c>
      <c r="M68" s="564" t="s">
        <v>52</v>
      </c>
      <c r="N68" s="561">
        <f t="shared" si="6"/>
        <v>0</v>
      </c>
    </row>
    <row r="69" spans="1:14" s="565" customFormat="1">
      <c r="A69" s="556" t="s">
        <v>669</v>
      </c>
      <c r="B69" s="557" t="s">
        <v>637</v>
      </c>
      <c r="C69" s="574"/>
      <c r="D69" s="571"/>
      <c r="E69" s="562"/>
      <c r="F69" s="575"/>
      <c r="G69" s="566"/>
      <c r="H69" s="567"/>
      <c r="I69" s="568"/>
      <c r="J69" s="561">
        <f>Abstract!M21</f>
        <v>805500</v>
      </c>
      <c r="K69" s="563">
        <f t="shared" si="4"/>
        <v>805500</v>
      </c>
      <c r="L69" s="563">
        <f t="shared" si="5"/>
        <v>0</v>
      </c>
      <c r="M69" s="564" t="s">
        <v>52</v>
      </c>
      <c r="N69" s="561">
        <f t="shared" si="6"/>
        <v>0</v>
      </c>
    </row>
    <row r="70" spans="1:14" s="565" customFormat="1">
      <c r="A70" s="556"/>
      <c r="B70" s="557"/>
      <c r="C70" s="574"/>
      <c r="D70" s="571"/>
      <c r="E70" s="562"/>
      <c r="F70" s="575"/>
      <c r="G70" s="566"/>
      <c r="H70" s="567"/>
      <c r="I70" s="568"/>
      <c r="J70" s="561"/>
      <c r="K70" s="563">
        <f t="shared" ref="K70" si="37">IF(J70&gt;F70,J70-F70,0)</f>
        <v>0</v>
      </c>
      <c r="L70" s="563">
        <f t="shared" ref="L70" si="38">IF(J70&lt;F70,F70-J70,0)</f>
        <v>0</v>
      </c>
      <c r="M70" s="564" t="s">
        <v>52</v>
      </c>
      <c r="N70" s="561">
        <f t="shared" ref="N70" si="39">E70-I70</f>
        <v>0</v>
      </c>
    </row>
    <row r="71" spans="1:14" s="565" customFormat="1" ht="12.75" customHeight="1">
      <c r="A71" s="556"/>
      <c r="B71" s="576"/>
      <c r="C71" s="1164" t="s">
        <v>628</v>
      </c>
      <c r="D71" s="1164"/>
      <c r="E71" s="1165"/>
      <c r="F71" s="577">
        <f>SUM(F7:F70)</f>
        <v>0</v>
      </c>
      <c r="G71" s="566"/>
      <c r="H71" s="578"/>
      <c r="I71" s="564"/>
      <c r="J71" s="577">
        <f>SUM(J7:J70)</f>
        <v>14000000</v>
      </c>
      <c r="K71" s="577">
        <f>SUM(K7:K70)</f>
        <v>14000000</v>
      </c>
      <c r="L71" s="577">
        <f>SUM(L7:L70)</f>
        <v>0</v>
      </c>
      <c r="M71" s="564"/>
    </row>
    <row r="72" spans="1:14" ht="12.75" customHeight="1">
      <c r="A72" s="556"/>
      <c r="B72" s="579"/>
      <c r="C72" s="1164" t="s">
        <v>629</v>
      </c>
      <c r="D72" s="1164"/>
      <c r="E72" s="1165"/>
      <c r="F72" s="580">
        <f>J71</f>
        <v>14000000</v>
      </c>
      <c r="G72" s="581"/>
      <c r="H72" s="582"/>
      <c r="I72" s="583"/>
      <c r="J72" s="584"/>
      <c r="K72" s="585"/>
      <c r="L72" s="586">
        <f>K71</f>
        <v>14000000</v>
      </c>
      <c r="M72" s="583"/>
    </row>
    <row r="73" spans="1:14">
      <c r="A73" s="556"/>
      <c r="B73" s="587" t="s">
        <v>638</v>
      </c>
      <c r="C73" s="1164" t="s">
        <v>639</v>
      </c>
      <c r="D73" s="1164"/>
      <c r="E73" s="1165"/>
      <c r="F73" s="580">
        <f>F71-F72</f>
        <v>-14000000</v>
      </c>
      <c r="G73" s="588"/>
      <c r="H73" s="589"/>
      <c r="I73" s="590"/>
      <c r="J73" s="591"/>
      <c r="K73" s="584"/>
      <c r="L73" s="592">
        <f>L71-L72</f>
        <v>-14000000</v>
      </c>
      <c r="M73" s="593"/>
    </row>
    <row r="74" spans="1:14" ht="24.75" customHeight="1">
      <c r="A74" s="565"/>
      <c r="B74" s="594"/>
    </row>
    <row r="75" spans="1:14" ht="24.75" customHeight="1">
      <c r="A75" s="565"/>
      <c r="B75" s="594"/>
    </row>
    <row r="76" spans="1:14">
      <c r="A76" s="565"/>
      <c r="B76" s="594"/>
      <c r="H76" s="599" t="str">
        <f>'lead 2025-26'!G37</f>
        <v>Deputy Executive Engineer</v>
      </c>
      <c r="K76" s="600" t="str">
        <f>'lead 2025-26'!J37</f>
        <v>Assistant   Engineer</v>
      </c>
      <c r="L76" s="601"/>
    </row>
    <row r="77" spans="1:14">
      <c r="A77" s="565"/>
      <c r="B77" s="594"/>
      <c r="H77" s="599" t="str">
        <f>'lead 2025-26'!G38</f>
        <v>PRI Sub Division: Kanigiri</v>
      </c>
      <c r="K77" s="600" t="str">
        <f>'lead 2025-26'!J38</f>
        <v>Mandal Praja Parishad</v>
      </c>
    </row>
    <row r="78" spans="1:14">
      <c r="A78" s="565"/>
      <c r="B78" s="594"/>
      <c r="K78" s="600" t="str">
        <f>'lead 2025-26'!J39</f>
        <v>Pamuru</v>
      </c>
    </row>
    <row r="79" spans="1:14">
      <c r="A79" s="565"/>
      <c r="B79" s="594"/>
    </row>
    <row r="80" spans="1:14" s="595" customFormat="1">
      <c r="A80" s="565"/>
      <c r="B80" s="594"/>
      <c r="D80" s="596"/>
      <c r="E80" s="546"/>
      <c r="F80" s="546"/>
      <c r="G80" s="597"/>
      <c r="H80" s="596"/>
      <c r="I80" s="546"/>
      <c r="J80" s="598"/>
      <c r="K80" s="597"/>
      <c r="L80" s="597"/>
      <c r="M80" s="546"/>
      <c r="N80" s="546"/>
    </row>
    <row r="81" spans="1:14" s="595" customFormat="1">
      <c r="A81" s="565"/>
      <c r="B81" s="594"/>
      <c r="D81" s="596"/>
      <c r="E81" s="546"/>
      <c r="F81" s="546"/>
      <c r="G81" s="597"/>
      <c r="H81" s="596"/>
      <c r="I81" s="546"/>
      <c r="J81" s="598"/>
      <c r="K81" s="597"/>
      <c r="L81" s="597"/>
      <c r="M81" s="546"/>
      <c r="N81" s="546"/>
    </row>
    <row r="82" spans="1:14" s="595" customFormat="1">
      <c r="A82" s="565"/>
      <c r="B82" s="594"/>
      <c r="D82" s="596"/>
      <c r="E82" s="546"/>
      <c r="F82" s="546"/>
      <c r="G82" s="597"/>
      <c r="H82" s="596"/>
      <c r="I82" s="546"/>
      <c r="J82" s="598"/>
      <c r="K82" s="597"/>
      <c r="L82" s="597"/>
      <c r="M82" s="546"/>
      <c r="N82" s="546"/>
    </row>
    <row r="83" spans="1:14" s="595" customFormat="1">
      <c r="A83" s="565"/>
      <c r="B83" s="594"/>
      <c r="D83" s="596"/>
      <c r="E83" s="546"/>
      <c r="F83" s="546"/>
      <c r="G83" s="597"/>
      <c r="H83" s="596"/>
      <c r="I83" s="546"/>
      <c r="J83" s="598"/>
      <c r="K83" s="597"/>
      <c r="L83" s="597"/>
      <c r="M83" s="546"/>
      <c r="N83" s="546"/>
    </row>
    <row r="84" spans="1:14" s="595" customFormat="1">
      <c r="A84" s="565"/>
      <c r="B84" s="546"/>
      <c r="D84" s="596"/>
      <c r="E84" s="546"/>
      <c r="F84" s="546"/>
      <c r="G84" s="597"/>
      <c r="H84" s="596"/>
      <c r="I84" s="546"/>
      <c r="J84" s="598"/>
      <c r="K84" s="597"/>
      <c r="L84" s="597"/>
      <c r="M84" s="546"/>
      <c r="N84" s="546"/>
    </row>
    <row r="85" spans="1:14" s="595" customFormat="1">
      <c r="A85" s="565"/>
      <c r="B85" s="546"/>
      <c r="D85" s="596"/>
      <c r="E85" s="546"/>
      <c r="F85" s="546"/>
      <c r="G85" s="597"/>
      <c r="H85" s="596"/>
      <c r="I85" s="546"/>
      <c r="J85" s="598"/>
      <c r="K85" s="597"/>
      <c r="L85" s="597"/>
      <c r="M85" s="546"/>
      <c r="N85" s="546"/>
    </row>
    <row r="86" spans="1:14" s="595" customFormat="1">
      <c r="A86" s="565"/>
      <c r="B86" s="546"/>
      <c r="D86" s="596"/>
      <c r="E86" s="546"/>
      <c r="F86" s="546"/>
      <c r="G86" s="597"/>
      <c r="H86" s="596"/>
      <c r="I86" s="546"/>
      <c r="J86" s="598"/>
      <c r="K86" s="597"/>
      <c r="L86" s="597"/>
      <c r="M86" s="546"/>
      <c r="N86" s="546"/>
    </row>
    <row r="87" spans="1:14" s="595" customFormat="1">
      <c r="A87" s="565"/>
      <c r="B87" s="546"/>
      <c r="D87" s="596"/>
      <c r="E87" s="546"/>
      <c r="F87" s="546"/>
      <c r="G87" s="597"/>
      <c r="H87" s="596"/>
      <c r="I87" s="546"/>
      <c r="J87" s="598"/>
      <c r="K87" s="597"/>
      <c r="L87" s="597"/>
      <c r="M87" s="546"/>
      <c r="N87" s="546"/>
    </row>
    <row r="88" spans="1:14" s="595" customFormat="1">
      <c r="A88" s="565"/>
      <c r="B88" s="546"/>
      <c r="D88" s="596"/>
      <c r="E88" s="546"/>
      <c r="F88" s="546"/>
      <c r="G88" s="597"/>
      <c r="H88" s="596"/>
      <c r="I88" s="546"/>
      <c r="J88" s="598"/>
      <c r="K88" s="597"/>
      <c r="L88" s="597"/>
      <c r="M88" s="546"/>
      <c r="N88" s="546"/>
    </row>
    <row r="89" spans="1:14" s="595" customFormat="1">
      <c r="A89" s="565"/>
      <c r="B89" s="546"/>
      <c r="D89" s="596"/>
      <c r="E89" s="546"/>
      <c r="F89" s="546"/>
      <c r="G89" s="597"/>
      <c r="H89" s="596"/>
      <c r="I89" s="546"/>
      <c r="J89" s="598"/>
      <c r="K89" s="597"/>
      <c r="L89" s="597"/>
      <c r="M89" s="546"/>
      <c r="N89" s="546"/>
    </row>
    <row r="90" spans="1:14" s="595" customFormat="1">
      <c r="A90" s="565"/>
      <c r="B90" s="546"/>
      <c r="D90" s="596"/>
      <c r="E90" s="546"/>
      <c r="F90" s="546"/>
      <c r="G90" s="597"/>
      <c r="H90" s="596"/>
      <c r="I90" s="546"/>
      <c r="J90" s="598"/>
      <c r="K90" s="597"/>
      <c r="L90" s="597"/>
      <c r="M90" s="546"/>
      <c r="N90" s="546"/>
    </row>
    <row r="91" spans="1:14" s="595" customFormat="1">
      <c r="A91" s="565"/>
      <c r="B91" s="546"/>
      <c r="D91" s="596"/>
      <c r="E91" s="546"/>
      <c r="F91" s="546"/>
      <c r="G91" s="597"/>
      <c r="H91" s="596"/>
      <c r="I91" s="546"/>
      <c r="J91" s="598"/>
      <c r="K91" s="597"/>
      <c r="L91" s="597"/>
      <c r="M91" s="546"/>
      <c r="N91" s="546"/>
    </row>
    <row r="92" spans="1:14" s="595" customFormat="1">
      <c r="A92" s="565"/>
      <c r="B92" s="546"/>
      <c r="D92" s="596"/>
      <c r="E92" s="546"/>
      <c r="F92" s="546"/>
      <c r="G92" s="597"/>
      <c r="H92" s="596"/>
      <c r="I92" s="546"/>
      <c r="J92" s="598"/>
      <c r="K92" s="597"/>
      <c r="L92" s="597"/>
      <c r="M92" s="546"/>
      <c r="N92" s="546"/>
    </row>
    <row r="93" spans="1:14" s="595" customFormat="1">
      <c r="A93" s="565"/>
      <c r="B93" s="546"/>
      <c r="D93" s="596"/>
      <c r="E93" s="546"/>
      <c r="F93" s="546"/>
      <c r="G93" s="597"/>
      <c r="H93" s="596"/>
      <c r="I93" s="546"/>
      <c r="J93" s="598"/>
      <c r="K93" s="597"/>
      <c r="L93" s="597"/>
      <c r="M93" s="546"/>
      <c r="N93" s="546"/>
    </row>
    <row r="94" spans="1:14" s="595" customFormat="1">
      <c r="A94" s="565"/>
      <c r="B94" s="546"/>
      <c r="D94" s="596"/>
      <c r="E94" s="546"/>
      <c r="F94" s="546"/>
      <c r="G94" s="597"/>
      <c r="H94" s="596"/>
      <c r="I94" s="546"/>
      <c r="J94" s="598"/>
      <c r="K94" s="597"/>
      <c r="L94" s="597"/>
      <c r="M94" s="546"/>
      <c r="N94" s="546"/>
    </row>
    <row r="95" spans="1:14" s="595" customFormat="1">
      <c r="A95" s="565"/>
      <c r="B95" s="546"/>
      <c r="D95" s="596"/>
      <c r="E95" s="546"/>
      <c r="F95" s="546"/>
      <c r="G95" s="597"/>
      <c r="H95" s="596"/>
      <c r="I95" s="546"/>
      <c r="J95" s="598"/>
      <c r="K95" s="597"/>
      <c r="L95" s="597"/>
      <c r="M95" s="546"/>
      <c r="N95" s="546"/>
    </row>
    <row r="96" spans="1:14">
      <c r="A96" s="565"/>
    </row>
    <row r="97" spans="1:12">
      <c r="A97" s="565"/>
    </row>
    <row r="98" spans="1:12">
      <c r="A98" s="565"/>
    </row>
    <row r="99" spans="1:12">
      <c r="A99" s="565"/>
    </row>
    <row r="100" spans="1:12">
      <c r="A100" s="565"/>
    </row>
    <row r="101" spans="1:12">
      <c r="A101" s="565"/>
    </row>
    <row r="102" spans="1:12">
      <c r="A102" s="565"/>
    </row>
    <row r="103" spans="1:12">
      <c r="A103" s="565"/>
    </row>
    <row r="104" spans="1:12">
      <c r="A104" s="565"/>
      <c r="C104" s="546"/>
      <c r="D104" s="546"/>
      <c r="G104" s="598"/>
      <c r="H104" s="546"/>
      <c r="K104" s="598"/>
      <c r="L104" s="598"/>
    </row>
    <row r="105" spans="1:12">
      <c r="A105" s="565"/>
      <c r="C105" s="546"/>
      <c r="D105" s="546"/>
      <c r="G105" s="598"/>
      <c r="H105" s="546"/>
      <c r="K105" s="598"/>
      <c r="L105" s="598"/>
    </row>
    <row r="106" spans="1:12">
      <c r="A106" s="565"/>
      <c r="C106" s="546"/>
      <c r="D106" s="546"/>
      <c r="G106" s="598"/>
      <c r="H106" s="546"/>
      <c r="K106" s="598"/>
      <c r="L106" s="598"/>
    </row>
    <row r="107" spans="1:12">
      <c r="A107" s="565"/>
      <c r="C107" s="546"/>
      <c r="D107" s="546"/>
      <c r="G107" s="598"/>
      <c r="H107" s="546"/>
      <c r="K107" s="598"/>
      <c r="L107" s="598"/>
    </row>
    <row r="108" spans="1:12">
      <c r="A108" s="565"/>
      <c r="C108" s="546"/>
      <c r="D108" s="546"/>
      <c r="G108" s="598"/>
      <c r="H108" s="546"/>
      <c r="K108" s="598"/>
      <c r="L108" s="598"/>
    </row>
    <row r="109" spans="1:12">
      <c r="A109" s="565"/>
      <c r="C109" s="546"/>
      <c r="D109" s="546"/>
      <c r="G109" s="598"/>
      <c r="H109" s="546"/>
      <c r="K109" s="598"/>
      <c r="L109" s="598"/>
    </row>
    <row r="110" spans="1:12">
      <c r="A110" s="565"/>
      <c r="C110" s="546"/>
      <c r="D110" s="546"/>
      <c r="G110" s="598"/>
      <c r="H110" s="546"/>
      <c r="K110" s="598"/>
      <c r="L110" s="598"/>
    </row>
    <row r="111" spans="1:12">
      <c r="A111" s="565"/>
      <c r="C111" s="546"/>
      <c r="D111" s="546"/>
      <c r="G111" s="598"/>
      <c r="H111" s="546"/>
      <c r="K111" s="598"/>
      <c r="L111" s="598"/>
    </row>
    <row r="112" spans="1:12">
      <c r="A112" s="565"/>
      <c r="C112" s="546"/>
      <c r="D112" s="546"/>
      <c r="G112" s="598"/>
      <c r="H112" s="546"/>
      <c r="K112" s="598"/>
      <c r="L112" s="598"/>
    </row>
    <row r="113" spans="1:12">
      <c r="A113" s="565"/>
      <c r="C113" s="546"/>
      <c r="D113" s="546"/>
      <c r="G113" s="598"/>
      <c r="H113" s="546"/>
      <c r="K113" s="598"/>
      <c r="L113" s="598"/>
    </row>
    <row r="114" spans="1:12">
      <c r="A114" s="565"/>
      <c r="C114" s="546"/>
      <c r="D114" s="546"/>
      <c r="G114" s="598"/>
      <c r="H114" s="546"/>
      <c r="K114" s="598"/>
      <c r="L114" s="598"/>
    </row>
    <row r="115" spans="1:12">
      <c r="A115" s="565"/>
      <c r="C115" s="546"/>
      <c r="D115" s="546"/>
      <c r="G115" s="598"/>
      <c r="H115" s="546"/>
      <c r="K115" s="598"/>
      <c r="L115" s="598"/>
    </row>
    <row r="116" spans="1:12">
      <c r="A116" s="565"/>
      <c r="C116" s="546"/>
      <c r="D116" s="546"/>
      <c r="G116" s="598"/>
      <c r="H116" s="546"/>
      <c r="K116" s="598"/>
      <c r="L116" s="598"/>
    </row>
    <row r="117" spans="1:12">
      <c r="A117" s="565"/>
      <c r="C117" s="546"/>
      <c r="D117" s="546"/>
      <c r="G117" s="598"/>
      <c r="H117" s="546"/>
      <c r="K117" s="598"/>
      <c r="L117" s="598"/>
    </row>
    <row r="118" spans="1:12">
      <c r="A118" s="565"/>
      <c r="C118" s="546"/>
      <c r="D118" s="546"/>
      <c r="G118" s="598"/>
      <c r="H118" s="546"/>
      <c r="K118" s="598"/>
      <c r="L118" s="598"/>
    </row>
    <row r="119" spans="1:12">
      <c r="A119" s="565"/>
      <c r="C119" s="546"/>
      <c r="D119" s="546"/>
      <c r="G119" s="598"/>
      <c r="H119" s="546"/>
      <c r="K119" s="598"/>
      <c r="L119" s="598"/>
    </row>
    <row r="120" spans="1:12">
      <c r="A120" s="565"/>
      <c r="C120" s="546"/>
      <c r="D120" s="546"/>
      <c r="G120" s="598"/>
      <c r="H120" s="546"/>
      <c r="K120" s="598"/>
      <c r="L120" s="598"/>
    </row>
    <row r="121" spans="1:12">
      <c r="A121" s="565"/>
      <c r="C121" s="546"/>
      <c r="D121" s="546"/>
      <c r="G121" s="598"/>
      <c r="H121" s="546"/>
      <c r="K121" s="598"/>
      <c r="L121" s="598"/>
    </row>
    <row r="122" spans="1:12">
      <c r="A122" s="565"/>
      <c r="C122" s="546"/>
      <c r="D122" s="546"/>
      <c r="G122" s="598"/>
      <c r="H122" s="546"/>
      <c r="K122" s="598"/>
      <c r="L122" s="598"/>
    </row>
    <row r="123" spans="1:12">
      <c r="A123" s="565"/>
      <c r="C123" s="546"/>
      <c r="D123" s="546"/>
      <c r="G123" s="598"/>
      <c r="H123" s="546"/>
      <c r="K123" s="598"/>
      <c r="L123" s="598"/>
    </row>
    <row r="124" spans="1:12">
      <c r="A124" s="565"/>
      <c r="C124" s="546"/>
      <c r="D124" s="546"/>
      <c r="G124" s="598"/>
      <c r="H124" s="546"/>
      <c r="K124" s="598"/>
      <c r="L124" s="598"/>
    </row>
    <row r="125" spans="1:12">
      <c r="A125" s="565"/>
      <c r="C125" s="546"/>
      <c r="D125" s="546"/>
      <c r="G125" s="598"/>
      <c r="H125" s="546"/>
      <c r="K125" s="598"/>
      <c r="L125" s="598"/>
    </row>
    <row r="126" spans="1:12">
      <c r="A126" s="565"/>
      <c r="C126" s="546"/>
      <c r="D126" s="546"/>
      <c r="G126" s="598"/>
      <c r="H126" s="546"/>
      <c r="K126" s="598"/>
      <c r="L126" s="598"/>
    </row>
    <row r="127" spans="1:12">
      <c r="A127" s="565"/>
      <c r="C127" s="546"/>
      <c r="D127" s="546"/>
      <c r="G127" s="598"/>
      <c r="H127" s="546"/>
      <c r="K127" s="598"/>
      <c r="L127" s="598"/>
    </row>
    <row r="128" spans="1:12">
      <c r="A128" s="565"/>
      <c r="C128" s="546"/>
      <c r="D128" s="546"/>
      <c r="G128" s="598"/>
      <c r="H128" s="546"/>
      <c r="K128" s="598"/>
      <c r="L128" s="598"/>
    </row>
    <row r="129" spans="1:12">
      <c r="A129" s="565"/>
      <c r="C129" s="546"/>
      <c r="D129" s="546"/>
      <c r="G129" s="598"/>
      <c r="H129" s="546"/>
      <c r="K129" s="598"/>
      <c r="L129" s="598"/>
    </row>
    <row r="130" spans="1:12">
      <c r="A130" s="565"/>
      <c r="C130" s="546"/>
      <c r="D130" s="546"/>
      <c r="G130" s="598"/>
      <c r="H130" s="546"/>
      <c r="K130" s="598"/>
      <c r="L130" s="598"/>
    </row>
    <row r="131" spans="1:12">
      <c r="A131" s="565"/>
      <c r="C131" s="546"/>
      <c r="D131" s="546"/>
      <c r="G131" s="598"/>
      <c r="H131" s="546"/>
      <c r="K131" s="598"/>
      <c r="L131" s="598"/>
    </row>
    <row r="132" spans="1:12">
      <c r="A132" s="565"/>
      <c r="C132" s="546"/>
      <c r="D132" s="546"/>
      <c r="G132" s="598"/>
      <c r="H132" s="546"/>
      <c r="K132" s="598"/>
      <c r="L132" s="598"/>
    </row>
    <row r="133" spans="1:12">
      <c r="A133" s="565"/>
      <c r="C133" s="546"/>
      <c r="D133" s="546"/>
      <c r="G133" s="598"/>
      <c r="H133" s="546"/>
      <c r="K133" s="598"/>
      <c r="L133" s="598"/>
    </row>
    <row r="134" spans="1:12">
      <c r="A134" s="565"/>
      <c r="C134" s="546"/>
      <c r="D134" s="546"/>
      <c r="G134" s="598"/>
      <c r="H134" s="546"/>
      <c r="K134" s="598"/>
      <c r="L134" s="598"/>
    </row>
    <row r="135" spans="1:12">
      <c r="A135" s="565"/>
      <c r="C135" s="546"/>
      <c r="D135" s="546"/>
      <c r="G135" s="598"/>
      <c r="H135" s="546"/>
      <c r="K135" s="598"/>
      <c r="L135" s="598"/>
    </row>
    <row r="136" spans="1:12">
      <c r="A136" s="565"/>
      <c r="C136" s="546"/>
      <c r="D136" s="546"/>
      <c r="G136" s="598"/>
      <c r="H136" s="546"/>
      <c r="K136" s="598"/>
      <c r="L136" s="598"/>
    </row>
    <row r="137" spans="1:12">
      <c r="A137" s="565"/>
      <c r="C137" s="546"/>
      <c r="D137" s="546"/>
      <c r="G137" s="598"/>
      <c r="H137" s="546"/>
      <c r="K137" s="598"/>
      <c r="L137" s="598"/>
    </row>
    <row r="138" spans="1:12">
      <c r="A138" s="565"/>
      <c r="C138" s="546"/>
      <c r="D138" s="546"/>
      <c r="G138" s="598"/>
      <c r="H138" s="546"/>
      <c r="K138" s="598"/>
      <c r="L138" s="598"/>
    </row>
    <row r="139" spans="1:12">
      <c r="A139" s="565"/>
      <c r="C139" s="546"/>
      <c r="D139" s="546"/>
      <c r="G139" s="598"/>
      <c r="H139" s="546"/>
      <c r="K139" s="598"/>
      <c r="L139" s="598"/>
    </row>
    <row r="140" spans="1:12">
      <c r="A140" s="565"/>
      <c r="C140" s="546"/>
      <c r="D140" s="546"/>
      <c r="G140" s="598"/>
      <c r="H140" s="546"/>
      <c r="K140" s="598"/>
      <c r="L140" s="598"/>
    </row>
    <row r="141" spans="1:12">
      <c r="A141" s="565"/>
      <c r="C141" s="546"/>
      <c r="D141" s="546"/>
      <c r="G141" s="598"/>
      <c r="H141" s="546"/>
      <c r="K141" s="598"/>
      <c r="L141" s="598"/>
    </row>
    <row r="142" spans="1:12">
      <c r="A142" s="565"/>
      <c r="C142" s="546"/>
      <c r="D142" s="546"/>
      <c r="G142" s="598"/>
      <c r="H142" s="546"/>
      <c r="K142" s="598"/>
      <c r="L142" s="598"/>
    </row>
    <row r="143" spans="1:12">
      <c r="A143" s="565"/>
      <c r="C143" s="546"/>
      <c r="D143" s="546"/>
      <c r="G143" s="598"/>
      <c r="H143" s="546"/>
      <c r="K143" s="598"/>
      <c r="L143" s="598"/>
    </row>
    <row r="144" spans="1:12">
      <c r="A144" s="565"/>
      <c r="C144" s="546"/>
      <c r="D144" s="546"/>
      <c r="G144" s="598"/>
      <c r="H144" s="546"/>
      <c r="K144" s="598"/>
      <c r="L144" s="598"/>
    </row>
    <row r="145" spans="1:12">
      <c r="A145" s="565"/>
      <c r="C145" s="546"/>
      <c r="D145" s="546"/>
      <c r="G145" s="598"/>
      <c r="H145" s="546"/>
      <c r="K145" s="598"/>
      <c r="L145" s="598"/>
    </row>
    <row r="146" spans="1:12">
      <c r="A146" s="565"/>
      <c r="C146" s="546"/>
      <c r="D146" s="546"/>
      <c r="G146" s="598"/>
      <c r="H146" s="546"/>
      <c r="K146" s="598"/>
      <c r="L146" s="598"/>
    </row>
    <row r="147" spans="1:12">
      <c r="A147" s="565"/>
      <c r="C147" s="546"/>
      <c r="D147" s="546"/>
      <c r="G147" s="598"/>
      <c r="H147" s="546"/>
      <c r="K147" s="598"/>
      <c r="L147" s="598"/>
    </row>
    <row r="148" spans="1:12">
      <c r="A148" s="565"/>
      <c r="C148" s="546"/>
      <c r="D148" s="546"/>
      <c r="G148" s="598"/>
      <c r="H148" s="546"/>
      <c r="K148" s="598"/>
      <c r="L148" s="598"/>
    </row>
    <row r="149" spans="1:12">
      <c r="A149" s="565"/>
      <c r="C149" s="546"/>
      <c r="D149" s="546"/>
      <c r="G149" s="598"/>
      <c r="H149" s="546"/>
      <c r="K149" s="598"/>
      <c r="L149" s="598"/>
    </row>
    <row r="150" spans="1:12">
      <c r="A150" s="565"/>
      <c r="C150" s="546"/>
      <c r="D150" s="546"/>
      <c r="G150" s="598"/>
      <c r="H150" s="546"/>
      <c r="K150" s="598"/>
      <c r="L150" s="598"/>
    </row>
    <row r="151" spans="1:12">
      <c r="A151" s="565"/>
      <c r="C151" s="546"/>
      <c r="D151" s="546"/>
      <c r="G151" s="598"/>
      <c r="H151" s="546"/>
      <c r="K151" s="598"/>
      <c r="L151" s="598"/>
    </row>
    <row r="152" spans="1:12">
      <c r="A152" s="565"/>
      <c r="C152" s="546"/>
      <c r="D152" s="546"/>
      <c r="G152" s="598"/>
      <c r="H152" s="546"/>
      <c r="K152" s="598"/>
      <c r="L152" s="598"/>
    </row>
    <row r="153" spans="1:12">
      <c r="A153" s="565"/>
      <c r="C153" s="546"/>
      <c r="D153" s="546"/>
      <c r="G153" s="598"/>
      <c r="H153" s="546"/>
      <c r="K153" s="598"/>
      <c r="L153" s="598"/>
    </row>
    <row r="154" spans="1:12">
      <c r="A154" s="565"/>
      <c r="C154" s="546"/>
      <c r="D154" s="546"/>
      <c r="G154" s="598"/>
      <c r="H154" s="546"/>
      <c r="K154" s="598"/>
      <c r="L154" s="598"/>
    </row>
    <row r="155" spans="1:12">
      <c r="A155" s="565"/>
      <c r="C155" s="546"/>
      <c r="D155" s="546"/>
      <c r="G155" s="598"/>
      <c r="H155" s="546"/>
      <c r="K155" s="598"/>
      <c r="L155" s="598"/>
    </row>
    <row r="156" spans="1:12">
      <c r="A156" s="565"/>
      <c r="C156" s="546"/>
      <c r="D156" s="546"/>
      <c r="G156" s="598"/>
      <c r="H156" s="546"/>
      <c r="K156" s="598"/>
      <c r="L156" s="598"/>
    </row>
    <row r="157" spans="1:12">
      <c r="A157" s="565"/>
      <c r="C157" s="546"/>
      <c r="D157" s="546"/>
      <c r="G157" s="598"/>
      <c r="H157" s="546"/>
      <c r="K157" s="598"/>
      <c r="L157" s="598"/>
    </row>
    <row r="158" spans="1:12">
      <c r="A158" s="565"/>
      <c r="C158" s="546"/>
      <c r="D158" s="546"/>
      <c r="G158" s="598"/>
      <c r="H158" s="546"/>
      <c r="K158" s="598"/>
      <c r="L158" s="598"/>
    </row>
    <row r="159" spans="1:12">
      <c r="A159" s="565"/>
      <c r="C159" s="546"/>
      <c r="D159" s="546"/>
      <c r="G159" s="598"/>
      <c r="H159" s="546"/>
      <c r="K159" s="598"/>
      <c r="L159" s="598"/>
    </row>
    <row r="160" spans="1:12">
      <c r="A160" s="565"/>
      <c r="C160" s="546"/>
      <c r="D160" s="546"/>
      <c r="G160" s="598"/>
      <c r="H160" s="546"/>
      <c r="K160" s="598"/>
      <c r="L160" s="598"/>
    </row>
    <row r="161" spans="1:12">
      <c r="A161" s="565"/>
      <c r="C161" s="546"/>
      <c r="D161" s="546"/>
      <c r="G161" s="598"/>
      <c r="H161" s="546"/>
      <c r="K161" s="598"/>
      <c r="L161" s="598"/>
    </row>
    <row r="162" spans="1:12">
      <c r="A162" s="565"/>
      <c r="C162" s="546"/>
      <c r="D162" s="546"/>
      <c r="G162" s="598"/>
      <c r="H162" s="546"/>
      <c r="K162" s="598"/>
      <c r="L162" s="598"/>
    </row>
    <row r="163" spans="1:12">
      <c r="A163" s="565"/>
      <c r="C163" s="546"/>
      <c r="D163" s="546"/>
      <c r="G163" s="598"/>
      <c r="H163" s="546"/>
      <c r="K163" s="598"/>
      <c r="L163" s="598"/>
    </row>
    <row r="164" spans="1:12">
      <c r="A164" s="565"/>
      <c r="C164" s="546"/>
      <c r="D164" s="546"/>
      <c r="G164" s="598"/>
      <c r="H164" s="546"/>
      <c r="K164" s="598"/>
      <c r="L164" s="598"/>
    </row>
    <row r="165" spans="1:12">
      <c r="A165" s="565"/>
      <c r="C165" s="546"/>
      <c r="D165" s="546"/>
      <c r="G165" s="598"/>
      <c r="H165" s="546"/>
      <c r="K165" s="598"/>
      <c r="L165" s="598"/>
    </row>
    <row r="166" spans="1:12">
      <c r="A166" s="565"/>
      <c r="C166" s="546"/>
      <c r="D166" s="546"/>
      <c r="G166" s="598"/>
      <c r="H166" s="546"/>
      <c r="K166" s="598"/>
      <c r="L166" s="598"/>
    </row>
    <row r="167" spans="1:12">
      <c r="A167" s="565"/>
      <c r="C167" s="546"/>
      <c r="D167" s="546"/>
      <c r="G167" s="598"/>
      <c r="H167" s="546"/>
      <c r="K167" s="598"/>
      <c r="L167" s="598"/>
    </row>
    <row r="168" spans="1:12">
      <c r="A168" s="565"/>
      <c r="C168" s="546"/>
      <c r="D168" s="546"/>
      <c r="G168" s="598"/>
      <c r="H168" s="546"/>
      <c r="K168" s="598"/>
      <c r="L168" s="598"/>
    </row>
    <row r="169" spans="1:12">
      <c r="A169" s="565"/>
      <c r="C169" s="546"/>
      <c r="D169" s="546"/>
      <c r="G169" s="598"/>
      <c r="H169" s="546"/>
      <c r="K169" s="598"/>
      <c r="L169" s="598"/>
    </row>
    <row r="170" spans="1:12">
      <c r="A170" s="565"/>
      <c r="C170" s="546"/>
      <c r="D170" s="546"/>
      <c r="G170" s="598"/>
      <c r="H170" s="546"/>
      <c r="K170" s="598"/>
      <c r="L170" s="598"/>
    </row>
    <row r="171" spans="1:12">
      <c r="A171" s="565"/>
      <c r="C171" s="546"/>
      <c r="D171" s="546"/>
      <c r="G171" s="598"/>
      <c r="H171" s="546"/>
      <c r="K171" s="598"/>
      <c r="L171" s="598"/>
    </row>
    <row r="172" spans="1:12">
      <c r="A172" s="565"/>
      <c r="C172" s="546"/>
      <c r="D172" s="546"/>
      <c r="G172" s="598"/>
      <c r="H172" s="546"/>
      <c r="K172" s="598"/>
      <c r="L172" s="598"/>
    </row>
    <row r="173" spans="1:12">
      <c r="A173" s="565"/>
      <c r="C173" s="546"/>
      <c r="D173" s="546"/>
      <c r="G173" s="598"/>
      <c r="H173" s="546"/>
      <c r="K173" s="598"/>
      <c r="L173" s="598"/>
    </row>
    <row r="174" spans="1:12">
      <c r="A174" s="565"/>
      <c r="C174" s="546"/>
      <c r="D174" s="546"/>
      <c r="G174" s="598"/>
      <c r="H174" s="546"/>
      <c r="K174" s="598"/>
      <c r="L174" s="598"/>
    </row>
    <row r="175" spans="1:12">
      <c r="A175" s="565"/>
      <c r="C175" s="546"/>
      <c r="D175" s="546"/>
      <c r="G175" s="598"/>
      <c r="H175" s="546"/>
      <c r="K175" s="598"/>
      <c r="L175" s="598"/>
    </row>
    <row r="176" spans="1:12">
      <c r="A176" s="565"/>
      <c r="C176" s="546"/>
      <c r="D176" s="546"/>
      <c r="G176" s="598"/>
      <c r="H176" s="546"/>
      <c r="K176" s="598"/>
      <c r="L176" s="598"/>
    </row>
    <row r="177" spans="1:12">
      <c r="A177" s="565"/>
      <c r="C177" s="546"/>
      <c r="D177" s="546"/>
      <c r="G177" s="598"/>
      <c r="H177" s="546"/>
      <c r="K177" s="598"/>
      <c r="L177" s="598"/>
    </row>
    <row r="178" spans="1:12">
      <c r="A178" s="565"/>
      <c r="C178" s="546"/>
      <c r="D178" s="546"/>
      <c r="G178" s="598"/>
      <c r="H178" s="546"/>
      <c r="K178" s="598"/>
      <c r="L178" s="598"/>
    </row>
    <row r="179" spans="1:12">
      <c r="A179" s="565"/>
      <c r="C179" s="546"/>
      <c r="D179" s="546"/>
      <c r="G179" s="598"/>
      <c r="H179" s="546"/>
      <c r="K179" s="598"/>
      <c r="L179" s="598"/>
    </row>
    <row r="180" spans="1:12">
      <c r="A180" s="565"/>
      <c r="C180" s="546"/>
      <c r="D180" s="546"/>
      <c r="G180" s="598"/>
      <c r="H180" s="546"/>
      <c r="K180" s="598"/>
      <c r="L180" s="598"/>
    </row>
    <row r="181" spans="1:12">
      <c r="A181" s="565"/>
      <c r="C181" s="546"/>
      <c r="D181" s="546"/>
      <c r="G181" s="598"/>
      <c r="H181" s="546"/>
      <c r="K181" s="598"/>
      <c r="L181" s="598"/>
    </row>
    <row r="182" spans="1:12">
      <c r="A182" s="565"/>
      <c r="C182" s="546"/>
      <c r="D182" s="546"/>
      <c r="G182" s="598"/>
      <c r="H182" s="546"/>
      <c r="K182" s="598"/>
      <c r="L182" s="598"/>
    </row>
    <row r="183" spans="1:12">
      <c r="A183" s="565"/>
      <c r="C183" s="546"/>
      <c r="D183" s="546"/>
      <c r="G183" s="598"/>
      <c r="H183" s="546"/>
      <c r="K183" s="598"/>
      <c r="L183" s="598"/>
    </row>
    <row r="184" spans="1:12">
      <c r="A184" s="565"/>
      <c r="C184" s="546"/>
      <c r="D184" s="546"/>
      <c r="G184" s="598"/>
      <c r="H184" s="546"/>
      <c r="K184" s="598"/>
      <c r="L184" s="598"/>
    </row>
    <row r="185" spans="1:12">
      <c r="A185" s="565"/>
      <c r="C185" s="546"/>
      <c r="D185" s="546"/>
      <c r="G185" s="598"/>
      <c r="H185" s="546"/>
      <c r="K185" s="598"/>
      <c r="L185" s="598"/>
    </row>
    <row r="186" spans="1:12">
      <c r="A186" s="565"/>
      <c r="C186" s="546"/>
      <c r="D186" s="546"/>
      <c r="G186" s="598"/>
      <c r="H186" s="546"/>
      <c r="K186" s="598"/>
      <c r="L186" s="598"/>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sheetPr>
  <dimension ref="A1:N186"/>
  <sheetViews>
    <sheetView showZeros="0" view="pageBreakPreview" topLeftCell="A63" zoomScaleSheetLayoutView="100" workbookViewId="0">
      <selection activeCell="H7" sqref="H7:H63"/>
    </sheetView>
  </sheetViews>
  <sheetFormatPr defaultColWidth="9.140625" defaultRowHeight="12.75"/>
  <cols>
    <col min="1" max="1" width="5.140625" style="546" customWidth="1"/>
    <col min="2" max="2" width="41.85546875" style="546" customWidth="1"/>
    <col min="3" max="3" width="9.140625" style="595" customWidth="1"/>
    <col min="4" max="4" width="5.140625" style="596" customWidth="1"/>
    <col min="5" max="5" width="9" style="546" customWidth="1"/>
    <col min="6" max="6" width="10.85546875" style="546" customWidth="1"/>
    <col min="7" max="7" width="8.140625" style="597" customWidth="1"/>
    <col min="8" max="8" width="4.7109375" style="596" customWidth="1"/>
    <col min="9" max="9" width="9.140625" style="546"/>
    <col min="10" max="10" width="11.28515625" style="598" customWidth="1"/>
    <col min="11" max="12" width="11" style="597" customWidth="1"/>
    <col min="13" max="13" width="7.85546875" style="546" customWidth="1"/>
    <col min="14" max="14" width="9.28515625" style="546" bestFit="1" customWidth="1"/>
    <col min="15" max="16384" width="9.140625" style="546"/>
  </cols>
  <sheetData>
    <row r="1" spans="1:14" ht="19.5" customHeight="1">
      <c r="A1" s="1166" t="s">
        <v>640</v>
      </c>
      <c r="B1" s="1167"/>
      <c r="C1" s="1167"/>
      <c r="D1" s="1167"/>
      <c r="E1" s="1167"/>
      <c r="F1" s="1167"/>
      <c r="G1" s="1167"/>
      <c r="H1" s="1167"/>
      <c r="I1" s="1167"/>
      <c r="J1" s="1167"/>
      <c r="K1" s="1167"/>
      <c r="L1" s="1168"/>
      <c r="M1" s="1168"/>
    </row>
    <row r="2" spans="1:14" s="547" customFormat="1" ht="36.75" customHeight="1">
      <c r="A2" s="1169" t="str">
        <f>'lead 2025-26'!B3&amp;'lead 2025-26'!C3</f>
        <v>Name of the work : Providing BT Surface to the road from Inimerla SC colony to National Highway at Nuchupoda in Inimerla GP of Pamuru Mandal.</v>
      </c>
      <c r="B2" s="1170"/>
      <c r="C2" s="1170"/>
      <c r="D2" s="1170"/>
      <c r="E2" s="1170"/>
      <c r="F2" s="1170"/>
      <c r="G2" s="1170"/>
      <c r="H2" s="1170"/>
      <c r="I2" s="1170"/>
      <c r="J2" s="1170"/>
      <c r="K2" s="1170"/>
      <c r="L2" s="1170"/>
      <c r="M2" s="1170"/>
    </row>
    <row r="3" spans="1:14" s="547" customFormat="1" ht="15">
      <c r="A3" s="548"/>
      <c r="B3" s="549"/>
      <c r="C3" s="550"/>
      <c r="D3" s="551"/>
      <c r="E3" s="549"/>
      <c r="F3" s="549"/>
      <c r="G3" s="552"/>
      <c r="H3" s="551"/>
      <c r="I3" s="549"/>
      <c r="J3" s="553" t="s">
        <v>93</v>
      </c>
      <c r="K3" s="1171" t="str">
        <f>'lead 2025-26'!K4</f>
        <v>140.00 Lakhs</v>
      </c>
      <c r="L3" s="1172"/>
      <c r="M3" s="1172"/>
    </row>
    <row r="4" spans="1:14" s="547" customFormat="1" ht="19.5" customHeight="1">
      <c r="A4" s="1173" t="s">
        <v>35</v>
      </c>
      <c r="B4" s="1173" t="s">
        <v>627</v>
      </c>
      <c r="C4" s="1173" t="s">
        <v>629</v>
      </c>
      <c r="D4" s="1173"/>
      <c r="E4" s="1174"/>
      <c r="F4" s="1174"/>
      <c r="G4" s="1173" t="s">
        <v>641</v>
      </c>
      <c r="H4" s="1173"/>
      <c r="I4" s="1174"/>
      <c r="J4" s="1174"/>
      <c r="K4" s="1173" t="s">
        <v>630</v>
      </c>
      <c r="L4" s="1174"/>
      <c r="M4" s="1173" t="s">
        <v>183</v>
      </c>
    </row>
    <row r="5" spans="1:14" s="547" customFormat="1" ht="15.75" customHeight="1">
      <c r="A5" s="1173"/>
      <c r="B5" s="1173"/>
      <c r="C5" s="1173" t="s">
        <v>631</v>
      </c>
      <c r="D5" s="1173"/>
      <c r="E5" s="554" t="s">
        <v>547</v>
      </c>
      <c r="F5" s="554" t="s">
        <v>182</v>
      </c>
      <c r="G5" s="1173" t="s">
        <v>631</v>
      </c>
      <c r="H5" s="1173"/>
      <c r="I5" s="554" t="s">
        <v>547</v>
      </c>
      <c r="J5" s="555" t="s">
        <v>182</v>
      </c>
      <c r="K5" s="555" t="s">
        <v>632</v>
      </c>
      <c r="L5" s="555" t="s">
        <v>633</v>
      </c>
      <c r="M5" s="1173"/>
    </row>
    <row r="6" spans="1:14" s="547" customFormat="1" ht="16.5" customHeight="1">
      <c r="A6" s="554" t="s">
        <v>497</v>
      </c>
      <c r="B6" s="554" t="s">
        <v>498</v>
      </c>
      <c r="C6" s="1173" t="s">
        <v>499</v>
      </c>
      <c r="D6" s="1173"/>
      <c r="E6" s="554" t="s">
        <v>500</v>
      </c>
      <c r="F6" s="554" t="s">
        <v>501</v>
      </c>
      <c r="G6" s="1173" t="s">
        <v>502</v>
      </c>
      <c r="H6" s="1173"/>
      <c r="I6" s="554" t="s">
        <v>503</v>
      </c>
      <c r="J6" s="555" t="s">
        <v>504</v>
      </c>
      <c r="K6" s="555" t="s">
        <v>505</v>
      </c>
      <c r="L6" s="555" t="s">
        <v>634</v>
      </c>
      <c r="M6" s="554" t="s">
        <v>635</v>
      </c>
    </row>
    <row r="7" spans="1:14" s="565" customFormat="1" ht="60">
      <c r="A7" s="556" t="s">
        <v>497</v>
      </c>
      <c r="B7" s="557" t="s">
        <v>387</v>
      </c>
      <c r="C7" s="558">
        <f>G7</f>
        <v>0</v>
      </c>
      <c r="D7" s="559" t="s">
        <v>10</v>
      </c>
      <c r="E7" s="560">
        <f>I7</f>
        <v>144.26</v>
      </c>
      <c r="F7" s="561">
        <f t="shared" ref="F7" si="0">ROUND(C7*E7,0)</f>
        <v>0</v>
      </c>
      <c r="G7" s="574">
        <f>MAIN!I10</f>
        <v>0</v>
      </c>
      <c r="H7" s="559" t="s">
        <v>10</v>
      </c>
      <c r="I7" s="562">
        <f>MAIN!K10</f>
        <v>144.26</v>
      </c>
      <c r="J7" s="561">
        <f t="shared" ref="J7:J16" si="1">ROUND(G7*I7,2)</f>
        <v>0</v>
      </c>
      <c r="K7" s="563">
        <f>IF(J7&gt;F7,J7-F7,0)</f>
        <v>0</v>
      </c>
      <c r="L7" s="563">
        <f>IF(J7&lt;F7,F7-J7,0)</f>
        <v>0</v>
      </c>
      <c r="M7" s="564" t="s">
        <v>52</v>
      </c>
      <c r="N7" s="561">
        <f>E7-I7</f>
        <v>0</v>
      </c>
    </row>
    <row r="8" spans="1:14" s="565" customFormat="1" ht="120">
      <c r="A8" s="556" t="s">
        <v>497</v>
      </c>
      <c r="B8" s="557" t="s">
        <v>785</v>
      </c>
      <c r="C8" s="558">
        <f t="shared" ref="C8:C63" si="2">G8</f>
        <v>4032</v>
      </c>
      <c r="D8" s="559" t="s">
        <v>84</v>
      </c>
      <c r="E8" s="560">
        <f t="shared" ref="E8:E63" si="3">I8</f>
        <v>2.25</v>
      </c>
      <c r="F8" s="561">
        <f t="shared" ref="F8:F63" si="4">ROUND(C8*E8,0)</f>
        <v>9072</v>
      </c>
      <c r="G8" s="574">
        <f>MAIN!I17</f>
        <v>4032</v>
      </c>
      <c r="H8" s="559" t="s">
        <v>84</v>
      </c>
      <c r="I8" s="562">
        <f>MAIN!K17</f>
        <v>2.25</v>
      </c>
      <c r="J8" s="561">
        <f t="shared" si="1"/>
        <v>9072</v>
      </c>
      <c r="K8" s="563">
        <f t="shared" ref="K8:K70" si="5">IF(J8&gt;F8,J8-F8,0)</f>
        <v>0</v>
      </c>
      <c r="L8" s="563">
        <f t="shared" ref="L8:L70" si="6">IF(J8&lt;F8,F8-J8,0)</f>
        <v>0</v>
      </c>
      <c r="M8" s="564" t="s">
        <v>52</v>
      </c>
      <c r="N8" s="561">
        <f t="shared" ref="N8:N70" si="7">E8-I8</f>
        <v>0</v>
      </c>
    </row>
    <row r="9" spans="1:14" s="565" customFormat="1" ht="84">
      <c r="A9" s="556"/>
      <c r="B9" s="557" t="s">
        <v>797</v>
      </c>
      <c r="C9" s="558">
        <f t="shared" si="2"/>
        <v>3360</v>
      </c>
      <c r="D9" s="559" t="s">
        <v>10</v>
      </c>
      <c r="E9" s="560">
        <f t="shared" si="3"/>
        <v>236.56</v>
      </c>
      <c r="F9" s="561">
        <f t="shared" si="4"/>
        <v>794842</v>
      </c>
      <c r="G9" s="574">
        <f>MAIN!I25</f>
        <v>3360</v>
      </c>
      <c r="H9" s="559" t="s">
        <v>10</v>
      </c>
      <c r="I9" s="562">
        <f>MAIN!K25</f>
        <v>236.56</v>
      </c>
      <c r="J9" s="561">
        <f t="shared" si="1"/>
        <v>794841.59999999998</v>
      </c>
      <c r="K9" s="563">
        <f t="shared" si="5"/>
        <v>0</v>
      </c>
      <c r="L9" s="563">
        <f t="shared" si="6"/>
        <v>0.40000000002328306</v>
      </c>
      <c r="M9" s="564" t="s">
        <v>52</v>
      </c>
      <c r="N9" s="561">
        <f t="shared" si="7"/>
        <v>0</v>
      </c>
    </row>
    <row r="10" spans="1:14" s="565" customFormat="1" ht="48">
      <c r="A10" s="556" t="s">
        <v>502</v>
      </c>
      <c r="B10" s="557" t="s">
        <v>262</v>
      </c>
      <c r="C10" s="558">
        <f t="shared" si="2"/>
        <v>6720</v>
      </c>
      <c r="D10" s="559" t="s">
        <v>84</v>
      </c>
      <c r="E10" s="560">
        <f t="shared" si="3"/>
        <v>38.49</v>
      </c>
      <c r="F10" s="561">
        <f t="shared" si="4"/>
        <v>258653</v>
      </c>
      <c r="G10" s="574">
        <f>MAIN!I33</f>
        <v>6720</v>
      </c>
      <c r="H10" s="559" t="s">
        <v>84</v>
      </c>
      <c r="I10" s="562">
        <f>MAIN!K33</f>
        <v>38.49</v>
      </c>
      <c r="J10" s="561">
        <f t="shared" si="1"/>
        <v>258652.79999999999</v>
      </c>
      <c r="K10" s="563">
        <f t="shared" si="5"/>
        <v>0</v>
      </c>
      <c r="L10" s="563">
        <f t="shared" si="6"/>
        <v>0.20000000001164153</v>
      </c>
      <c r="M10" s="564" t="s">
        <v>52</v>
      </c>
      <c r="N10" s="561">
        <f t="shared" si="7"/>
        <v>0</v>
      </c>
    </row>
    <row r="11" spans="1:14" s="565" customFormat="1" ht="84">
      <c r="A11" s="556" t="s">
        <v>503</v>
      </c>
      <c r="B11" s="557" t="s">
        <v>111</v>
      </c>
      <c r="C11" s="558">
        <f t="shared" si="2"/>
        <v>672</v>
      </c>
      <c r="D11" s="567" t="s">
        <v>10</v>
      </c>
      <c r="E11" s="560">
        <f t="shared" si="3"/>
        <v>2928.41</v>
      </c>
      <c r="F11" s="561">
        <f t="shared" si="4"/>
        <v>1967892</v>
      </c>
      <c r="G11" s="760">
        <f>MAIN!I47</f>
        <v>672</v>
      </c>
      <c r="H11" s="567" t="s">
        <v>10</v>
      </c>
      <c r="I11" s="568">
        <f>MAIN!K47</f>
        <v>2928.41</v>
      </c>
      <c r="J11" s="561">
        <f t="shared" si="1"/>
        <v>1967891.52</v>
      </c>
      <c r="K11" s="563">
        <f t="shared" si="5"/>
        <v>0</v>
      </c>
      <c r="L11" s="563">
        <f t="shared" si="6"/>
        <v>0.47999999998137355</v>
      </c>
      <c r="M11" s="564" t="s">
        <v>52</v>
      </c>
      <c r="N11" s="561">
        <f t="shared" si="7"/>
        <v>0</v>
      </c>
    </row>
    <row r="12" spans="1:14" s="565" customFormat="1" ht="156">
      <c r="A12" s="556" t="s">
        <v>503</v>
      </c>
      <c r="B12" s="557" t="s">
        <v>697</v>
      </c>
      <c r="C12" s="558">
        <f t="shared" si="2"/>
        <v>945</v>
      </c>
      <c r="D12" s="567" t="s">
        <v>10</v>
      </c>
      <c r="E12" s="560">
        <f t="shared" si="3"/>
        <v>3982.34</v>
      </c>
      <c r="F12" s="561">
        <f t="shared" si="4"/>
        <v>3763311</v>
      </c>
      <c r="G12" s="760">
        <f>MAIN!I51</f>
        <v>945</v>
      </c>
      <c r="H12" s="567" t="s">
        <v>10</v>
      </c>
      <c r="I12" s="568">
        <f>MAIN!K51</f>
        <v>3982.34</v>
      </c>
      <c r="J12" s="561">
        <f t="shared" si="1"/>
        <v>3763311.3</v>
      </c>
      <c r="K12" s="563">
        <f t="shared" si="5"/>
        <v>0.29999999981373549</v>
      </c>
      <c r="L12" s="563">
        <f t="shared" si="6"/>
        <v>0</v>
      </c>
      <c r="M12" s="564" t="s">
        <v>52</v>
      </c>
      <c r="N12" s="561">
        <f t="shared" si="7"/>
        <v>0</v>
      </c>
    </row>
    <row r="13" spans="1:14" s="565" customFormat="1" ht="84">
      <c r="A13" s="556"/>
      <c r="B13" s="557" t="s">
        <v>703</v>
      </c>
      <c r="C13" s="558">
        <f t="shared" si="2"/>
        <v>6300</v>
      </c>
      <c r="D13" s="559" t="s">
        <v>84</v>
      </c>
      <c r="E13" s="560">
        <f t="shared" si="3"/>
        <v>42.54</v>
      </c>
      <c r="F13" s="561">
        <f t="shared" si="4"/>
        <v>268002</v>
      </c>
      <c r="G13" s="574">
        <f>MAIN!I55</f>
        <v>6300</v>
      </c>
      <c r="H13" s="559" t="s">
        <v>84</v>
      </c>
      <c r="I13" s="562">
        <f>MAIN!K55</f>
        <v>42.54</v>
      </c>
      <c r="J13" s="561">
        <f t="shared" si="1"/>
        <v>268002</v>
      </c>
      <c r="K13" s="563">
        <f t="shared" si="5"/>
        <v>0</v>
      </c>
      <c r="L13" s="563">
        <f t="shared" si="6"/>
        <v>0</v>
      </c>
      <c r="M13" s="564" t="s">
        <v>52</v>
      </c>
      <c r="N13" s="561">
        <f t="shared" si="7"/>
        <v>0</v>
      </c>
    </row>
    <row r="14" spans="1:14" s="565" customFormat="1" ht="72">
      <c r="A14" s="556"/>
      <c r="B14" s="557" t="s">
        <v>711</v>
      </c>
      <c r="C14" s="558">
        <f t="shared" si="2"/>
        <v>6300</v>
      </c>
      <c r="D14" s="559" t="s">
        <v>84</v>
      </c>
      <c r="E14" s="560">
        <f t="shared" si="3"/>
        <v>16.239999999999998</v>
      </c>
      <c r="F14" s="561">
        <f t="shared" si="4"/>
        <v>102312</v>
      </c>
      <c r="G14" s="574">
        <f>MAIN!I59</f>
        <v>6300</v>
      </c>
      <c r="H14" s="559" t="s">
        <v>84</v>
      </c>
      <c r="I14" s="562">
        <f>MAIN!K59</f>
        <v>16.239999999999998</v>
      </c>
      <c r="J14" s="561">
        <f t="shared" si="1"/>
        <v>102312</v>
      </c>
      <c r="K14" s="563">
        <f t="shared" si="5"/>
        <v>0</v>
      </c>
      <c r="L14" s="563">
        <f t="shared" si="6"/>
        <v>0</v>
      </c>
      <c r="M14" s="564" t="s">
        <v>52</v>
      </c>
      <c r="N14" s="561">
        <f t="shared" si="7"/>
        <v>0</v>
      </c>
    </row>
    <row r="15" spans="1:14" s="565" customFormat="1" ht="144">
      <c r="A15" s="556"/>
      <c r="B15" s="557" t="s">
        <v>718</v>
      </c>
      <c r="C15" s="558">
        <f t="shared" si="2"/>
        <v>157.5</v>
      </c>
      <c r="D15" s="559" t="s">
        <v>10</v>
      </c>
      <c r="E15" s="560">
        <f t="shared" si="3"/>
        <v>11856.57</v>
      </c>
      <c r="F15" s="561">
        <f t="shared" si="4"/>
        <v>1867410</v>
      </c>
      <c r="G15" s="574">
        <f>MAIN!I73</f>
        <v>157.5</v>
      </c>
      <c r="H15" s="559" t="s">
        <v>10</v>
      </c>
      <c r="I15" s="562">
        <f>MAIN!K73</f>
        <v>11856.57</v>
      </c>
      <c r="J15" s="561">
        <f t="shared" si="1"/>
        <v>1867409.78</v>
      </c>
      <c r="K15" s="563">
        <f t="shared" si="5"/>
        <v>0</v>
      </c>
      <c r="L15" s="563">
        <f t="shared" si="6"/>
        <v>0.21999999997206032</v>
      </c>
      <c r="M15" s="564" t="s">
        <v>52</v>
      </c>
      <c r="N15" s="561">
        <f t="shared" si="7"/>
        <v>0</v>
      </c>
    </row>
    <row r="16" spans="1:14" s="565" customFormat="1" ht="108">
      <c r="A16" s="556"/>
      <c r="B16" s="557" t="s">
        <v>746</v>
      </c>
      <c r="C16" s="558">
        <f t="shared" si="2"/>
        <v>907.2</v>
      </c>
      <c r="D16" s="559" t="s">
        <v>10</v>
      </c>
      <c r="E16" s="560">
        <f t="shared" si="3"/>
        <v>384.05</v>
      </c>
      <c r="F16" s="561">
        <f t="shared" si="4"/>
        <v>348410</v>
      </c>
      <c r="G16" s="574">
        <f>MAIN!I77</f>
        <v>907.2</v>
      </c>
      <c r="H16" s="559" t="s">
        <v>10</v>
      </c>
      <c r="I16" s="562">
        <f>MAIN!K77</f>
        <v>384.05</v>
      </c>
      <c r="J16" s="561">
        <f t="shared" si="1"/>
        <v>348410.16</v>
      </c>
      <c r="K16" s="563">
        <f t="shared" si="5"/>
        <v>0.15999999997438863</v>
      </c>
      <c r="L16" s="563">
        <f t="shared" si="6"/>
        <v>0</v>
      </c>
      <c r="M16" s="564" t="s">
        <v>52</v>
      </c>
      <c r="N16" s="561">
        <f t="shared" si="7"/>
        <v>0</v>
      </c>
    </row>
    <row r="17" spans="1:14" s="565" customFormat="1">
      <c r="A17" s="556"/>
      <c r="B17" s="557" t="s">
        <v>904</v>
      </c>
      <c r="C17" s="558"/>
      <c r="D17" s="559"/>
      <c r="E17" s="560"/>
      <c r="F17" s="561"/>
      <c r="G17" s="574"/>
      <c r="H17" s="559"/>
      <c r="I17" s="562"/>
      <c r="J17" s="561"/>
      <c r="K17" s="563"/>
      <c r="L17" s="563"/>
      <c r="M17" s="564"/>
      <c r="N17" s="561"/>
    </row>
    <row r="18" spans="1:14" s="565" customFormat="1" ht="96">
      <c r="A18" s="556" t="s">
        <v>497</v>
      </c>
      <c r="B18" s="557" t="s">
        <v>587</v>
      </c>
      <c r="C18" s="558">
        <f t="shared" si="2"/>
        <v>0</v>
      </c>
      <c r="D18" s="559" t="s">
        <v>10</v>
      </c>
      <c r="E18" s="560">
        <f t="shared" si="3"/>
        <v>126.69</v>
      </c>
      <c r="F18" s="561">
        <f t="shared" si="4"/>
        <v>0</v>
      </c>
      <c r="G18" s="574">
        <f>'SUB-1'!I19</f>
        <v>0</v>
      </c>
      <c r="H18" s="559" t="s">
        <v>10</v>
      </c>
      <c r="I18" s="562">
        <f>'SUB-1'!K19</f>
        <v>126.69</v>
      </c>
      <c r="J18" s="561">
        <f t="shared" ref="J18:J25" si="8">ROUND(G18*I18,2)</f>
        <v>0</v>
      </c>
      <c r="K18" s="563">
        <f t="shared" si="5"/>
        <v>0</v>
      </c>
      <c r="L18" s="563">
        <f t="shared" si="6"/>
        <v>0</v>
      </c>
      <c r="M18" s="564" t="s">
        <v>52</v>
      </c>
      <c r="N18" s="561">
        <f t="shared" si="7"/>
        <v>0</v>
      </c>
    </row>
    <row r="19" spans="1:14" s="565" customFormat="1" ht="96">
      <c r="A19" s="556" t="s">
        <v>498</v>
      </c>
      <c r="B19" s="557" t="s">
        <v>866</v>
      </c>
      <c r="C19" s="558">
        <f t="shared" si="2"/>
        <v>0</v>
      </c>
      <c r="D19" s="559" t="s">
        <v>10</v>
      </c>
      <c r="E19" s="560">
        <f t="shared" si="3"/>
        <v>5600.99</v>
      </c>
      <c r="F19" s="561">
        <f t="shared" si="4"/>
        <v>0</v>
      </c>
      <c r="G19" s="574">
        <f>'SUB-1'!I26</f>
        <v>0</v>
      </c>
      <c r="H19" s="559" t="s">
        <v>10</v>
      </c>
      <c r="I19" s="562">
        <f>'SUB-1'!K26</f>
        <v>5600.99</v>
      </c>
      <c r="J19" s="561">
        <f t="shared" si="8"/>
        <v>0</v>
      </c>
      <c r="K19" s="563">
        <f t="shared" si="5"/>
        <v>0</v>
      </c>
      <c r="L19" s="563">
        <f t="shared" si="6"/>
        <v>0</v>
      </c>
      <c r="M19" s="564" t="s">
        <v>52</v>
      </c>
      <c r="N19" s="561">
        <f t="shared" si="7"/>
        <v>0</v>
      </c>
    </row>
    <row r="20" spans="1:14" s="565" customFormat="1" ht="72">
      <c r="A20" s="556" t="s">
        <v>498</v>
      </c>
      <c r="B20" s="557" t="s">
        <v>867</v>
      </c>
      <c r="C20" s="558">
        <f t="shared" si="2"/>
        <v>0</v>
      </c>
      <c r="D20" s="559" t="s">
        <v>612</v>
      </c>
      <c r="E20" s="560">
        <f t="shared" si="3"/>
        <v>9006.27</v>
      </c>
      <c r="F20" s="561">
        <f t="shared" si="4"/>
        <v>0</v>
      </c>
      <c r="G20" s="574">
        <f>'SUB-1'!I30</f>
        <v>0</v>
      </c>
      <c r="H20" s="559" t="s">
        <v>612</v>
      </c>
      <c r="I20" s="562">
        <f>'SUB-1'!K30</f>
        <v>9006.27</v>
      </c>
      <c r="J20" s="561">
        <f t="shared" si="8"/>
        <v>0</v>
      </c>
      <c r="K20" s="563">
        <f t="shared" si="5"/>
        <v>0</v>
      </c>
      <c r="L20" s="563">
        <f t="shared" si="6"/>
        <v>0</v>
      </c>
      <c r="M20" s="564" t="s">
        <v>52</v>
      </c>
      <c r="N20" s="561">
        <f t="shared" si="7"/>
        <v>0</v>
      </c>
    </row>
    <row r="21" spans="1:14" s="565" customFormat="1" ht="60">
      <c r="A21" s="556" t="s">
        <v>499</v>
      </c>
      <c r="B21" s="557" t="s">
        <v>435</v>
      </c>
      <c r="C21" s="558">
        <f t="shared" si="2"/>
        <v>0</v>
      </c>
      <c r="D21" s="559" t="s">
        <v>10</v>
      </c>
      <c r="E21" s="560">
        <f t="shared" si="3"/>
        <v>5954.5599999999995</v>
      </c>
      <c r="F21" s="561">
        <f t="shared" si="4"/>
        <v>0</v>
      </c>
      <c r="G21" s="574">
        <f>'SUB-1'!I37</f>
        <v>0</v>
      </c>
      <c r="H21" s="559" t="s">
        <v>10</v>
      </c>
      <c r="I21" s="562">
        <f>'SUB-1'!K37</f>
        <v>5954.5599999999995</v>
      </c>
      <c r="J21" s="561">
        <f t="shared" si="8"/>
        <v>0</v>
      </c>
      <c r="K21" s="563">
        <f t="shared" si="5"/>
        <v>0</v>
      </c>
      <c r="L21" s="563">
        <f t="shared" si="6"/>
        <v>0</v>
      </c>
      <c r="M21" s="564" t="s">
        <v>52</v>
      </c>
      <c r="N21" s="561">
        <f t="shared" si="7"/>
        <v>0</v>
      </c>
    </row>
    <row r="22" spans="1:14" s="565" customFormat="1" ht="96">
      <c r="A22" s="556" t="s">
        <v>499</v>
      </c>
      <c r="B22" s="557" t="s">
        <v>838</v>
      </c>
      <c r="C22" s="558">
        <f t="shared" si="2"/>
        <v>0</v>
      </c>
      <c r="D22" s="559" t="s">
        <v>10</v>
      </c>
      <c r="E22" s="560">
        <f t="shared" si="3"/>
        <v>7542</v>
      </c>
      <c r="F22" s="561">
        <f t="shared" si="4"/>
        <v>0</v>
      </c>
      <c r="G22" s="574">
        <f>'SUB-1'!I42</f>
        <v>0</v>
      </c>
      <c r="H22" s="559" t="s">
        <v>10</v>
      </c>
      <c r="I22" s="562">
        <f>'SUB-1'!K42</f>
        <v>7542</v>
      </c>
      <c r="J22" s="561">
        <f t="shared" si="8"/>
        <v>0</v>
      </c>
      <c r="K22" s="563">
        <f t="shared" si="5"/>
        <v>0</v>
      </c>
      <c r="L22" s="563">
        <f t="shared" si="6"/>
        <v>0</v>
      </c>
      <c r="M22" s="564" t="s">
        <v>52</v>
      </c>
      <c r="N22" s="561">
        <f t="shared" si="7"/>
        <v>0</v>
      </c>
    </row>
    <row r="23" spans="1:14" s="565" customFormat="1" ht="72">
      <c r="A23" s="556"/>
      <c r="B23" s="557" t="s">
        <v>589</v>
      </c>
      <c r="C23" s="558">
        <f t="shared" si="2"/>
        <v>0</v>
      </c>
      <c r="D23" s="559" t="s">
        <v>45</v>
      </c>
      <c r="E23" s="560">
        <f t="shared" si="3"/>
        <v>86540.55</v>
      </c>
      <c r="F23" s="561">
        <f t="shared" si="4"/>
        <v>0</v>
      </c>
      <c r="G23" s="574">
        <f>'SUB-1'!I46</f>
        <v>0</v>
      </c>
      <c r="H23" s="559" t="s">
        <v>45</v>
      </c>
      <c r="I23" s="562">
        <f>'SUB-1'!K46</f>
        <v>86540.55</v>
      </c>
      <c r="J23" s="561">
        <f t="shared" si="8"/>
        <v>0</v>
      </c>
      <c r="K23" s="563">
        <f t="shared" si="5"/>
        <v>0</v>
      </c>
      <c r="L23" s="563">
        <f t="shared" si="6"/>
        <v>0</v>
      </c>
      <c r="M23" s="564" t="s">
        <v>52</v>
      </c>
      <c r="N23" s="561">
        <f t="shared" si="7"/>
        <v>0</v>
      </c>
    </row>
    <row r="24" spans="1:14" s="565" customFormat="1" ht="60">
      <c r="A24" s="556" t="s">
        <v>500</v>
      </c>
      <c r="B24" s="557" t="s">
        <v>885</v>
      </c>
      <c r="C24" s="558">
        <f t="shared" si="2"/>
        <v>0</v>
      </c>
      <c r="D24" s="559" t="s">
        <v>10</v>
      </c>
      <c r="E24" s="560">
        <f t="shared" si="3"/>
        <v>279.77999999999997</v>
      </c>
      <c r="F24" s="561">
        <f t="shared" si="4"/>
        <v>0</v>
      </c>
      <c r="G24" s="574">
        <f>'SUB-1'!I50</f>
        <v>0</v>
      </c>
      <c r="H24" s="559" t="s">
        <v>10</v>
      </c>
      <c r="I24" s="562">
        <f>'SUB-1'!K50</f>
        <v>279.77999999999997</v>
      </c>
      <c r="J24" s="561">
        <f t="shared" si="8"/>
        <v>0</v>
      </c>
      <c r="K24" s="563">
        <f t="shared" si="5"/>
        <v>0</v>
      </c>
      <c r="L24" s="563">
        <f t="shared" si="6"/>
        <v>0</v>
      </c>
      <c r="M24" s="564" t="s">
        <v>52</v>
      </c>
      <c r="N24" s="561">
        <f t="shared" si="7"/>
        <v>0</v>
      </c>
    </row>
    <row r="25" spans="1:14" s="565" customFormat="1" ht="144">
      <c r="A25" s="556" t="s">
        <v>504</v>
      </c>
      <c r="B25" s="569" t="s">
        <v>135</v>
      </c>
      <c r="C25" s="558">
        <f t="shared" si="2"/>
        <v>0</v>
      </c>
      <c r="D25" s="567" t="s">
        <v>10</v>
      </c>
      <c r="E25" s="560">
        <f t="shared" si="3"/>
        <v>7873.37</v>
      </c>
      <c r="F25" s="561">
        <f t="shared" si="4"/>
        <v>0</v>
      </c>
      <c r="G25" s="566">
        <f>'SUB-1'!I55</f>
        <v>0</v>
      </c>
      <c r="H25" s="567" t="s">
        <v>10</v>
      </c>
      <c r="I25" s="568">
        <f>'SUB-1'!K55</f>
        <v>7873.37</v>
      </c>
      <c r="J25" s="561">
        <f t="shared" si="8"/>
        <v>0</v>
      </c>
      <c r="K25" s="563">
        <f t="shared" si="5"/>
        <v>0</v>
      </c>
      <c r="L25" s="563">
        <f t="shared" si="6"/>
        <v>0</v>
      </c>
      <c r="M25" s="564" t="s">
        <v>52</v>
      </c>
      <c r="N25" s="561">
        <f t="shared" si="7"/>
        <v>0</v>
      </c>
    </row>
    <row r="26" spans="1:14" s="565" customFormat="1">
      <c r="A26" s="556"/>
      <c r="B26" s="557" t="s">
        <v>904</v>
      </c>
      <c r="C26" s="558"/>
      <c r="D26" s="559"/>
      <c r="E26" s="560"/>
      <c r="F26" s="561"/>
      <c r="G26" s="574"/>
      <c r="H26" s="559"/>
      <c r="I26" s="562"/>
      <c r="J26" s="561"/>
      <c r="K26" s="563"/>
      <c r="L26" s="563"/>
      <c r="M26" s="564"/>
      <c r="N26" s="561"/>
    </row>
    <row r="27" spans="1:14" s="565" customFormat="1" ht="96">
      <c r="A27" s="556" t="s">
        <v>497</v>
      </c>
      <c r="B27" s="557" t="s">
        <v>587</v>
      </c>
      <c r="C27" s="558">
        <f t="shared" si="2"/>
        <v>0</v>
      </c>
      <c r="D27" s="559" t="s">
        <v>10</v>
      </c>
      <c r="E27" s="560">
        <f t="shared" si="3"/>
        <v>126.69</v>
      </c>
      <c r="F27" s="561">
        <f t="shared" si="4"/>
        <v>0</v>
      </c>
      <c r="G27" s="574">
        <f>'SUB-2'!I15</f>
        <v>0</v>
      </c>
      <c r="H27" s="559" t="s">
        <v>10</v>
      </c>
      <c r="I27" s="574">
        <f>'SUB-2'!K15</f>
        <v>126.69</v>
      </c>
      <c r="J27" s="561">
        <f t="shared" ref="J27:J34" si="9">ROUND(G27*I27,2)</f>
        <v>0</v>
      </c>
      <c r="K27" s="563">
        <f t="shared" si="5"/>
        <v>0</v>
      </c>
      <c r="L27" s="563">
        <f t="shared" si="6"/>
        <v>0</v>
      </c>
      <c r="M27" s="564" t="s">
        <v>52</v>
      </c>
      <c r="N27" s="561">
        <f t="shared" si="7"/>
        <v>0</v>
      </c>
    </row>
    <row r="28" spans="1:14" s="565" customFormat="1" ht="96">
      <c r="A28" s="556" t="s">
        <v>498</v>
      </c>
      <c r="B28" s="557" t="s">
        <v>866</v>
      </c>
      <c r="C28" s="558">
        <f t="shared" si="2"/>
        <v>0</v>
      </c>
      <c r="D28" s="559" t="s">
        <v>10</v>
      </c>
      <c r="E28" s="560">
        <f t="shared" si="3"/>
        <v>5600.99</v>
      </c>
      <c r="F28" s="561">
        <f t="shared" si="4"/>
        <v>0</v>
      </c>
      <c r="G28" s="574">
        <f>'SUB-2'!I27</f>
        <v>0</v>
      </c>
      <c r="H28" s="559" t="s">
        <v>10</v>
      </c>
      <c r="I28" s="574">
        <f>'SUB-2'!K27</f>
        <v>5600.99</v>
      </c>
      <c r="J28" s="561">
        <f t="shared" si="9"/>
        <v>0</v>
      </c>
      <c r="K28" s="563">
        <f t="shared" si="5"/>
        <v>0</v>
      </c>
      <c r="L28" s="563">
        <f t="shared" si="6"/>
        <v>0</v>
      </c>
      <c r="M28" s="564" t="s">
        <v>52</v>
      </c>
      <c r="N28" s="561">
        <f t="shared" si="7"/>
        <v>0</v>
      </c>
    </row>
    <row r="29" spans="1:14" s="565" customFormat="1" ht="72">
      <c r="A29" s="556" t="s">
        <v>498</v>
      </c>
      <c r="B29" s="557" t="s">
        <v>867</v>
      </c>
      <c r="C29" s="558">
        <f t="shared" si="2"/>
        <v>0</v>
      </c>
      <c r="D29" s="559" t="s">
        <v>612</v>
      </c>
      <c r="E29" s="560">
        <f t="shared" si="3"/>
        <v>9006.27</v>
      </c>
      <c r="F29" s="561">
        <f t="shared" si="4"/>
        <v>0</v>
      </c>
      <c r="G29" s="574">
        <f>'SUB-2'!I32</f>
        <v>0</v>
      </c>
      <c r="H29" s="559" t="s">
        <v>612</v>
      </c>
      <c r="I29" s="574">
        <f>'SUB-2'!K32</f>
        <v>9006.27</v>
      </c>
      <c r="J29" s="561">
        <f t="shared" si="9"/>
        <v>0</v>
      </c>
      <c r="K29" s="563">
        <f t="shared" si="5"/>
        <v>0</v>
      </c>
      <c r="L29" s="563">
        <f t="shared" si="6"/>
        <v>0</v>
      </c>
      <c r="M29" s="564" t="s">
        <v>52</v>
      </c>
      <c r="N29" s="561">
        <f t="shared" si="7"/>
        <v>0</v>
      </c>
    </row>
    <row r="30" spans="1:14" s="565" customFormat="1" ht="60">
      <c r="A30" s="556" t="s">
        <v>499</v>
      </c>
      <c r="B30" s="557" t="s">
        <v>435</v>
      </c>
      <c r="C30" s="558">
        <f t="shared" si="2"/>
        <v>0</v>
      </c>
      <c r="D30" s="559" t="s">
        <v>10</v>
      </c>
      <c r="E30" s="560">
        <f t="shared" si="3"/>
        <v>5954.5599999999995</v>
      </c>
      <c r="F30" s="561">
        <f t="shared" si="4"/>
        <v>0</v>
      </c>
      <c r="G30" s="574">
        <f>'SUB-2'!I44</f>
        <v>0</v>
      </c>
      <c r="H30" s="559" t="s">
        <v>10</v>
      </c>
      <c r="I30" s="574">
        <f>'SUB-2'!K44</f>
        <v>5954.5599999999995</v>
      </c>
      <c r="J30" s="561">
        <f t="shared" si="9"/>
        <v>0</v>
      </c>
      <c r="K30" s="563">
        <f t="shared" si="5"/>
        <v>0</v>
      </c>
      <c r="L30" s="563">
        <f t="shared" si="6"/>
        <v>0</v>
      </c>
      <c r="M30" s="564" t="s">
        <v>52</v>
      </c>
      <c r="N30" s="561">
        <f t="shared" si="7"/>
        <v>0</v>
      </c>
    </row>
    <row r="31" spans="1:14" s="565" customFormat="1" ht="96">
      <c r="A31" s="556" t="s">
        <v>499</v>
      </c>
      <c r="B31" s="557" t="s">
        <v>838</v>
      </c>
      <c r="C31" s="558">
        <f t="shared" si="2"/>
        <v>0</v>
      </c>
      <c r="D31" s="559" t="s">
        <v>10</v>
      </c>
      <c r="E31" s="560">
        <f t="shared" si="3"/>
        <v>7542</v>
      </c>
      <c r="F31" s="561">
        <f t="shared" si="4"/>
        <v>0</v>
      </c>
      <c r="G31" s="574">
        <f>'SUB-2'!I48</f>
        <v>0</v>
      </c>
      <c r="H31" s="559" t="s">
        <v>10</v>
      </c>
      <c r="I31" s="574">
        <f>'SUB-2'!K48</f>
        <v>7542</v>
      </c>
      <c r="J31" s="561">
        <f t="shared" si="9"/>
        <v>0</v>
      </c>
      <c r="K31" s="563">
        <f t="shared" si="5"/>
        <v>0</v>
      </c>
      <c r="L31" s="563">
        <f t="shared" si="6"/>
        <v>0</v>
      </c>
      <c r="M31" s="564" t="s">
        <v>52</v>
      </c>
      <c r="N31" s="561">
        <f t="shared" si="7"/>
        <v>0</v>
      </c>
    </row>
    <row r="32" spans="1:14" s="565" customFormat="1" ht="72">
      <c r="A32" s="556"/>
      <c r="B32" s="557" t="s">
        <v>589</v>
      </c>
      <c r="C32" s="558">
        <f t="shared" si="2"/>
        <v>0</v>
      </c>
      <c r="D32" s="559" t="s">
        <v>45</v>
      </c>
      <c r="E32" s="560">
        <f t="shared" si="3"/>
        <v>86540.55</v>
      </c>
      <c r="F32" s="561">
        <f t="shared" si="4"/>
        <v>0</v>
      </c>
      <c r="G32" s="574">
        <f>'SUB-2'!I52</f>
        <v>0</v>
      </c>
      <c r="H32" s="559" t="s">
        <v>45</v>
      </c>
      <c r="I32" s="574">
        <f>'SUB-2'!K52</f>
        <v>86540.55</v>
      </c>
      <c r="J32" s="561">
        <f t="shared" si="9"/>
        <v>0</v>
      </c>
      <c r="K32" s="563">
        <f t="shared" si="5"/>
        <v>0</v>
      </c>
      <c r="L32" s="563">
        <f t="shared" si="6"/>
        <v>0</v>
      </c>
      <c r="M32" s="564" t="s">
        <v>52</v>
      </c>
      <c r="N32" s="561">
        <f t="shared" si="7"/>
        <v>0</v>
      </c>
    </row>
    <row r="33" spans="1:14" s="565" customFormat="1" ht="60">
      <c r="A33" s="556" t="s">
        <v>500</v>
      </c>
      <c r="B33" s="557" t="s">
        <v>885</v>
      </c>
      <c r="C33" s="558">
        <f t="shared" si="2"/>
        <v>0</v>
      </c>
      <c r="D33" s="559" t="s">
        <v>10</v>
      </c>
      <c r="E33" s="560">
        <f t="shared" si="3"/>
        <v>279.77999999999997</v>
      </c>
      <c r="F33" s="561">
        <f t="shared" si="4"/>
        <v>0</v>
      </c>
      <c r="G33" s="574">
        <f>'SUB-2'!I57</f>
        <v>0</v>
      </c>
      <c r="H33" s="559" t="s">
        <v>10</v>
      </c>
      <c r="I33" s="574">
        <f>'SUB-2'!K57</f>
        <v>279.77999999999997</v>
      </c>
      <c r="J33" s="561">
        <f t="shared" si="9"/>
        <v>0</v>
      </c>
      <c r="K33" s="563">
        <f t="shared" si="5"/>
        <v>0</v>
      </c>
      <c r="L33" s="563">
        <f t="shared" si="6"/>
        <v>0</v>
      </c>
      <c r="M33" s="564" t="s">
        <v>52</v>
      </c>
      <c r="N33" s="561">
        <f t="shared" si="7"/>
        <v>0</v>
      </c>
    </row>
    <row r="34" spans="1:14" s="565" customFormat="1" ht="144">
      <c r="A34" s="556" t="s">
        <v>504</v>
      </c>
      <c r="B34" s="569" t="s">
        <v>135</v>
      </c>
      <c r="C34" s="558">
        <f t="shared" si="2"/>
        <v>0</v>
      </c>
      <c r="D34" s="567" t="s">
        <v>10</v>
      </c>
      <c r="E34" s="560">
        <f t="shared" si="3"/>
        <v>7873.37</v>
      </c>
      <c r="F34" s="561">
        <f t="shared" si="4"/>
        <v>0</v>
      </c>
      <c r="G34" s="566">
        <f>'SUB-2'!I61</f>
        <v>0</v>
      </c>
      <c r="H34" s="567" t="s">
        <v>10</v>
      </c>
      <c r="I34" s="566">
        <f>'SUB-2'!K61</f>
        <v>7873.37</v>
      </c>
      <c r="J34" s="561">
        <f t="shared" si="9"/>
        <v>0</v>
      </c>
      <c r="K34" s="563">
        <f t="shared" si="5"/>
        <v>0</v>
      </c>
      <c r="L34" s="563">
        <f t="shared" si="6"/>
        <v>0</v>
      </c>
      <c r="M34" s="564" t="s">
        <v>52</v>
      </c>
      <c r="N34" s="561">
        <f t="shared" si="7"/>
        <v>0</v>
      </c>
    </row>
    <row r="35" spans="1:14" s="565" customFormat="1">
      <c r="A35" s="556"/>
      <c r="B35" s="557" t="s">
        <v>904</v>
      </c>
      <c r="C35" s="558"/>
      <c r="D35" s="559"/>
      <c r="E35" s="560"/>
      <c r="F35" s="561"/>
      <c r="G35" s="574"/>
      <c r="H35" s="559"/>
      <c r="I35" s="562"/>
      <c r="J35" s="561"/>
      <c r="K35" s="563"/>
      <c r="L35" s="563"/>
      <c r="M35" s="564"/>
      <c r="N35" s="561"/>
    </row>
    <row r="36" spans="1:14" s="565" customFormat="1" ht="96">
      <c r="A36" s="556" t="s">
        <v>497</v>
      </c>
      <c r="B36" s="557" t="s">
        <v>587</v>
      </c>
      <c r="C36" s="558">
        <f t="shared" si="2"/>
        <v>78.239999999999995</v>
      </c>
      <c r="D36" s="559" t="s">
        <v>10</v>
      </c>
      <c r="E36" s="560">
        <f t="shared" si="3"/>
        <v>126.69</v>
      </c>
      <c r="F36" s="561">
        <f t="shared" si="4"/>
        <v>9912</v>
      </c>
      <c r="G36" s="574">
        <f>'SUB-3'!I12</f>
        <v>78.239999999999995</v>
      </c>
      <c r="H36" s="559" t="s">
        <v>10</v>
      </c>
      <c r="I36" s="574">
        <f>'SUB-3'!K12</f>
        <v>126.69</v>
      </c>
      <c r="J36" s="561">
        <f t="shared" ref="J36:J43" si="10">ROUND(G36*I36,2)</f>
        <v>9912.23</v>
      </c>
      <c r="K36" s="563">
        <f t="shared" si="5"/>
        <v>0.22999999999956344</v>
      </c>
      <c r="L36" s="563">
        <f t="shared" si="6"/>
        <v>0</v>
      </c>
      <c r="M36" s="564" t="s">
        <v>52</v>
      </c>
      <c r="N36" s="561">
        <f t="shared" si="7"/>
        <v>0</v>
      </c>
    </row>
    <row r="37" spans="1:14" s="565" customFormat="1" ht="96">
      <c r="A37" s="556" t="s">
        <v>498</v>
      </c>
      <c r="B37" s="557" t="s">
        <v>866</v>
      </c>
      <c r="C37" s="558">
        <f t="shared" si="2"/>
        <v>17.53</v>
      </c>
      <c r="D37" s="559" t="s">
        <v>10</v>
      </c>
      <c r="E37" s="560">
        <f t="shared" si="3"/>
        <v>5600.99</v>
      </c>
      <c r="F37" s="561">
        <f t="shared" si="4"/>
        <v>98185</v>
      </c>
      <c r="G37" s="574">
        <f>'SUB-3'!I22</f>
        <v>17.53</v>
      </c>
      <c r="H37" s="559" t="s">
        <v>10</v>
      </c>
      <c r="I37" s="574">
        <f>'SUB-3'!K22</f>
        <v>5600.99</v>
      </c>
      <c r="J37" s="561">
        <f t="shared" si="10"/>
        <v>98185.35</v>
      </c>
      <c r="K37" s="563">
        <f t="shared" si="5"/>
        <v>0.35000000000582077</v>
      </c>
      <c r="L37" s="563">
        <f t="shared" si="6"/>
        <v>0</v>
      </c>
      <c r="M37" s="564" t="s">
        <v>52</v>
      </c>
      <c r="N37" s="561">
        <f t="shared" si="7"/>
        <v>0</v>
      </c>
    </row>
    <row r="38" spans="1:14" s="565" customFormat="1" ht="72">
      <c r="A38" s="556" t="s">
        <v>498</v>
      </c>
      <c r="B38" s="557" t="s">
        <v>867</v>
      </c>
      <c r="C38" s="558">
        <f t="shared" si="2"/>
        <v>22.5</v>
      </c>
      <c r="D38" s="559" t="s">
        <v>612</v>
      </c>
      <c r="E38" s="560">
        <f t="shared" si="3"/>
        <v>9006.27</v>
      </c>
      <c r="F38" s="561">
        <f t="shared" si="4"/>
        <v>202641</v>
      </c>
      <c r="G38" s="574">
        <f>'SUB-3'!I26</f>
        <v>22.5</v>
      </c>
      <c r="H38" s="559" t="s">
        <v>612</v>
      </c>
      <c r="I38" s="574">
        <f>'SUB-3'!K26</f>
        <v>9006.27</v>
      </c>
      <c r="J38" s="561">
        <f t="shared" si="10"/>
        <v>202641.08</v>
      </c>
      <c r="K38" s="563">
        <f t="shared" si="5"/>
        <v>7.9999999987194315E-2</v>
      </c>
      <c r="L38" s="563">
        <f t="shared" si="6"/>
        <v>0</v>
      </c>
      <c r="M38" s="564" t="s">
        <v>52</v>
      </c>
      <c r="N38" s="561">
        <f t="shared" si="7"/>
        <v>0</v>
      </c>
    </row>
    <row r="39" spans="1:14" s="565" customFormat="1" ht="60">
      <c r="A39" s="556" t="s">
        <v>499</v>
      </c>
      <c r="B39" s="557" t="s">
        <v>435</v>
      </c>
      <c r="C39" s="558">
        <f t="shared" si="2"/>
        <v>41.489999999999995</v>
      </c>
      <c r="D39" s="559" t="s">
        <v>10</v>
      </c>
      <c r="E39" s="560">
        <f t="shared" si="3"/>
        <v>5954.5599999999995</v>
      </c>
      <c r="F39" s="561">
        <f t="shared" si="4"/>
        <v>247055</v>
      </c>
      <c r="G39" s="574">
        <f>'SUB-3'!I32</f>
        <v>41.489999999999995</v>
      </c>
      <c r="H39" s="559" t="s">
        <v>10</v>
      </c>
      <c r="I39" s="574">
        <f>'SUB-3'!K32</f>
        <v>5954.5599999999995</v>
      </c>
      <c r="J39" s="561">
        <f t="shared" si="10"/>
        <v>247054.69</v>
      </c>
      <c r="K39" s="563">
        <f t="shared" si="5"/>
        <v>0</v>
      </c>
      <c r="L39" s="563">
        <f t="shared" si="6"/>
        <v>0.30999999999767169</v>
      </c>
      <c r="M39" s="564" t="s">
        <v>52</v>
      </c>
      <c r="N39" s="561">
        <f t="shared" si="7"/>
        <v>0</v>
      </c>
    </row>
    <row r="40" spans="1:14" s="565" customFormat="1" ht="96">
      <c r="A40" s="556" t="s">
        <v>499</v>
      </c>
      <c r="B40" s="557" t="s">
        <v>838</v>
      </c>
      <c r="C40" s="558">
        <f t="shared" si="2"/>
        <v>0</v>
      </c>
      <c r="D40" s="559" t="s">
        <v>10</v>
      </c>
      <c r="E40" s="560">
        <f t="shared" si="3"/>
        <v>7542</v>
      </c>
      <c r="F40" s="561">
        <f t="shared" si="4"/>
        <v>0</v>
      </c>
      <c r="G40" s="574">
        <f>'SUB-3'!I36</f>
        <v>0</v>
      </c>
      <c r="H40" s="559" t="s">
        <v>10</v>
      </c>
      <c r="I40" s="574">
        <f>'SUB-3'!K36</f>
        <v>7542</v>
      </c>
      <c r="J40" s="561">
        <f t="shared" si="10"/>
        <v>0</v>
      </c>
      <c r="K40" s="563">
        <f t="shared" si="5"/>
        <v>0</v>
      </c>
      <c r="L40" s="563">
        <f t="shared" si="6"/>
        <v>0</v>
      </c>
      <c r="M40" s="564" t="s">
        <v>52</v>
      </c>
      <c r="N40" s="561">
        <f t="shared" si="7"/>
        <v>0</v>
      </c>
    </row>
    <row r="41" spans="1:14" s="565" customFormat="1" ht="72">
      <c r="A41" s="556"/>
      <c r="B41" s="557" t="s">
        <v>589</v>
      </c>
      <c r="C41" s="558">
        <f t="shared" si="2"/>
        <v>0</v>
      </c>
      <c r="D41" s="559" t="s">
        <v>45</v>
      </c>
      <c r="E41" s="560">
        <f t="shared" si="3"/>
        <v>86540.55</v>
      </c>
      <c r="F41" s="561">
        <f t="shared" si="4"/>
        <v>0</v>
      </c>
      <c r="G41" s="574">
        <f>'SUB-3'!I40</f>
        <v>0</v>
      </c>
      <c r="H41" s="559" t="s">
        <v>45</v>
      </c>
      <c r="I41" s="574">
        <f>'SUB-3'!K40</f>
        <v>86540.55</v>
      </c>
      <c r="J41" s="561">
        <f t="shared" si="10"/>
        <v>0</v>
      </c>
      <c r="K41" s="563">
        <f t="shared" si="5"/>
        <v>0</v>
      </c>
      <c r="L41" s="563">
        <f t="shared" si="6"/>
        <v>0</v>
      </c>
      <c r="M41" s="564" t="s">
        <v>52</v>
      </c>
      <c r="N41" s="561">
        <f t="shared" si="7"/>
        <v>0</v>
      </c>
    </row>
    <row r="42" spans="1:14" s="565" customFormat="1" ht="60">
      <c r="A42" s="556" t="s">
        <v>500</v>
      </c>
      <c r="B42" s="557" t="s">
        <v>885</v>
      </c>
      <c r="C42" s="558">
        <f t="shared" si="2"/>
        <v>40.700000000000003</v>
      </c>
      <c r="D42" s="559" t="s">
        <v>10</v>
      </c>
      <c r="E42" s="560">
        <f t="shared" si="3"/>
        <v>279.77999999999997</v>
      </c>
      <c r="F42" s="561">
        <f t="shared" si="4"/>
        <v>11387</v>
      </c>
      <c r="G42" s="574">
        <f>'SUB-3'!I45</f>
        <v>40.700000000000003</v>
      </c>
      <c r="H42" s="559" t="s">
        <v>10</v>
      </c>
      <c r="I42" s="574">
        <f>'SUB-3'!K45</f>
        <v>279.77999999999997</v>
      </c>
      <c r="J42" s="561">
        <f t="shared" si="10"/>
        <v>11387.05</v>
      </c>
      <c r="K42" s="563">
        <f t="shared" si="5"/>
        <v>4.9999999999272404E-2</v>
      </c>
      <c r="L42" s="563">
        <f t="shared" si="6"/>
        <v>0</v>
      </c>
      <c r="M42" s="564" t="s">
        <v>52</v>
      </c>
      <c r="N42" s="561">
        <f t="shared" si="7"/>
        <v>0</v>
      </c>
    </row>
    <row r="43" spans="1:14" s="565" customFormat="1" ht="144">
      <c r="A43" s="556" t="s">
        <v>504</v>
      </c>
      <c r="B43" s="569" t="s">
        <v>135</v>
      </c>
      <c r="C43" s="558">
        <f t="shared" si="2"/>
        <v>0</v>
      </c>
      <c r="D43" s="567" t="s">
        <v>10</v>
      </c>
      <c r="E43" s="560">
        <f t="shared" si="3"/>
        <v>7873.37</v>
      </c>
      <c r="F43" s="561">
        <f t="shared" si="4"/>
        <v>0</v>
      </c>
      <c r="G43" s="566">
        <f>'SUB-3'!I49</f>
        <v>0</v>
      </c>
      <c r="H43" s="567" t="s">
        <v>10</v>
      </c>
      <c r="I43" s="566">
        <f>'SUB-3'!K49</f>
        <v>7873.37</v>
      </c>
      <c r="J43" s="561">
        <f t="shared" si="10"/>
        <v>0</v>
      </c>
      <c r="K43" s="563">
        <f t="shared" si="5"/>
        <v>0</v>
      </c>
      <c r="L43" s="563">
        <f t="shared" si="6"/>
        <v>0</v>
      </c>
      <c r="M43" s="564" t="s">
        <v>52</v>
      </c>
      <c r="N43" s="561">
        <f t="shared" si="7"/>
        <v>0</v>
      </c>
    </row>
    <row r="44" spans="1:14" s="565" customFormat="1">
      <c r="A44" s="556"/>
      <c r="B44" s="557" t="s">
        <v>904</v>
      </c>
      <c r="C44" s="558"/>
      <c r="D44" s="559"/>
      <c r="E44" s="560"/>
      <c r="F44" s="561"/>
      <c r="G44" s="574"/>
      <c r="H44" s="559"/>
      <c r="I44" s="562"/>
      <c r="J44" s="561"/>
      <c r="K44" s="563"/>
      <c r="L44" s="563"/>
      <c r="M44" s="564"/>
      <c r="N44" s="561"/>
    </row>
    <row r="45" spans="1:14" s="565" customFormat="1" ht="96">
      <c r="A45" s="556" t="s">
        <v>497</v>
      </c>
      <c r="B45" s="557" t="s">
        <v>587</v>
      </c>
      <c r="C45" s="558">
        <f t="shared" si="2"/>
        <v>0</v>
      </c>
      <c r="D45" s="559" t="s">
        <v>10</v>
      </c>
      <c r="E45" s="560">
        <f t="shared" si="3"/>
        <v>126.69</v>
      </c>
      <c r="F45" s="561">
        <f t="shared" si="4"/>
        <v>0</v>
      </c>
      <c r="G45" s="574">
        <f>'SUB-4'!I12</f>
        <v>0</v>
      </c>
      <c r="H45" s="559" t="s">
        <v>10</v>
      </c>
      <c r="I45" s="574">
        <f>'SUB-4'!K12</f>
        <v>126.69</v>
      </c>
      <c r="J45" s="561">
        <f t="shared" ref="J45:J52" si="11">ROUND(G45*I45,2)</f>
        <v>0</v>
      </c>
      <c r="K45" s="563">
        <f t="shared" si="5"/>
        <v>0</v>
      </c>
      <c r="L45" s="563">
        <f t="shared" si="6"/>
        <v>0</v>
      </c>
      <c r="M45" s="564" t="s">
        <v>52</v>
      </c>
      <c r="N45" s="561">
        <f t="shared" si="7"/>
        <v>0</v>
      </c>
    </row>
    <row r="46" spans="1:14" s="565" customFormat="1" ht="96">
      <c r="A46" s="556" t="s">
        <v>498</v>
      </c>
      <c r="B46" s="557" t="s">
        <v>866</v>
      </c>
      <c r="C46" s="558">
        <f t="shared" si="2"/>
        <v>0</v>
      </c>
      <c r="D46" s="559" t="s">
        <v>10</v>
      </c>
      <c r="E46" s="560">
        <f t="shared" si="3"/>
        <v>5600.99</v>
      </c>
      <c r="F46" s="561">
        <f t="shared" si="4"/>
        <v>0</v>
      </c>
      <c r="G46" s="574">
        <f>'SUB-4'!I22</f>
        <v>0</v>
      </c>
      <c r="H46" s="559" t="s">
        <v>10</v>
      </c>
      <c r="I46" s="574">
        <f>'SUB-4'!K22</f>
        <v>5600.99</v>
      </c>
      <c r="J46" s="561">
        <f t="shared" si="11"/>
        <v>0</v>
      </c>
      <c r="K46" s="563">
        <f t="shared" si="5"/>
        <v>0</v>
      </c>
      <c r="L46" s="563">
        <f t="shared" si="6"/>
        <v>0</v>
      </c>
      <c r="M46" s="564" t="s">
        <v>52</v>
      </c>
      <c r="N46" s="561">
        <f t="shared" si="7"/>
        <v>0</v>
      </c>
    </row>
    <row r="47" spans="1:14" s="565" customFormat="1" ht="72">
      <c r="A47" s="556" t="s">
        <v>498</v>
      </c>
      <c r="B47" s="557" t="s">
        <v>867</v>
      </c>
      <c r="C47" s="558">
        <f t="shared" si="2"/>
        <v>0</v>
      </c>
      <c r="D47" s="559" t="s">
        <v>612</v>
      </c>
      <c r="E47" s="560">
        <f t="shared" si="3"/>
        <v>9006.27</v>
      </c>
      <c r="F47" s="561">
        <f t="shared" si="4"/>
        <v>0</v>
      </c>
      <c r="G47" s="574">
        <f>'SUB-4'!I26</f>
        <v>0</v>
      </c>
      <c r="H47" s="559" t="s">
        <v>612</v>
      </c>
      <c r="I47" s="574">
        <f>'SUB-4'!K26</f>
        <v>9006.27</v>
      </c>
      <c r="J47" s="561">
        <f t="shared" si="11"/>
        <v>0</v>
      </c>
      <c r="K47" s="563">
        <f t="shared" si="5"/>
        <v>0</v>
      </c>
      <c r="L47" s="563">
        <f t="shared" si="6"/>
        <v>0</v>
      </c>
      <c r="M47" s="564" t="s">
        <v>52</v>
      </c>
      <c r="N47" s="561">
        <f t="shared" si="7"/>
        <v>0</v>
      </c>
    </row>
    <row r="48" spans="1:14" s="565" customFormat="1" ht="60">
      <c r="A48" s="556" t="s">
        <v>499</v>
      </c>
      <c r="B48" s="557" t="s">
        <v>435</v>
      </c>
      <c r="C48" s="558">
        <f t="shared" si="2"/>
        <v>0</v>
      </c>
      <c r="D48" s="559" t="s">
        <v>10</v>
      </c>
      <c r="E48" s="560">
        <f t="shared" si="3"/>
        <v>5954.5599999999995</v>
      </c>
      <c r="F48" s="561">
        <f t="shared" si="4"/>
        <v>0</v>
      </c>
      <c r="G48" s="574">
        <f>'SUB-4'!I32</f>
        <v>0</v>
      </c>
      <c r="H48" s="559" t="s">
        <v>10</v>
      </c>
      <c r="I48" s="574">
        <f>'SUB-4'!K32</f>
        <v>5954.5599999999995</v>
      </c>
      <c r="J48" s="561">
        <f t="shared" si="11"/>
        <v>0</v>
      </c>
      <c r="K48" s="563">
        <f t="shared" si="5"/>
        <v>0</v>
      </c>
      <c r="L48" s="563">
        <f t="shared" si="6"/>
        <v>0</v>
      </c>
      <c r="M48" s="564" t="s">
        <v>52</v>
      </c>
      <c r="N48" s="561">
        <f t="shared" si="7"/>
        <v>0</v>
      </c>
    </row>
    <row r="49" spans="1:14" s="565" customFormat="1" ht="96">
      <c r="A49" s="556" t="s">
        <v>499</v>
      </c>
      <c r="B49" s="557" t="s">
        <v>838</v>
      </c>
      <c r="C49" s="558">
        <f t="shared" si="2"/>
        <v>0</v>
      </c>
      <c r="D49" s="559" t="s">
        <v>10</v>
      </c>
      <c r="E49" s="560">
        <f t="shared" si="3"/>
        <v>7542</v>
      </c>
      <c r="F49" s="561">
        <f t="shared" si="4"/>
        <v>0</v>
      </c>
      <c r="G49" s="574">
        <f>'SUB-4'!I36</f>
        <v>0</v>
      </c>
      <c r="H49" s="559" t="s">
        <v>10</v>
      </c>
      <c r="I49" s="574">
        <f>'SUB-4'!K36</f>
        <v>7542</v>
      </c>
      <c r="J49" s="561">
        <f t="shared" si="11"/>
        <v>0</v>
      </c>
      <c r="K49" s="563">
        <f t="shared" si="5"/>
        <v>0</v>
      </c>
      <c r="L49" s="563">
        <f t="shared" si="6"/>
        <v>0</v>
      </c>
      <c r="M49" s="564" t="s">
        <v>52</v>
      </c>
      <c r="N49" s="561">
        <f t="shared" si="7"/>
        <v>0</v>
      </c>
    </row>
    <row r="50" spans="1:14" s="565" customFormat="1" ht="72">
      <c r="A50" s="556"/>
      <c r="B50" s="557" t="s">
        <v>589</v>
      </c>
      <c r="C50" s="558">
        <f t="shared" si="2"/>
        <v>0</v>
      </c>
      <c r="D50" s="559" t="s">
        <v>45</v>
      </c>
      <c r="E50" s="560">
        <f t="shared" si="3"/>
        <v>86540.55</v>
      </c>
      <c r="F50" s="561">
        <f t="shared" si="4"/>
        <v>0</v>
      </c>
      <c r="G50" s="574">
        <f>'SUB-4'!I40</f>
        <v>0</v>
      </c>
      <c r="H50" s="559" t="s">
        <v>45</v>
      </c>
      <c r="I50" s="574">
        <f>'SUB-4'!K40</f>
        <v>86540.55</v>
      </c>
      <c r="J50" s="561">
        <f t="shared" si="11"/>
        <v>0</v>
      </c>
      <c r="K50" s="563">
        <f t="shared" si="5"/>
        <v>0</v>
      </c>
      <c r="L50" s="563">
        <f t="shared" si="6"/>
        <v>0</v>
      </c>
      <c r="M50" s="564" t="s">
        <v>52</v>
      </c>
      <c r="N50" s="561">
        <f t="shared" si="7"/>
        <v>0</v>
      </c>
    </row>
    <row r="51" spans="1:14" s="565" customFormat="1" ht="60">
      <c r="A51" s="556" t="s">
        <v>500</v>
      </c>
      <c r="B51" s="557" t="s">
        <v>885</v>
      </c>
      <c r="C51" s="558">
        <f t="shared" si="2"/>
        <v>0</v>
      </c>
      <c r="D51" s="559" t="s">
        <v>10</v>
      </c>
      <c r="E51" s="560">
        <f t="shared" si="3"/>
        <v>279.77999999999997</v>
      </c>
      <c r="F51" s="561">
        <f t="shared" si="4"/>
        <v>0</v>
      </c>
      <c r="G51" s="574">
        <f>'SUB-4'!I45</f>
        <v>0</v>
      </c>
      <c r="H51" s="559" t="s">
        <v>10</v>
      </c>
      <c r="I51" s="574">
        <f>'SUB-4'!K45</f>
        <v>279.77999999999997</v>
      </c>
      <c r="J51" s="561">
        <f t="shared" si="11"/>
        <v>0</v>
      </c>
      <c r="K51" s="563">
        <f t="shared" si="5"/>
        <v>0</v>
      </c>
      <c r="L51" s="563">
        <f t="shared" si="6"/>
        <v>0</v>
      </c>
      <c r="M51" s="564" t="s">
        <v>52</v>
      </c>
      <c r="N51" s="561">
        <f t="shared" si="7"/>
        <v>0</v>
      </c>
    </row>
    <row r="52" spans="1:14" s="565" customFormat="1" ht="144">
      <c r="A52" s="556" t="s">
        <v>504</v>
      </c>
      <c r="B52" s="569" t="s">
        <v>135</v>
      </c>
      <c r="C52" s="558">
        <f t="shared" si="2"/>
        <v>0</v>
      </c>
      <c r="D52" s="567" t="s">
        <v>10</v>
      </c>
      <c r="E52" s="560">
        <f t="shared" si="3"/>
        <v>7873.37</v>
      </c>
      <c r="F52" s="561">
        <f t="shared" si="4"/>
        <v>0</v>
      </c>
      <c r="G52" s="566">
        <f>'SUB-4'!I49</f>
        <v>0</v>
      </c>
      <c r="H52" s="567" t="s">
        <v>10</v>
      </c>
      <c r="I52" s="566">
        <f>'SUB-4'!K49</f>
        <v>7873.37</v>
      </c>
      <c r="J52" s="561">
        <f t="shared" si="11"/>
        <v>0</v>
      </c>
      <c r="K52" s="563">
        <f t="shared" si="5"/>
        <v>0</v>
      </c>
      <c r="L52" s="563">
        <f t="shared" si="6"/>
        <v>0</v>
      </c>
      <c r="M52" s="564" t="s">
        <v>52</v>
      </c>
      <c r="N52" s="561">
        <f t="shared" si="7"/>
        <v>0</v>
      </c>
    </row>
    <row r="53" spans="1:14" s="565" customFormat="1">
      <c r="A53" s="556"/>
      <c r="B53" s="557" t="s">
        <v>904</v>
      </c>
      <c r="C53" s="558"/>
      <c r="D53" s="559"/>
      <c r="E53" s="560"/>
      <c r="F53" s="561"/>
      <c r="G53" s="574"/>
      <c r="H53" s="559"/>
      <c r="I53" s="562"/>
      <c r="J53" s="561"/>
      <c r="K53" s="563"/>
      <c r="L53" s="563"/>
      <c r="M53" s="564"/>
      <c r="N53" s="561"/>
    </row>
    <row r="54" spans="1:14" s="565" customFormat="1" ht="96">
      <c r="A54" s="556" t="s">
        <v>497</v>
      </c>
      <c r="B54" s="557" t="s">
        <v>587</v>
      </c>
      <c r="C54" s="558">
        <f t="shared" si="2"/>
        <v>0</v>
      </c>
      <c r="D54" s="559" t="s">
        <v>10</v>
      </c>
      <c r="E54" s="560">
        <f t="shared" si="3"/>
        <v>126.69</v>
      </c>
      <c r="F54" s="561">
        <f t="shared" si="4"/>
        <v>0</v>
      </c>
      <c r="G54" s="574">
        <f>'sub-5'!I11</f>
        <v>0</v>
      </c>
      <c r="H54" s="559" t="s">
        <v>10</v>
      </c>
      <c r="I54" s="574">
        <f>'sub-5'!K11</f>
        <v>126.69</v>
      </c>
      <c r="J54" s="561">
        <f>ROUND(G54*I54,2)</f>
        <v>0</v>
      </c>
      <c r="K54" s="563">
        <f t="shared" si="5"/>
        <v>0</v>
      </c>
      <c r="L54" s="563">
        <f t="shared" si="6"/>
        <v>0</v>
      </c>
      <c r="M54" s="564" t="s">
        <v>52</v>
      </c>
      <c r="N54" s="561">
        <f t="shared" si="7"/>
        <v>0</v>
      </c>
    </row>
    <row r="55" spans="1:14" s="565" customFormat="1" ht="96">
      <c r="A55" s="556" t="s">
        <v>498</v>
      </c>
      <c r="B55" s="557" t="s">
        <v>866</v>
      </c>
      <c r="C55" s="558">
        <f t="shared" si="2"/>
        <v>0</v>
      </c>
      <c r="D55" s="559" t="s">
        <v>10</v>
      </c>
      <c r="E55" s="560">
        <f t="shared" si="3"/>
        <v>5600.99</v>
      </c>
      <c r="F55" s="561">
        <f t="shared" si="4"/>
        <v>0</v>
      </c>
      <c r="G55" s="574">
        <f>'sub-5'!I18</f>
        <v>0</v>
      </c>
      <c r="H55" s="559" t="s">
        <v>10</v>
      </c>
      <c r="I55" s="574">
        <f>'sub-5'!K18</f>
        <v>5600.99</v>
      </c>
      <c r="J55" s="561">
        <f>ROUND(G55*I55,2)</f>
        <v>0</v>
      </c>
      <c r="K55" s="563">
        <f t="shared" si="5"/>
        <v>0</v>
      </c>
      <c r="L55" s="563">
        <f t="shared" si="6"/>
        <v>0</v>
      </c>
      <c r="M55" s="564" t="s">
        <v>52</v>
      </c>
      <c r="N55" s="561">
        <f t="shared" si="7"/>
        <v>0</v>
      </c>
    </row>
    <row r="56" spans="1:14" s="565" customFormat="1" ht="72">
      <c r="A56" s="556" t="s">
        <v>498</v>
      </c>
      <c r="B56" s="557" t="s">
        <v>1086</v>
      </c>
      <c r="C56" s="558">
        <f t="shared" si="2"/>
        <v>0</v>
      </c>
      <c r="D56" s="559" t="s">
        <v>612</v>
      </c>
      <c r="E56" s="560">
        <f t="shared" si="3"/>
        <v>3804.82</v>
      </c>
      <c r="F56" s="561">
        <f t="shared" si="4"/>
        <v>0</v>
      </c>
      <c r="G56" s="574">
        <f>'sub-5'!I22</f>
        <v>0</v>
      </c>
      <c r="H56" s="559" t="s">
        <v>612</v>
      </c>
      <c r="I56" s="574">
        <f>'sub-5'!K22</f>
        <v>3804.82</v>
      </c>
      <c r="J56" s="561">
        <f>ROUND(G56*I56,2)</f>
        <v>0</v>
      </c>
      <c r="K56" s="563">
        <f t="shared" si="5"/>
        <v>0</v>
      </c>
      <c r="L56" s="563">
        <f t="shared" si="6"/>
        <v>0</v>
      </c>
      <c r="M56" s="564" t="s">
        <v>52</v>
      </c>
      <c r="N56" s="561">
        <f t="shared" si="7"/>
        <v>0</v>
      </c>
    </row>
    <row r="57" spans="1:14" s="565" customFormat="1">
      <c r="A57" s="556"/>
      <c r="B57" s="557" t="s">
        <v>904</v>
      </c>
      <c r="C57" s="558"/>
      <c r="D57" s="559"/>
      <c r="E57" s="560"/>
      <c r="F57" s="561"/>
      <c r="G57" s="574"/>
      <c r="H57" s="559"/>
      <c r="I57" s="562"/>
      <c r="J57" s="561"/>
      <c r="K57" s="563"/>
      <c r="L57" s="563"/>
      <c r="M57" s="564"/>
      <c r="N57" s="561"/>
    </row>
    <row r="58" spans="1:14" s="565" customFormat="1" ht="24">
      <c r="A58" s="556" t="s">
        <v>497</v>
      </c>
      <c r="B58" s="557" t="s">
        <v>1054</v>
      </c>
      <c r="C58" s="558">
        <f t="shared" si="2"/>
        <v>3</v>
      </c>
      <c r="D58" s="559" t="s">
        <v>60</v>
      </c>
      <c r="E58" s="560">
        <f t="shared" si="3"/>
        <v>3148.81</v>
      </c>
      <c r="F58" s="561">
        <f t="shared" si="4"/>
        <v>9446</v>
      </c>
      <c r="G58" s="574">
        <f>'sub-6'!I11</f>
        <v>3</v>
      </c>
      <c r="H58" s="559" t="s">
        <v>60</v>
      </c>
      <c r="I58" s="574">
        <f>'sub-6'!K11</f>
        <v>3148.81</v>
      </c>
      <c r="J58" s="561">
        <f t="shared" ref="J58:J63" si="12">ROUND(G58*I58,2)</f>
        <v>9446.43</v>
      </c>
      <c r="K58" s="563">
        <f t="shared" si="5"/>
        <v>0.43000000000029104</v>
      </c>
      <c r="L58" s="563">
        <f t="shared" si="6"/>
        <v>0</v>
      </c>
      <c r="M58" s="564" t="s">
        <v>52</v>
      </c>
      <c r="N58" s="561">
        <f t="shared" si="7"/>
        <v>0</v>
      </c>
    </row>
    <row r="59" spans="1:14" s="565" customFormat="1" ht="24">
      <c r="A59" s="556" t="s">
        <v>497</v>
      </c>
      <c r="B59" s="557" t="s">
        <v>1056</v>
      </c>
      <c r="C59" s="558">
        <f t="shared" si="2"/>
        <v>7</v>
      </c>
      <c r="D59" s="559" t="s">
        <v>60</v>
      </c>
      <c r="E59" s="560">
        <f t="shared" si="3"/>
        <v>883.73</v>
      </c>
      <c r="F59" s="561">
        <f t="shared" si="4"/>
        <v>6186</v>
      </c>
      <c r="G59" s="574">
        <f>'sub-6'!I15</f>
        <v>7</v>
      </c>
      <c r="H59" s="559" t="s">
        <v>60</v>
      </c>
      <c r="I59" s="574">
        <f>'sub-6'!K15</f>
        <v>883.73</v>
      </c>
      <c r="J59" s="561">
        <f t="shared" si="12"/>
        <v>6186.11</v>
      </c>
      <c r="K59" s="563">
        <f t="shared" si="5"/>
        <v>0.10999999999967258</v>
      </c>
      <c r="L59" s="563">
        <f t="shared" si="6"/>
        <v>0</v>
      </c>
      <c r="M59" s="564" t="s">
        <v>52</v>
      </c>
      <c r="N59" s="561">
        <f t="shared" si="7"/>
        <v>0</v>
      </c>
    </row>
    <row r="60" spans="1:14" s="565" customFormat="1" ht="132">
      <c r="A60" s="556"/>
      <c r="B60" s="557" t="s">
        <v>1063</v>
      </c>
      <c r="C60" s="558">
        <f t="shared" si="2"/>
        <v>0</v>
      </c>
      <c r="D60" s="559" t="s">
        <v>60</v>
      </c>
      <c r="E60" s="560">
        <f t="shared" si="3"/>
        <v>2623.8420000000001</v>
      </c>
      <c r="F60" s="561">
        <f t="shared" si="4"/>
        <v>0</v>
      </c>
      <c r="G60" s="574">
        <f>'sub-6'!I19</f>
        <v>0</v>
      </c>
      <c r="H60" s="559" t="s">
        <v>60</v>
      </c>
      <c r="I60" s="574">
        <f>'sub-6'!K19</f>
        <v>2623.8420000000001</v>
      </c>
      <c r="J60" s="561">
        <f t="shared" si="12"/>
        <v>0</v>
      </c>
      <c r="K60" s="563">
        <f t="shared" si="5"/>
        <v>0</v>
      </c>
      <c r="L60" s="563">
        <f t="shared" si="6"/>
        <v>0</v>
      </c>
      <c r="M60" s="564" t="s">
        <v>52</v>
      </c>
      <c r="N60" s="561">
        <f t="shared" si="7"/>
        <v>0</v>
      </c>
    </row>
    <row r="61" spans="1:14" s="565" customFormat="1" ht="180">
      <c r="A61" s="556"/>
      <c r="B61" s="557" t="s">
        <v>1060</v>
      </c>
      <c r="C61" s="558">
        <f t="shared" si="2"/>
        <v>0</v>
      </c>
      <c r="D61" s="559" t="s">
        <v>84</v>
      </c>
      <c r="E61" s="560">
        <f t="shared" si="3"/>
        <v>2222.59</v>
      </c>
      <c r="F61" s="561">
        <f t="shared" si="4"/>
        <v>0</v>
      </c>
      <c r="G61" s="574">
        <f>'sub-6'!I23</f>
        <v>0</v>
      </c>
      <c r="H61" s="559" t="s">
        <v>84</v>
      </c>
      <c r="I61" s="574">
        <f>'sub-6'!K23</f>
        <v>2222.59</v>
      </c>
      <c r="J61" s="561">
        <f t="shared" si="12"/>
        <v>0</v>
      </c>
      <c r="K61" s="563">
        <f t="shared" si="5"/>
        <v>0</v>
      </c>
      <c r="L61" s="563">
        <f t="shared" si="6"/>
        <v>0</v>
      </c>
      <c r="M61" s="564" t="s">
        <v>52</v>
      </c>
      <c r="N61" s="561">
        <f t="shared" si="7"/>
        <v>0</v>
      </c>
    </row>
    <row r="62" spans="1:14" s="565" customFormat="1" ht="156">
      <c r="A62" s="556"/>
      <c r="B62" s="557" t="s">
        <v>1059</v>
      </c>
      <c r="C62" s="558">
        <f t="shared" si="2"/>
        <v>0</v>
      </c>
      <c r="D62" s="559" t="s">
        <v>84</v>
      </c>
      <c r="E62" s="560">
        <f t="shared" si="3"/>
        <v>2222.6556666666665</v>
      </c>
      <c r="F62" s="561">
        <f t="shared" si="4"/>
        <v>0</v>
      </c>
      <c r="G62" s="574">
        <f>'sub-6'!I27</f>
        <v>0</v>
      </c>
      <c r="H62" s="559" t="s">
        <v>84</v>
      </c>
      <c r="I62" s="574">
        <f>'sub-6'!K27</f>
        <v>2222.6556666666665</v>
      </c>
      <c r="J62" s="561">
        <f t="shared" si="12"/>
        <v>0</v>
      </c>
      <c r="K62" s="563">
        <f t="shared" si="5"/>
        <v>0</v>
      </c>
      <c r="L62" s="563">
        <f t="shared" si="6"/>
        <v>0</v>
      </c>
      <c r="M62" s="564" t="s">
        <v>52</v>
      </c>
      <c r="N62" s="561">
        <f t="shared" si="7"/>
        <v>0</v>
      </c>
    </row>
    <row r="63" spans="1:14" s="565" customFormat="1" ht="168">
      <c r="A63" s="556"/>
      <c r="B63" s="557" t="s">
        <v>1058</v>
      </c>
      <c r="C63" s="558">
        <f t="shared" si="2"/>
        <v>336</v>
      </c>
      <c r="D63" s="559" t="s">
        <v>84</v>
      </c>
      <c r="E63" s="560">
        <f t="shared" si="3"/>
        <v>636.24</v>
      </c>
      <c r="F63" s="561">
        <f t="shared" si="4"/>
        <v>213777</v>
      </c>
      <c r="G63" s="574">
        <f>'sub-6'!I31</f>
        <v>336</v>
      </c>
      <c r="H63" s="559" t="s">
        <v>84</v>
      </c>
      <c r="I63" s="574">
        <f>'sub-6'!K31</f>
        <v>636.24</v>
      </c>
      <c r="J63" s="561">
        <f t="shared" si="12"/>
        <v>213776.64000000001</v>
      </c>
      <c r="K63" s="563">
        <f t="shared" si="5"/>
        <v>0</v>
      </c>
      <c r="L63" s="563">
        <f t="shared" si="6"/>
        <v>0.35999999998603016</v>
      </c>
      <c r="M63" s="564" t="s">
        <v>52</v>
      </c>
      <c r="N63" s="561">
        <f t="shared" si="7"/>
        <v>0</v>
      </c>
    </row>
    <row r="64" spans="1:14" s="565" customFormat="1" ht="24">
      <c r="A64" s="556" t="s">
        <v>635</v>
      </c>
      <c r="B64" s="557" t="s">
        <v>636</v>
      </c>
      <c r="C64" s="572"/>
      <c r="D64" s="573"/>
      <c r="E64" s="570"/>
      <c r="F64" s="561">
        <f>CS!J64</f>
        <v>960158</v>
      </c>
      <c r="G64" s="566"/>
      <c r="H64" s="567"/>
      <c r="I64" s="568"/>
      <c r="J64" s="561">
        <f>Abstract!M15</f>
        <v>960158</v>
      </c>
      <c r="K64" s="563">
        <f t="shared" si="5"/>
        <v>0</v>
      </c>
      <c r="L64" s="563">
        <f t="shared" si="6"/>
        <v>0</v>
      </c>
      <c r="M64" s="564" t="s">
        <v>52</v>
      </c>
      <c r="N64" s="561">
        <f t="shared" si="7"/>
        <v>0</v>
      </c>
    </row>
    <row r="65" spans="1:14" s="565" customFormat="1">
      <c r="A65" s="556" t="s">
        <v>667</v>
      </c>
      <c r="B65" s="557" t="s">
        <v>162</v>
      </c>
      <c r="C65" s="574"/>
      <c r="D65" s="571"/>
      <c r="E65" s="562"/>
      <c r="F65" s="561">
        <f>CS!J65</f>
        <v>50892</v>
      </c>
      <c r="G65" s="566"/>
      <c r="H65" s="567"/>
      <c r="I65" s="568"/>
      <c r="J65" s="561">
        <f>Abstract!M17</f>
        <v>50892</v>
      </c>
      <c r="K65" s="563">
        <f t="shared" si="5"/>
        <v>0</v>
      </c>
      <c r="L65" s="563">
        <f t="shared" si="6"/>
        <v>0</v>
      </c>
      <c r="M65" s="564" t="s">
        <v>52</v>
      </c>
      <c r="N65" s="561">
        <f t="shared" si="7"/>
        <v>0</v>
      </c>
    </row>
    <row r="66" spans="1:14" s="565" customFormat="1">
      <c r="A66" s="556" t="s">
        <v>504</v>
      </c>
      <c r="B66" s="557" t="s">
        <v>267</v>
      </c>
      <c r="C66" s="574"/>
      <c r="D66" s="571"/>
      <c r="E66" s="562"/>
      <c r="F66" s="561">
        <f>CS!J66</f>
        <v>2004957</v>
      </c>
      <c r="G66" s="566"/>
      <c r="H66" s="567"/>
      <c r="I66" s="568"/>
      <c r="J66" s="561">
        <f>Abstract!M18</f>
        <v>2004957</v>
      </c>
      <c r="K66" s="563">
        <f t="shared" si="5"/>
        <v>0</v>
      </c>
      <c r="L66" s="563">
        <f t="shared" si="6"/>
        <v>0</v>
      </c>
      <c r="M66" s="564" t="s">
        <v>52</v>
      </c>
      <c r="N66" s="561">
        <f t="shared" si="7"/>
        <v>0</v>
      </c>
    </row>
    <row r="67" spans="1:14" s="565" customFormat="1">
      <c r="A67" s="556"/>
      <c r="B67" s="557" t="s">
        <v>894</v>
      </c>
      <c r="C67" s="574"/>
      <c r="D67" s="571"/>
      <c r="E67" s="562"/>
      <c r="F67" s="561">
        <f>CS!J67</f>
        <v>0</v>
      </c>
      <c r="G67" s="566"/>
      <c r="H67" s="567"/>
      <c r="I67" s="568"/>
      <c r="J67" s="561">
        <f>Abstract!M19</f>
        <v>0</v>
      </c>
      <c r="K67" s="563">
        <f t="shared" si="5"/>
        <v>0</v>
      </c>
      <c r="L67" s="563">
        <f t="shared" si="6"/>
        <v>0</v>
      </c>
      <c r="M67" s="564" t="s">
        <v>52</v>
      </c>
      <c r="N67" s="561">
        <f t="shared" si="7"/>
        <v>0</v>
      </c>
    </row>
    <row r="68" spans="1:14" s="565" customFormat="1">
      <c r="A68" s="556" t="s">
        <v>668</v>
      </c>
      <c r="B68" s="557" t="s">
        <v>354</v>
      </c>
      <c r="C68" s="574"/>
      <c r="D68" s="571"/>
      <c r="E68" s="562"/>
      <c r="F68" s="561">
        <f>CS!J68</f>
        <v>0</v>
      </c>
      <c r="G68" s="566"/>
      <c r="H68" s="567"/>
      <c r="I68" s="568"/>
      <c r="J68" s="561">
        <f>Abstract!M20</f>
        <v>0</v>
      </c>
      <c r="K68" s="563">
        <f t="shared" si="5"/>
        <v>0</v>
      </c>
      <c r="L68" s="563">
        <f t="shared" si="6"/>
        <v>0</v>
      </c>
      <c r="M68" s="564" t="s">
        <v>52</v>
      </c>
      <c r="N68" s="561">
        <f t="shared" si="7"/>
        <v>0</v>
      </c>
    </row>
    <row r="69" spans="1:14" s="565" customFormat="1">
      <c r="A69" s="556" t="s">
        <v>669</v>
      </c>
      <c r="B69" s="557" t="s">
        <v>637</v>
      </c>
      <c r="C69" s="574"/>
      <c r="D69" s="571"/>
      <c r="E69" s="562"/>
      <c r="F69" s="561">
        <f>CS!J69</f>
        <v>805500</v>
      </c>
      <c r="G69" s="566"/>
      <c r="H69" s="567"/>
      <c r="I69" s="568"/>
      <c r="J69" s="561">
        <f>Abstract!M21</f>
        <v>805500</v>
      </c>
      <c r="K69" s="563">
        <f t="shared" si="5"/>
        <v>0</v>
      </c>
      <c r="L69" s="563">
        <f t="shared" si="6"/>
        <v>0</v>
      </c>
      <c r="M69" s="564" t="s">
        <v>52</v>
      </c>
      <c r="N69" s="561">
        <f t="shared" si="7"/>
        <v>0</v>
      </c>
    </row>
    <row r="70" spans="1:14" s="565" customFormat="1">
      <c r="A70" s="556"/>
      <c r="B70" s="557"/>
      <c r="C70" s="574"/>
      <c r="D70" s="571"/>
      <c r="E70" s="562"/>
      <c r="F70" s="575"/>
      <c r="G70" s="566"/>
      <c r="H70" s="567"/>
      <c r="I70" s="568"/>
      <c r="J70" s="561"/>
      <c r="K70" s="563">
        <f t="shared" si="5"/>
        <v>0</v>
      </c>
      <c r="L70" s="563">
        <f t="shared" si="6"/>
        <v>0</v>
      </c>
      <c r="M70" s="564" t="s">
        <v>52</v>
      </c>
      <c r="N70" s="561">
        <f t="shared" si="7"/>
        <v>0</v>
      </c>
    </row>
    <row r="71" spans="1:14" s="565" customFormat="1" ht="12.75" customHeight="1">
      <c r="A71" s="556"/>
      <c r="B71" s="576"/>
      <c r="C71" s="1164" t="s">
        <v>629</v>
      </c>
      <c r="D71" s="1164"/>
      <c r="E71" s="1165"/>
      <c r="F71" s="577">
        <f>SUM(F7:F70)</f>
        <v>14000000</v>
      </c>
      <c r="G71" s="566"/>
      <c r="H71" s="578"/>
      <c r="I71" s="564"/>
      <c r="J71" s="577">
        <f>SUM(J7:J70)</f>
        <v>13999999.74</v>
      </c>
      <c r="K71" s="577">
        <f>SUM(K7:K70)</f>
        <v>1.7099999997799387</v>
      </c>
      <c r="L71" s="577">
        <f>SUM(L7:L70)</f>
        <v>1.9699999999720603</v>
      </c>
      <c r="M71" s="564"/>
    </row>
    <row r="72" spans="1:14" ht="12.75" customHeight="1">
      <c r="A72" s="556"/>
      <c r="B72" s="579"/>
      <c r="C72" s="1164" t="s">
        <v>641</v>
      </c>
      <c r="D72" s="1164"/>
      <c r="E72" s="1165"/>
      <c r="F72" s="580">
        <f>J71</f>
        <v>13999999.74</v>
      </c>
      <c r="G72" s="581"/>
      <c r="H72" s="582"/>
      <c r="I72" s="583"/>
      <c r="J72" s="584"/>
      <c r="K72" s="585"/>
      <c r="L72" s="586">
        <f>K71</f>
        <v>1.7099999997799387</v>
      </c>
      <c r="M72" s="583"/>
    </row>
    <row r="73" spans="1:14">
      <c r="A73" s="556"/>
      <c r="B73" s="587" t="s">
        <v>638</v>
      </c>
      <c r="C73" s="1164" t="s">
        <v>639</v>
      </c>
      <c r="D73" s="1164"/>
      <c r="E73" s="1165"/>
      <c r="F73" s="580">
        <f>F71-F72</f>
        <v>0.25999999977648258</v>
      </c>
      <c r="G73" s="588"/>
      <c r="H73" s="589"/>
      <c r="I73" s="590"/>
      <c r="J73" s="591"/>
      <c r="K73" s="584"/>
      <c r="L73" s="592">
        <f>L71-L72</f>
        <v>0.26000000019212166</v>
      </c>
      <c r="M73" s="593"/>
    </row>
    <row r="74" spans="1:14" ht="24.75" customHeight="1">
      <c r="A74" s="565"/>
      <c r="B74" s="594"/>
    </row>
    <row r="75" spans="1:14" ht="24.75" customHeight="1">
      <c r="A75" s="565"/>
      <c r="B75" s="594"/>
    </row>
    <row r="76" spans="1:14">
      <c r="A76" s="565"/>
      <c r="B76" s="594"/>
      <c r="H76" s="599" t="str">
        <f>'lead 2025-26'!G37</f>
        <v>Deputy Executive Engineer</v>
      </c>
      <c r="K76" s="600" t="str">
        <f>'lead 2025-26'!J37</f>
        <v>Assistant   Engineer</v>
      </c>
      <c r="L76" s="601"/>
    </row>
    <row r="77" spans="1:14">
      <c r="A77" s="565"/>
      <c r="B77" s="594"/>
      <c r="H77" s="599" t="str">
        <f>'lead 2025-26'!G38</f>
        <v>PRI Sub Division: Kanigiri</v>
      </c>
      <c r="K77" s="600" t="str">
        <f>'lead 2025-26'!J38</f>
        <v>Mandal Praja Parishad</v>
      </c>
    </row>
    <row r="78" spans="1:14">
      <c r="A78" s="565"/>
      <c r="B78" s="594"/>
      <c r="K78" s="600" t="str">
        <f>'lead 2025-26'!J39</f>
        <v>Pamuru</v>
      </c>
    </row>
    <row r="79" spans="1:14">
      <c r="A79" s="565"/>
      <c r="B79" s="594"/>
    </row>
    <row r="80" spans="1:14" s="595" customFormat="1">
      <c r="A80" s="565"/>
      <c r="B80" s="594"/>
      <c r="D80" s="596"/>
      <c r="E80" s="546"/>
      <c r="F80" s="546"/>
      <c r="G80" s="597"/>
      <c r="H80" s="596"/>
      <c r="I80" s="546"/>
      <c r="J80" s="598"/>
      <c r="K80" s="597"/>
      <c r="L80" s="597"/>
      <c r="M80" s="546"/>
      <c r="N80" s="546"/>
    </row>
    <row r="81" spans="1:14" s="595" customFormat="1">
      <c r="A81" s="565"/>
      <c r="B81" s="594"/>
      <c r="D81" s="596"/>
      <c r="E81" s="546"/>
      <c r="F81" s="546"/>
      <c r="G81" s="597"/>
      <c r="H81" s="596"/>
      <c r="I81" s="546"/>
      <c r="J81" s="598"/>
      <c r="K81" s="597"/>
      <c r="L81" s="597"/>
      <c r="M81" s="546"/>
      <c r="N81" s="546"/>
    </row>
    <row r="82" spans="1:14" s="595" customFormat="1">
      <c r="A82" s="565"/>
      <c r="B82" s="594"/>
      <c r="D82" s="596"/>
      <c r="E82" s="546"/>
      <c r="F82" s="546"/>
      <c r="G82" s="597"/>
      <c r="H82" s="596"/>
      <c r="I82" s="546"/>
      <c r="J82" s="598"/>
      <c r="K82" s="597"/>
      <c r="L82" s="597"/>
      <c r="M82" s="546"/>
      <c r="N82" s="546"/>
    </row>
    <row r="83" spans="1:14" s="595" customFormat="1">
      <c r="A83" s="565"/>
      <c r="B83" s="594"/>
      <c r="D83" s="596"/>
      <c r="E83" s="546"/>
      <c r="F83" s="546"/>
      <c r="G83" s="597"/>
      <c r="H83" s="596"/>
      <c r="I83" s="546"/>
      <c r="J83" s="598"/>
      <c r="K83" s="597"/>
      <c r="L83" s="597"/>
      <c r="M83" s="546"/>
      <c r="N83" s="546"/>
    </row>
    <row r="84" spans="1:14" s="595" customFormat="1">
      <c r="A84" s="565"/>
      <c r="B84" s="546"/>
      <c r="D84" s="596"/>
      <c r="E84" s="546"/>
      <c r="F84" s="546"/>
      <c r="G84" s="597"/>
      <c r="H84" s="596"/>
      <c r="I84" s="546"/>
      <c r="J84" s="598"/>
      <c r="K84" s="597"/>
      <c r="L84" s="597"/>
      <c r="M84" s="546"/>
      <c r="N84" s="546"/>
    </row>
    <row r="85" spans="1:14" s="595" customFormat="1">
      <c r="A85" s="565"/>
      <c r="B85" s="546"/>
      <c r="D85" s="596"/>
      <c r="E85" s="546"/>
      <c r="F85" s="546"/>
      <c r="G85" s="597"/>
      <c r="H85" s="596"/>
      <c r="I85" s="546"/>
      <c r="J85" s="598"/>
      <c r="K85" s="597"/>
      <c r="L85" s="597"/>
      <c r="M85" s="546"/>
      <c r="N85" s="546"/>
    </row>
    <row r="86" spans="1:14" s="595" customFormat="1">
      <c r="A86" s="565"/>
      <c r="B86" s="546"/>
      <c r="D86" s="596"/>
      <c r="E86" s="546"/>
      <c r="F86" s="546"/>
      <c r="G86" s="597"/>
      <c r="H86" s="596"/>
      <c r="I86" s="546"/>
      <c r="J86" s="598"/>
      <c r="K86" s="597"/>
      <c r="L86" s="597"/>
      <c r="M86" s="546"/>
      <c r="N86" s="546"/>
    </row>
    <row r="87" spans="1:14" s="595" customFormat="1">
      <c r="A87" s="565"/>
      <c r="B87" s="546"/>
      <c r="D87" s="596"/>
      <c r="E87" s="546"/>
      <c r="F87" s="546"/>
      <c r="G87" s="597"/>
      <c r="H87" s="596"/>
      <c r="I87" s="546"/>
      <c r="J87" s="598"/>
      <c r="K87" s="597"/>
      <c r="L87" s="597"/>
      <c r="M87" s="546"/>
      <c r="N87" s="546"/>
    </row>
    <row r="88" spans="1:14" s="595" customFormat="1">
      <c r="A88" s="565"/>
      <c r="B88" s="546"/>
      <c r="D88" s="596"/>
      <c r="E88" s="546"/>
      <c r="F88" s="546"/>
      <c r="G88" s="597"/>
      <c r="H88" s="596"/>
      <c r="I88" s="546"/>
      <c r="J88" s="598"/>
      <c r="K88" s="597"/>
      <c r="L88" s="597"/>
      <c r="M88" s="546"/>
      <c r="N88" s="546"/>
    </row>
    <row r="89" spans="1:14" s="595" customFormat="1">
      <c r="A89" s="565"/>
      <c r="B89" s="546"/>
      <c r="D89" s="596"/>
      <c r="E89" s="546"/>
      <c r="F89" s="546"/>
      <c r="G89" s="597"/>
      <c r="H89" s="596"/>
      <c r="I89" s="546"/>
      <c r="J89" s="598"/>
      <c r="K89" s="597"/>
      <c r="L89" s="597"/>
      <c r="M89" s="546"/>
      <c r="N89" s="546"/>
    </row>
    <row r="90" spans="1:14" s="595" customFormat="1">
      <c r="A90" s="565"/>
      <c r="B90" s="546"/>
      <c r="D90" s="596"/>
      <c r="E90" s="546"/>
      <c r="F90" s="546"/>
      <c r="G90" s="597"/>
      <c r="H90" s="596"/>
      <c r="I90" s="546"/>
      <c r="J90" s="598"/>
      <c r="K90" s="597"/>
      <c r="L90" s="597"/>
      <c r="M90" s="546"/>
      <c r="N90" s="546"/>
    </row>
    <row r="91" spans="1:14" s="595" customFormat="1">
      <c r="A91" s="565"/>
      <c r="B91" s="546"/>
      <c r="D91" s="596"/>
      <c r="E91" s="546"/>
      <c r="F91" s="546"/>
      <c r="G91" s="597"/>
      <c r="H91" s="596"/>
      <c r="I91" s="546"/>
      <c r="J91" s="598"/>
      <c r="K91" s="597"/>
      <c r="L91" s="597"/>
      <c r="M91" s="546"/>
      <c r="N91" s="546"/>
    </row>
    <row r="92" spans="1:14" s="595" customFormat="1">
      <c r="A92" s="565"/>
      <c r="B92" s="546"/>
      <c r="D92" s="596"/>
      <c r="E92" s="546"/>
      <c r="F92" s="546"/>
      <c r="G92" s="597"/>
      <c r="H92" s="596"/>
      <c r="I92" s="546"/>
      <c r="J92" s="598"/>
      <c r="K92" s="597"/>
      <c r="L92" s="597"/>
      <c r="M92" s="546"/>
      <c r="N92" s="546"/>
    </row>
    <row r="93" spans="1:14" s="595" customFormat="1">
      <c r="A93" s="565"/>
      <c r="B93" s="546"/>
      <c r="D93" s="596"/>
      <c r="E93" s="546"/>
      <c r="F93" s="546"/>
      <c r="G93" s="597"/>
      <c r="H93" s="596"/>
      <c r="I93" s="546"/>
      <c r="J93" s="598"/>
      <c r="K93" s="597"/>
      <c r="L93" s="597"/>
      <c r="M93" s="546"/>
      <c r="N93" s="546"/>
    </row>
    <row r="94" spans="1:14" s="595" customFormat="1">
      <c r="A94" s="565"/>
      <c r="B94" s="546"/>
      <c r="D94" s="596"/>
      <c r="E94" s="546"/>
      <c r="F94" s="546"/>
      <c r="G94" s="597"/>
      <c r="H94" s="596"/>
      <c r="I94" s="546"/>
      <c r="J94" s="598"/>
      <c r="K94" s="597"/>
      <c r="L94" s="597"/>
      <c r="M94" s="546"/>
      <c r="N94" s="546"/>
    </row>
    <row r="95" spans="1:14" s="595" customFormat="1">
      <c r="A95" s="565"/>
      <c r="B95" s="546"/>
      <c r="D95" s="596"/>
      <c r="E95" s="546"/>
      <c r="F95" s="546"/>
      <c r="G95" s="597"/>
      <c r="H95" s="596"/>
      <c r="I95" s="546"/>
      <c r="J95" s="598"/>
      <c r="K95" s="597"/>
      <c r="L95" s="597"/>
      <c r="M95" s="546"/>
      <c r="N95" s="546"/>
    </row>
    <row r="96" spans="1:14">
      <c r="A96" s="565"/>
    </row>
    <row r="97" spans="1:12">
      <c r="A97" s="565"/>
    </row>
    <row r="98" spans="1:12">
      <c r="A98" s="565"/>
    </row>
    <row r="99" spans="1:12">
      <c r="A99" s="565"/>
    </row>
    <row r="100" spans="1:12">
      <c r="A100" s="565"/>
    </row>
    <row r="101" spans="1:12">
      <c r="A101" s="565"/>
    </row>
    <row r="102" spans="1:12">
      <c r="A102" s="565"/>
    </row>
    <row r="103" spans="1:12">
      <c r="A103" s="565"/>
    </row>
    <row r="104" spans="1:12">
      <c r="A104" s="565"/>
      <c r="C104" s="546"/>
      <c r="D104" s="546"/>
      <c r="G104" s="598"/>
      <c r="H104" s="546"/>
      <c r="K104" s="598"/>
      <c r="L104" s="598"/>
    </row>
    <row r="105" spans="1:12">
      <c r="A105" s="565"/>
      <c r="C105" s="546"/>
      <c r="D105" s="546"/>
      <c r="G105" s="598"/>
      <c r="H105" s="546"/>
      <c r="K105" s="598"/>
      <c r="L105" s="598"/>
    </row>
    <row r="106" spans="1:12">
      <c r="A106" s="565"/>
      <c r="C106" s="546"/>
      <c r="D106" s="546"/>
      <c r="G106" s="598"/>
      <c r="H106" s="546"/>
      <c r="K106" s="598"/>
      <c r="L106" s="598"/>
    </row>
    <row r="107" spans="1:12">
      <c r="A107" s="565"/>
      <c r="C107" s="546"/>
      <c r="D107" s="546"/>
      <c r="G107" s="598"/>
      <c r="H107" s="546"/>
      <c r="K107" s="598"/>
      <c r="L107" s="598"/>
    </row>
    <row r="108" spans="1:12">
      <c r="A108" s="565"/>
      <c r="C108" s="546"/>
      <c r="D108" s="546"/>
      <c r="G108" s="598"/>
      <c r="H108" s="546"/>
      <c r="K108" s="598"/>
      <c r="L108" s="598"/>
    </row>
    <row r="109" spans="1:12">
      <c r="A109" s="565"/>
      <c r="C109" s="546"/>
      <c r="D109" s="546"/>
      <c r="G109" s="598"/>
      <c r="H109" s="546"/>
      <c r="K109" s="598"/>
      <c r="L109" s="598"/>
    </row>
    <row r="110" spans="1:12">
      <c r="A110" s="565"/>
      <c r="C110" s="546"/>
      <c r="D110" s="546"/>
      <c r="G110" s="598"/>
      <c r="H110" s="546"/>
      <c r="K110" s="598"/>
      <c r="L110" s="598"/>
    </row>
    <row r="111" spans="1:12">
      <c r="A111" s="565"/>
      <c r="C111" s="546"/>
      <c r="D111" s="546"/>
      <c r="G111" s="598"/>
      <c r="H111" s="546"/>
      <c r="K111" s="598"/>
      <c r="L111" s="598"/>
    </row>
    <row r="112" spans="1:12">
      <c r="A112" s="565"/>
      <c r="C112" s="546"/>
      <c r="D112" s="546"/>
      <c r="G112" s="598"/>
      <c r="H112" s="546"/>
      <c r="K112" s="598"/>
      <c r="L112" s="598"/>
    </row>
    <row r="113" spans="1:12">
      <c r="A113" s="565"/>
      <c r="C113" s="546"/>
      <c r="D113" s="546"/>
      <c r="G113" s="598"/>
      <c r="H113" s="546"/>
      <c r="K113" s="598"/>
      <c r="L113" s="598"/>
    </row>
    <row r="114" spans="1:12">
      <c r="A114" s="565"/>
      <c r="C114" s="546"/>
      <c r="D114" s="546"/>
      <c r="G114" s="598"/>
      <c r="H114" s="546"/>
      <c r="K114" s="598"/>
      <c r="L114" s="598"/>
    </row>
    <row r="115" spans="1:12">
      <c r="A115" s="565"/>
      <c r="C115" s="546"/>
      <c r="D115" s="546"/>
      <c r="G115" s="598"/>
      <c r="H115" s="546"/>
      <c r="K115" s="598"/>
      <c r="L115" s="598"/>
    </row>
    <row r="116" spans="1:12">
      <c r="A116" s="565"/>
      <c r="C116" s="546"/>
      <c r="D116" s="546"/>
      <c r="G116" s="598"/>
      <c r="H116" s="546"/>
      <c r="K116" s="598"/>
      <c r="L116" s="598"/>
    </row>
    <row r="117" spans="1:12">
      <c r="A117" s="565"/>
      <c r="C117" s="546"/>
      <c r="D117" s="546"/>
      <c r="G117" s="598"/>
      <c r="H117" s="546"/>
      <c r="K117" s="598"/>
      <c r="L117" s="598"/>
    </row>
    <row r="118" spans="1:12">
      <c r="A118" s="565"/>
      <c r="C118" s="546"/>
      <c r="D118" s="546"/>
      <c r="G118" s="598"/>
      <c r="H118" s="546"/>
      <c r="K118" s="598"/>
      <c r="L118" s="598"/>
    </row>
    <row r="119" spans="1:12">
      <c r="A119" s="565"/>
      <c r="C119" s="546"/>
      <c r="D119" s="546"/>
      <c r="G119" s="598"/>
      <c r="H119" s="546"/>
      <c r="K119" s="598"/>
      <c r="L119" s="598"/>
    </row>
    <row r="120" spans="1:12">
      <c r="A120" s="565"/>
      <c r="C120" s="546"/>
      <c r="D120" s="546"/>
      <c r="G120" s="598"/>
      <c r="H120" s="546"/>
      <c r="K120" s="598"/>
      <c r="L120" s="598"/>
    </row>
    <row r="121" spans="1:12">
      <c r="A121" s="565"/>
      <c r="C121" s="546"/>
      <c r="D121" s="546"/>
      <c r="G121" s="598"/>
      <c r="H121" s="546"/>
      <c r="K121" s="598"/>
      <c r="L121" s="598"/>
    </row>
    <row r="122" spans="1:12">
      <c r="A122" s="565"/>
      <c r="C122" s="546"/>
      <c r="D122" s="546"/>
      <c r="G122" s="598"/>
      <c r="H122" s="546"/>
      <c r="K122" s="598"/>
      <c r="L122" s="598"/>
    </row>
    <row r="123" spans="1:12">
      <c r="A123" s="565"/>
      <c r="C123" s="546"/>
      <c r="D123" s="546"/>
      <c r="G123" s="598"/>
      <c r="H123" s="546"/>
      <c r="K123" s="598"/>
      <c r="L123" s="598"/>
    </row>
    <row r="124" spans="1:12">
      <c r="A124" s="565"/>
      <c r="C124" s="546"/>
      <c r="D124" s="546"/>
      <c r="G124" s="598"/>
      <c r="H124" s="546"/>
      <c r="K124" s="598"/>
      <c r="L124" s="598"/>
    </row>
    <row r="125" spans="1:12">
      <c r="A125" s="565"/>
      <c r="C125" s="546"/>
      <c r="D125" s="546"/>
      <c r="G125" s="598"/>
      <c r="H125" s="546"/>
      <c r="K125" s="598"/>
      <c r="L125" s="598"/>
    </row>
    <row r="126" spans="1:12">
      <c r="A126" s="565"/>
      <c r="C126" s="546"/>
      <c r="D126" s="546"/>
      <c r="G126" s="598"/>
      <c r="H126" s="546"/>
      <c r="K126" s="598"/>
      <c r="L126" s="598"/>
    </row>
    <row r="127" spans="1:12">
      <c r="A127" s="565"/>
      <c r="C127" s="546"/>
      <c r="D127" s="546"/>
      <c r="G127" s="598"/>
      <c r="H127" s="546"/>
      <c r="K127" s="598"/>
      <c r="L127" s="598"/>
    </row>
    <row r="128" spans="1:12">
      <c r="A128" s="565"/>
      <c r="C128" s="546"/>
      <c r="D128" s="546"/>
      <c r="G128" s="598"/>
      <c r="H128" s="546"/>
      <c r="K128" s="598"/>
      <c r="L128" s="598"/>
    </row>
    <row r="129" spans="1:12">
      <c r="A129" s="565"/>
      <c r="C129" s="546"/>
      <c r="D129" s="546"/>
      <c r="G129" s="598"/>
      <c r="H129" s="546"/>
      <c r="K129" s="598"/>
      <c r="L129" s="598"/>
    </row>
    <row r="130" spans="1:12">
      <c r="A130" s="565"/>
      <c r="C130" s="546"/>
      <c r="D130" s="546"/>
      <c r="G130" s="598"/>
      <c r="H130" s="546"/>
      <c r="K130" s="598"/>
      <c r="L130" s="598"/>
    </row>
    <row r="131" spans="1:12">
      <c r="A131" s="565"/>
      <c r="C131" s="546"/>
      <c r="D131" s="546"/>
      <c r="G131" s="598"/>
      <c r="H131" s="546"/>
      <c r="K131" s="598"/>
      <c r="L131" s="598"/>
    </row>
    <row r="132" spans="1:12">
      <c r="A132" s="565"/>
      <c r="C132" s="546"/>
      <c r="D132" s="546"/>
      <c r="G132" s="598"/>
      <c r="H132" s="546"/>
      <c r="K132" s="598"/>
      <c r="L132" s="598"/>
    </row>
    <row r="133" spans="1:12">
      <c r="A133" s="565"/>
      <c r="C133" s="546"/>
      <c r="D133" s="546"/>
      <c r="G133" s="598"/>
      <c r="H133" s="546"/>
      <c r="K133" s="598"/>
      <c r="L133" s="598"/>
    </row>
    <row r="134" spans="1:12">
      <c r="A134" s="565"/>
      <c r="C134" s="546"/>
      <c r="D134" s="546"/>
      <c r="G134" s="598"/>
      <c r="H134" s="546"/>
      <c r="K134" s="598"/>
      <c r="L134" s="598"/>
    </row>
    <row r="135" spans="1:12">
      <c r="A135" s="565"/>
      <c r="C135" s="546"/>
      <c r="D135" s="546"/>
      <c r="G135" s="598"/>
      <c r="H135" s="546"/>
      <c r="K135" s="598"/>
      <c r="L135" s="598"/>
    </row>
    <row r="136" spans="1:12">
      <c r="A136" s="565"/>
      <c r="C136" s="546"/>
      <c r="D136" s="546"/>
      <c r="G136" s="598"/>
      <c r="H136" s="546"/>
      <c r="K136" s="598"/>
      <c r="L136" s="598"/>
    </row>
    <row r="137" spans="1:12">
      <c r="A137" s="565"/>
      <c r="C137" s="546"/>
      <c r="D137" s="546"/>
      <c r="G137" s="598"/>
      <c r="H137" s="546"/>
      <c r="K137" s="598"/>
      <c r="L137" s="598"/>
    </row>
    <row r="138" spans="1:12">
      <c r="A138" s="565"/>
      <c r="C138" s="546"/>
      <c r="D138" s="546"/>
      <c r="G138" s="598"/>
      <c r="H138" s="546"/>
      <c r="K138" s="598"/>
      <c r="L138" s="598"/>
    </row>
    <row r="139" spans="1:12">
      <c r="A139" s="565"/>
      <c r="C139" s="546"/>
      <c r="D139" s="546"/>
      <c r="G139" s="598"/>
      <c r="H139" s="546"/>
      <c r="K139" s="598"/>
      <c r="L139" s="598"/>
    </row>
    <row r="140" spans="1:12">
      <c r="A140" s="565"/>
      <c r="C140" s="546"/>
      <c r="D140" s="546"/>
      <c r="G140" s="598"/>
      <c r="H140" s="546"/>
      <c r="K140" s="598"/>
      <c r="L140" s="598"/>
    </row>
    <row r="141" spans="1:12">
      <c r="A141" s="565"/>
      <c r="C141" s="546"/>
      <c r="D141" s="546"/>
      <c r="G141" s="598"/>
      <c r="H141" s="546"/>
      <c r="K141" s="598"/>
      <c r="L141" s="598"/>
    </row>
    <row r="142" spans="1:12">
      <c r="A142" s="565"/>
      <c r="C142" s="546"/>
      <c r="D142" s="546"/>
      <c r="G142" s="598"/>
      <c r="H142" s="546"/>
      <c r="K142" s="598"/>
      <c r="L142" s="598"/>
    </row>
    <row r="143" spans="1:12">
      <c r="A143" s="565"/>
      <c r="C143" s="546"/>
      <c r="D143" s="546"/>
      <c r="G143" s="598"/>
      <c r="H143" s="546"/>
      <c r="K143" s="598"/>
      <c r="L143" s="598"/>
    </row>
    <row r="144" spans="1:12">
      <c r="A144" s="565"/>
      <c r="C144" s="546"/>
      <c r="D144" s="546"/>
      <c r="G144" s="598"/>
      <c r="H144" s="546"/>
      <c r="K144" s="598"/>
      <c r="L144" s="598"/>
    </row>
    <row r="145" spans="1:12">
      <c r="A145" s="565"/>
      <c r="C145" s="546"/>
      <c r="D145" s="546"/>
      <c r="G145" s="598"/>
      <c r="H145" s="546"/>
      <c r="K145" s="598"/>
      <c r="L145" s="598"/>
    </row>
    <row r="146" spans="1:12">
      <c r="A146" s="565"/>
      <c r="C146" s="546"/>
      <c r="D146" s="546"/>
      <c r="G146" s="598"/>
      <c r="H146" s="546"/>
      <c r="K146" s="598"/>
      <c r="L146" s="598"/>
    </row>
    <row r="147" spans="1:12">
      <c r="A147" s="565"/>
      <c r="C147" s="546"/>
      <c r="D147" s="546"/>
      <c r="G147" s="598"/>
      <c r="H147" s="546"/>
      <c r="K147" s="598"/>
      <c r="L147" s="598"/>
    </row>
    <row r="148" spans="1:12">
      <c r="A148" s="565"/>
      <c r="C148" s="546"/>
      <c r="D148" s="546"/>
      <c r="G148" s="598"/>
      <c r="H148" s="546"/>
      <c r="K148" s="598"/>
      <c r="L148" s="598"/>
    </row>
    <row r="149" spans="1:12">
      <c r="A149" s="565"/>
      <c r="C149" s="546"/>
      <c r="D149" s="546"/>
      <c r="G149" s="598"/>
      <c r="H149" s="546"/>
      <c r="K149" s="598"/>
      <c r="L149" s="598"/>
    </row>
    <row r="150" spans="1:12">
      <c r="A150" s="565"/>
      <c r="C150" s="546"/>
      <c r="D150" s="546"/>
      <c r="G150" s="598"/>
      <c r="H150" s="546"/>
      <c r="K150" s="598"/>
      <c r="L150" s="598"/>
    </row>
    <row r="151" spans="1:12">
      <c r="A151" s="565"/>
      <c r="C151" s="546"/>
      <c r="D151" s="546"/>
      <c r="G151" s="598"/>
      <c r="H151" s="546"/>
      <c r="K151" s="598"/>
      <c r="L151" s="598"/>
    </row>
    <row r="152" spans="1:12">
      <c r="A152" s="565"/>
      <c r="C152" s="546"/>
      <c r="D152" s="546"/>
      <c r="G152" s="598"/>
      <c r="H152" s="546"/>
      <c r="K152" s="598"/>
      <c r="L152" s="598"/>
    </row>
    <row r="153" spans="1:12">
      <c r="A153" s="565"/>
      <c r="C153" s="546"/>
      <c r="D153" s="546"/>
      <c r="G153" s="598"/>
      <c r="H153" s="546"/>
      <c r="K153" s="598"/>
      <c r="L153" s="598"/>
    </row>
    <row r="154" spans="1:12">
      <c r="A154" s="565"/>
      <c r="C154" s="546"/>
      <c r="D154" s="546"/>
      <c r="G154" s="598"/>
      <c r="H154" s="546"/>
      <c r="K154" s="598"/>
      <c r="L154" s="598"/>
    </row>
    <row r="155" spans="1:12">
      <c r="A155" s="565"/>
      <c r="C155" s="546"/>
      <c r="D155" s="546"/>
      <c r="G155" s="598"/>
      <c r="H155" s="546"/>
      <c r="K155" s="598"/>
      <c r="L155" s="598"/>
    </row>
    <row r="156" spans="1:12">
      <c r="A156" s="565"/>
      <c r="C156" s="546"/>
      <c r="D156" s="546"/>
      <c r="G156" s="598"/>
      <c r="H156" s="546"/>
      <c r="K156" s="598"/>
      <c r="L156" s="598"/>
    </row>
    <row r="157" spans="1:12">
      <c r="A157" s="565"/>
      <c r="C157" s="546"/>
      <c r="D157" s="546"/>
      <c r="G157" s="598"/>
      <c r="H157" s="546"/>
      <c r="K157" s="598"/>
      <c r="L157" s="598"/>
    </row>
    <row r="158" spans="1:12">
      <c r="A158" s="565"/>
      <c r="C158" s="546"/>
      <c r="D158" s="546"/>
      <c r="G158" s="598"/>
      <c r="H158" s="546"/>
      <c r="K158" s="598"/>
      <c r="L158" s="598"/>
    </row>
    <row r="159" spans="1:12">
      <c r="A159" s="565"/>
      <c r="C159" s="546"/>
      <c r="D159" s="546"/>
      <c r="G159" s="598"/>
      <c r="H159" s="546"/>
      <c r="K159" s="598"/>
      <c r="L159" s="598"/>
    </row>
    <row r="160" spans="1:12">
      <c r="A160" s="565"/>
      <c r="C160" s="546"/>
      <c r="D160" s="546"/>
      <c r="G160" s="598"/>
      <c r="H160" s="546"/>
      <c r="K160" s="598"/>
      <c r="L160" s="598"/>
    </row>
    <row r="161" spans="1:12">
      <c r="A161" s="565"/>
      <c r="C161" s="546"/>
      <c r="D161" s="546"/>
      <c r="G161" s="598"/>
      <c r="H161" s="546"/>
      <c r="K161" s="598"/>
      <c r="L161" s="598"/>
    </row>
    <row r="162" spans="1:12">
      <c r="A162" s="565"/>
      <c r="C162" s="546"/>
      <c r="D162" s="546"/>
      <c r="G162" s="598"/>
      <c r="H162" s="546"/>
      <c r="K162" s="598"/>
      <c r="L162" s="598"/>
    </row>
    <row r="163" spans="1:12">
      <c r="A163" s="565"/>
      <c r="C163" s="546"/>
      <c r="D163" s="546"/>
      <c r="G163" s="598"/>
      <c r="H163" s="546"/>
      <c r="K163" s="598"/>
      <c r="L163" s="598"/>
    </row>
    <row r="164" spans="1:12">
      <c r="A164" s="565"/>
      <c r="C164" s="546"/>
      <c r="D164" s="546"/>
      <c r="G164" s="598"/>
      <c r="H164" s="546"/>
      <c r="K164" s="598"/>
      <c r="L164" s="598"/>
    </row>
    <row r="165" spans="1:12">
      <c r="A165" s="565"/>
      <c r="C165" s="546"/>
      <c r="D165" s="546"/>
      <c r="G165" s="598"/>
      <c r="H165" s="546"/>
      <c r="K165" s="598"/>
      <c r="L165" s="598"/>
    </row>
    <row r="166" spans="1:12">
      <c r="A166" s="565"/>
      <c r="C166" s="546"/>
      <c r="D166" s="546"/>
      <c r="G166" s="598"/>
      <c r="H166" s="546"/>
      <c r="K166" s="598"/>
      <c r="L166" s="598"/>
    </row>
    <row r="167" spans="1:12">
      <c r="A167" s="565"/>
      <c r="C167" s="546"/>
      <c r="D167" s="546"/>
      <c r="G167" s="598"/>
      <c r="H167" s="546"/>
      <c r="K167" s="598"/>
      <c r="L167" s="598"/>
    </row>
    <row r="168" spans="1:12">
      <c r="A168" s="565"/>
      <c r="C168" s="546"/>
      <c r="D168" s="546"/>
      <c r="G168" s="598"/>
      <c r="H168" s="546"/>
      <c r="K168" s="598"/>
      <c r="L168" s="598"/>
    </row>
    <row r="169" spans="1:12">
      <c r="A169" s="565"/>
      <c r="C169" s="546"/>
      <c r="D169" s="546"/>
      <c r="G169" s="598"/>
      <c r="H169" s="546"/>
      <c r="K169" s="598"/>
      <c r="L169" s="598"/>
    </row>
    <row r="170" spans="1:12">
      <c r="A170" s="565"/>
      <c r="C170" s="546"/>
      <c r="D170" s="546"/>
      <c r="G170" s="598"/>
      <c r="H170" s="546"/>
      <c r="K170" s="598"/>
      <c r="L170" s="598"/>
    </row>
    <row r="171" spans="1:12">
      <c r="A171" s="565"/>
      <c r="C171" s="546"/>
      <c r="D171" s="546"/>
      <c r="G171" s="598"/>
      <c r="H171" s="546"/>
      <c r="K171" s="598"/>
      <c r="L171" s="598"/>
    </row>
    <row r="172" spans="1:12">
      <c r="A172" s="565"/>
      <c r="C172" s="546"/>
      <c r="D172" s="546"/>
      <c r="G172" s="598"/>
      <c r="H172" s="546"/>
      <c r="K172" s="598"/>
      <c r="L172" s="598"/>
    </row>
    <row r="173" spans="1:12">
      <c r="A173" s="565"/>
      <c r="C173" s="546"/>
      <c r="D173" s="546"/>
      <c r="G173" s="598"/>
      <c r="H173" s="546"/>
      <c r="K173" s="598"/>
      <c r="L173" s="598"/>
    </row>
    <row r="174" spans="1:12">
      <c r="A174" s="565"/>
      <c r="C174" s="546"/>
      <c r="D174" s="546"/>
      <c r="G174" s="598"/>
      <c r="H174" s="546"/>
      <c r="K174" s="598"/>
      <c r="L174" s="598"/>
    </row>
    <row r="175" spans="1:12">
      <c r="A175" s="565"/>
      <c r="C175" s="546"/>
      <c r="D175" s="546"/>
      <c r="G175" s="598"/>
      <c r="H175" s="546"/>
      <c r="K175" s="598"/>
      <c r="L175" s="598"/>
    </row>
    <row r="176" spans="1:12">
      <c r="A176" s="565"/>
      <c r="C176" s="546"/>
      <c r="D176" s="546"/>
      <c r="G176" s="598"/>
      <c r="H176" s="546"/>
      <c r="K176" s="598"/>
      <c r="L176" s="598"/>
    </row>
    <row r="177" spans="1:12">
      <c r="A177" s="565"/>
      <c r="C177" s="546"/>
      <c r="D177" s="546"/>
      <c r="G177" s="598"/>
      <c r="H177" s="546"/>
      <c r="K177" s="598"/>
      <c r="L177" s="598"/>
    </row>
    <row r="178" spans="1:12">
      <c r="A178" s="565"/>
      <c r="C178" s="546"/>
      <c r="D178" s="546"/>
      <c r="G178" s="598"/>
      <c r="H178" s="546"/>
      <c r="K178" s="598"/>
      <c r="L178" s="598"/>
    </row>
    <row r="179" spans="1:12">
      <c r="A179" s="565"/>
      <c r="C179" s="546"/>
      <c r="D179" s="546"/>
      <c r="G179" s="598"/>
      <c r="H179" s="546"/>
      <c r="K179" s="598"/>
      <c r="L179" s="598"/>
    </row>
    <row r="180" spans="1:12">
      <c r="A180" s="565"/>
      <c r="C180" s="546"/>
      <c r="D180" s="546"/>
      <c r="G180" s="598"/>
      <c r="H180" s="546"/>
      <c r="K180" s="598"/>
      <c r="L180" s="598"/>
    </row>
    <row r="181" spans="1:12">
      <c r="A181" s="565"/>
      <c r="C181" s="546"/>
      <c r="D181" s="546"/>
      <c r="G181" s="598"/>
      <c r="H181" s="546"/>
      <c r="K181" s="598"/>
      <c r="L181" s="598"/>
    </row>
    <row r="182" spans="1:12">
      <c r="A182" s="565"/>
      <c r="C182" s="546"/>
      <c r="D182" s="546"/>
      <c r="G182" s="598"/>
      <c r="H182" s="546"/>
      <c r="K182" s="598"/>
      <c r="L182" s="598"/>
    </row>
    <row r="183" spans="1:12">
      <c r="A183" s="565"/>
      <c r="C183" s="546"/>
      <c r="D183" s="546"/>
      <c r="G183" s="598"/>
      <c r="H183" s="546"/>
      <c r="K183" s="598"/>
      <c r="L183" s="598"/>
    </row>
    <row r="184" spans="1:12">
      <c r="A184" s="565"/>
      <c r="C184" s="546"/>
      <c r="D184" s="546"/>
      <c r="G184" s="598"/>
      <c r="H184" s="546"/>
      <c r="K184" s="598"/>
      <c r="L184" s="598"/>
    </row>
    <row r="185" spans="1:12">
      <c r="A185" s="565"/>
      <c r="C185" s="546"/>
      <c r="D185" s="546"/>
      <c r="G185" s="598"/>
      <c r="H185" s="546"/>
      <c r="K185" s="598"/>
      <c r="L185" s="598"/>
    </row>
    <row r="186" spans="1:12">
      <c r="A186" s="565"/>
      <c r="C186" s="546"/>
      <c r="D186" s="546"/>
      <c r="G186" s="598"/>
      <c r="H186" s="546"/>
      <c r="K186" s="598"/>
      <c r="L186" s="598"/>
    </row>
  </sheetData>
  <mergeCells count="16">
    <mergeCell ref="C73:E73"/>
    <mergeCell ref="A1:M1"/>
    <mergeCell ref="A2:M2"/>
    <mergeCell ref="K3:M3"/>
    <mergeCell ref="A4:A5"/>
    <mergeCell ref="B4:B5"/>
    <mergeCell ref="C4:F4"/>
    <mergeCell ref="G4:J4"/>
    <mergeCell ref="K4:L4"/>
    <mergeCell ref="M4:M5"/>
    <mergeCell ref="C5:D5"/>
    <mergeCell ref="G5:H5"/>
    <mergeCell ref="C6:D6"/>
    <mergeCell ref="G6:H6"/>
    <mergeCell ref="C71:E71"/>
    <mergeCell ref="C72:E72"/>
  </mergeCells>
  <printOptions horizontalCentered="1"/>
  <pageMargins left="0.23622047244094499" right="0.15748031496063" top="0.35433070866141703" bottom="0.18" header="0.38" footer="0.23622047244094499"/>
  <pageSetup paperSize="9" orientation="landscape" errors="blank"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B0F0"/>
  </sheetPr>
  <dimension ref="A1:J76"/>
  <sheetViews>
    <sheetView showZeros="0" view="pageBreakPreview" topLeftCell="A4" zoomScale="160" zoomScaleSheetLayoutView="160" workbookViewId="0">
      <selection activeCell="C21" sqref="C21"/>
    </sheetView>
  </sheetViews>
  <sheetFormatPr defaultRowHeight="12.75"/>
  <cols>
    <col min="1" max="1" width="5.140625" style="546" customWidth="1"/>
    <col min="2" max="2" width="42.42578125" style="546" customWidth="1"/>
    <col min="3" max="3" width="8.140625" style="595" customWidth="1"/>
    <col min="4" max="4" width="4.7109375" style="596" customWidth="1"/>
    <col min="5" max="5" width="9.42578125" style="546" bestFit="1" customWidth="1"/>
    <col min="6" max="6" width="11.42578125" style="546" customWidth="1"/>
    <col min="7" max="8" width="10.42578125" style="546" customWidth="1"/>
    <col min="9" max="9" width="11" style="611" customWidth="1"/>
    <col min="10" max="10" width="12" style="611" customWidth="1"/>
    <col min="11" max="16384" width="9.140625" style="546"/>
  </cols>
  <sheetData>
    <row r="1" spans="1:10" ht="19.5" customHeight="1">
      <c r="A1" s="1166" t="s">
        <v>642</v>
      </c>
      <c r="B1" s="1167"/>
      <c r="C1" s="1167"/>
      <c r="D1" s="1167"/>
      <c r="E1" s="1167"/>
      <c r="F1" s="1167"/>
      <c r="G1" s="1167"/>
      <c r="H1" s="1167"/>
      <c r="I1" s="1167"/>
      <c r="J1" s="1168"/>
    </row>
    <row r="2" spans="1:10" s="547" customFormat="1" ht="32.25" customHeight="1">
      <c r="A2" s="1169" t="str">
        <f>'lead 2025-26'!B3&amp;'lead 2025-26'!C3</f>
        <v>Name of the work : Providing BT Surface to the road from Inimerla SC colony to National Highway at Nuchupoda in Inimerla GP of Pamuru Mandal.</v>
      </c>
      <c r="B2" s="1169"/>
      <c r="C2" s="1169"/>
      <c r="D2" s="1169"/>
      <c r="E2" s="1169"/>
      <c r="F2" s="1169"/>
      <c r="G2" s="1169"/>
      <c r="H2" s="1169"/>
      <c r="I2" s="1169"/>
      <c r="J2" s="1169"/>
    </row>
    <row r="3" spans="1:10" s="547" customFormat="1" ht="15">
      <c r="A3" s="548"/>
      <c r="B3" s="549"/>
      <c r="C3" s="550"/>
      <c r="D3" s="551"/>
      <c r="E3" s="602"/>
      <c r="F3" s="549"/>
      <c r="G3" s="549"/>
      <c r="H3" s="549" t="s">
        <v>160</v>
      </c>
      <c r="I3" s="1171" t="str">
        <f>'lead 2025-26'!K4</f>
        <v>140.00 Lakhs</v>
      </c>
      <c r="J3" s="1172"/>
    </row>
    <row r="4" spans="1:10" s="547" customFormat="1" ht="15.75" customHeight="1">
      <c r="A4" s="554" t="s">
        <v>643</v>
      </c>
      <c r="B4" s="554" t="s">
        <v>644</v>
      </c>
      <c r="C4" s="1173" t="s">
        <v>631</v>
      </c>
      <c r="D4" s="1173"/>
      <c r="E4" s="554" t="s">
        <v>547</v>
      </c>
      <c r="F4" s="554" t="s">
        <v>182</v>
      </c>
      <c r="G4" s="554" t="s">
        <v>14</v>
      </c>
      <c r="H4" s="554" t="s">
        <v>182</v>
      </c>
      <c r="I4" s="554" t="s">
        <v>14</v>
      </c>
      <c r="J4" s="554" t="s">
        <v>182</v>
      </c>
    </row>
    <row r="5" spans="1:10" s="565" customFormat="1">
      <c r="A5" s="556" t="s">
        <v>497</v>
      </c>
      <c r="B5" s="603" t="s">
        <v>1087</v>
      </c>
      <c r="C5" s="574">
        <f>CR!G7</f>
        <v>0</v>
      </c>
      <c r="D5" s="559" t="s">
        <v>10</v>
      </c>
      <c r="E5" s="605">
        <f>CR!I7</f>
        <v>144.26</v>
      </c>
      <c r="F5" s="606">
        <f t="shared" ref="F5:F8" si="0">ROUND(C5*E5,0)</f>
        <v>0</v>
      </c>
      <c r="G5" s="606"/>
      <c r="H5" s="606"/>
      <c r="I5" s="607">
        <f t="shared" ref="I5:I67" si="1">C5-G5</f>
        <v>0</v>
      </c>
      <c r="J5" s="607">
        <f t="shared" ref="J5:J67" si="2">F5-H5</f>
        <v>0</v>
      </c>
    </row>
    <row r="6" spans="1:10" s="565" customFormat="1">
      <c r="A6" s="556" t="s">
        <v>498</v>
      </c>
      <c r="B6" s="603" t="s">
        <v>1088</v>
      </c>
      <c r="C6" s="574">
        <f>CR!G8</f>
        <v>4032</v>
      </c>
      <c r="D6" s="559" t="s">
        <v>84</v>
      </c>
      <c r="E6" s="605">
        <f>CR!I8</f>
        <v>2.25</v>
      </c>
      <c r="F6" s="606">
        <f t="shared" si="0"/>
        <v>9072</v>
      </c>
      <c r="G6" s="606"/>
      <c r="H6" s="606"/>
      <c r="I6" s="607">
        <f t="shared" si="1"/>
        <v>4032</v>
      </c>
      <c r="J6" s="607">
        <f t="shared" si="2"/>
        <v>9072</v>
      </c>
    </row>
    <row r="7" spans="1:10" s="565" customFormat="1">
      <c r="A7" s="556" t="s">
        <v>498</v>
      </c>
      <c r="B7" s="603" t="s">
        <v>1089</v>
      </c>
      <c r="C7" s="574">
        <f>CR!G9</f>
        <v>3360</v>
      </c>
      <c r="D7" s="559" t="s">
        <v>10</v>
      </c>
      <c r="E7" s="605">
        <f>CR!I9</f>
        <v>236.56</v>
      </c>
      <c r="F7" s="606">
        <f t="shared" si="0"/>
        <v>794842</v>
      </c>
      <c r="G7" s="606"/>
      <c r="H7" s="606"/>
      <c r="I7" s="607">
        <f t="shared" si="1"/>
        <v>3360</v>
      </c>
      <c r="J7" s="607">
        <f t="shared" si="2"/>
        <v>794842</v>
      </c>
    </row>
    <row r="8" spans="1:10" s="565" customFormat="1">
      <c r="A8" s="556" t="s">
        <v>499</v>
      </c>
      <c r="B8" s="603" t="s">
        <v>663</v>
      </c>
      <c r="C8" s="574">
        <f>CR!G10</f>
        <v>6720</v>
      </c>
      <c r="D8" s="559" t="s">
        <v>84</v>
      </c>
      <c r="E8" s="605">
        <f>CR!I10</f>
        <v>38.49</v>
      </c>
      <c r="F8" s="606">
        <f t="shared" si="0"/>
        <v>258653</v>
      </c>
      <c r="G8" s="606"/>
      <c r="H8" s="606"/>
      <c r="I8" s="607">
        <f t="shared" si="1"/>
        <v>6720</v>
      </c>
      <c r="J8" s="607">
        <f t="shared" si="2"/>
        <v>258653</v>
      </c>
    </row>
    <row r="9" spans="1:10" s="565" customFormat="1">
      <c r="A9" s="556" t="s">
        <v>500</v>
      </c>
      <c r="B9" s="603" t="s">
        <v>1090</v>
      </c>
      <c r="C9" s="574">
        <f>CR!G11</f>
        <v>672</v>
      </c>
      <c r="D9" s="567" t="s">
        <v>10</v>
      </c>
      <c r="E9" s="605">
        <f>CR!I11</f>
        <v>2928.41</v>
      </c>
      <c r="F9" s="606">
        <f t="shared" ref="F9:F14" si="3">ROUND(C9*E9,0)</f>
        <v>1967892</v>
      </c>
      <c r="G9" s="606"/>
      <c r="H9" s="606"/>
      <c r="I9" s="607">
        <f t="shared" ref="I9:I14" si="4">C9-G9</f>
        <v>672</v>
      </c>
      <c r="J9" s="607">
        <f t="shared" ref="J9:J14" si="5">F9-H9</f>
        <v>1967892</v>
      </c>
    </row>
    <row r="10" spans="1:10" s="565" customFormat="1">
      <c r="A10" s="556" t="s">
        <v>501</v>
      </c>
      <c r="B10" s="603" t="s">
        <v>1091</v>
      </c>
      <c r="C10" s="574">
        <f>CR!G12</f>
        <v>945</v>
      </c>
      <c r="D10" s="567" t="s">
        <v>10</v>
      </c>
      <c r="E10" s="605">
        <f>CR!I12</f>
        <v>3982.34</v>
      </c>
      <c r="F10" s="606">
        <f t="shared" si="3"/>
        <v>3763311</v>
      </c>
      <c r="G10" s="606"/>
      <c r="H10" s="606"/>
      <c r="I10" s="607">
        <f t="shared" si="4"/>
        <v>945</v>
      </c>
      <c r="J10" s="607">
        <f t="shared" si="5"/>
        <v>3763311</v>
      </c>
    </row>
    <row r="11" spans="1:10" s="565" customFormat="1">
      <c r="A11" s="556" t="s">
        <v>500</v>
      </c>
      <c r="B11" s="603" t="s">
        <v>1092</v>
      </c>
      <c r="C11" s="574">
        <f>CR!G13</f>
        <v>6300</v>
      </c>
      <c r="D11" s="559" t="s">
        <v>84</v>
      </c>
      <c r="E11" s="605">
        <f>CR!I13</f>
        <v>42.54</v>
      </c>
      <c r="F11" s="606">
        <f t="shared" si="3"/>
        <v>268002</v>
      </c>
      <c r="G11" s="606"/>
      <c r="H11" s="606"/>
      <c r="I11" s="607">
        <f t="shared" si="4"/>
        <v>6300</v>
      </c>
      <c r="J11" s="607">
        <f t="shared" si="5"/>
        <v>268002</v>
      </c>
    </row>
    <row r="12" spans="1:10" s="565" customFormat="1">
      <c r="A12" s="556" t="s">
        <v>500</v>
      </c>
      <c r="B12" s="603" t="s">
        <v>1093</v>
      </c>
      <c r="C12" s="574">
        <f>CR!G14</f>
        <v>6300</v>
      </c>
      <c r="D12" s="559" t="s">
        <v>84</v>
      </c>
      <c r="E12" s="605">
        <f>CR!I14</f>
        <v>16.239999999999998</v>
      </c>
      <c r="F12" s="606">
        <f t="shared" si="3"/>
        <v>102312</v>
      </c>
      <c r="G12" s="606"/>
      <c r="H12" s="606"/>
      <c r="I12" s="607">
        <f t="shared" si="4"/>
        <v>6300</v>
      </c>
      <c r="J12" s="607">
        <f t="shared" si="5"/>
        <v>102312</v>
      </c>
    </row>
    <row r="13" spans="1:10" s="565" customFormat="1">
      <c r="A13" s="556" t="s">
        <v>500</v>
      </c>
      <c r="B13" s="603" t="s">
        <v>1094</v>
      </c>
      <c r="C13" s="574">
        <f>CR!G15</f>
        <v>157.5</v>
      </c>
      <c r="D13" s="559" t="s">
        <v>10</v>
      </c>
      <c r="E13" s="605">
        <f>CR!I15</f>
        <v>11856.57</v>
      </c>
      <c r="F13" s="606">
        <f t="shared" si="3"/>
        <v>1867410</v>
      </c>
      <c r="G13" s="606"/>
      <c r="H13" s="606"/>
      <c r="I13" s="607">
        <f t="shared" si="4"/>
        <v>157.5</v>
      </c>
      <c r="J13" s="607">
        <f t="shared" si="5"/>
        <v>1867410</v>
      </c>
    </row>
    <row r="14" spans="1:10" s="565" customFormat="1">
      <c r="A14" s="556" t="s">
        <v>500</v>
      </c>
      <c r="B14" s="603" t="s">
        <v>1095</v>
      </c>
      <c r="C14" s="574">
        <f>CR!G16</f>
        <v>907.2</v>
      </c>
      <c r="D14" s="559" t="s">
        <v>10</v>
      </c>
      <c r="E14" s="605">
        <f>CR!I16</f>
        <v>384.05</v>
      </c>
      <c r="F14" s="606">
        <f t="shared" si="3"/>
        <v>348410</v>
      </c>
      <c r="G14" s="606"/>
      <c r="H14" s="606"/>
      <c r="I14" s="607">
        <f t="shared" si="4"/>
        <v>907.2</v>
      </c>
      <c r="J14" s="607">
        <f t="shared" si="5"/>
        <v>348410</v>
      </c>
    </row>
    <row r="15" spans="1:10" s="565" customFormat="1">
      <c r="A15" s="556"/>
      <c r="B15" s="603" t="s">
        <v>904</v>
      </c>
      <c r="C15" s="574"/>
      <c r="D15" s="559"/>
      <c r="E15" s="605"/>
      <c r="F15" s="606"/>
      <c r="G15" s="606"/>
      <c r="H15" s="606"/>
      <c r="I15" s="607"/>
      <c r="J15" s="607"/>
    </row>
    <row r="16" spans="1:10" s="565" customFormat="1">
      <c r="A16" s="556" t="s">
        <v>500</v>
      </c>
      <c r="B16" s="603" t="s">
        <v>1096</v>
      </c>
      <c r="C16" s="574">
        <f>CR!G18</f>
        <v>0</v>
      </c>
      <c r="D16" s="559" t="s">
        <v>10</v>
      </c>
      <c r="E16" s="605">
        <f>CR!I18</f>
        <v>126.69</v>
      </c>
      <c r="F16" s="606">
        <f t="shared" ref="F16:F59" si="6">ROUND(C16*E16,0)</f>
        <v>0</v>
      </c>
      <c r="G16" s="606"/>
      <c r="H16" s="606"/>
      <c r="I16" s="607">
        <f t="shared" ref="I16:I59" si="7">C16-G16</f>
        <v>0</v>
      </c>
      <c r="J16" s="607">
        <f t="shared" ref="J16:J59" si="8">F16-H16</f>
        <v>0</v>
      </c>
    </row>
    <row r="17" spans="1:10" s="565" customFormat="1">
      <c r="A17" s="556" t="s">
        <v>500</v>
      </c>
      <c r="B17" s="603" t="s">
        <v>1097</v>
      </c>
      <c r="C17" s="574">
        <f>CR!G19</f>
        <v>0</v>
      </c>
      <c r="D17" s="559" t="s">
        <v>10</v>
      </c>
      <c r="E17" s="605">
        <f>CR!I19</f>
        <v>5600.99</v>
      </c>
      <c r="F17" s="606">
        <f t="shared" si="6"/>
        <v>0</v>
      </c>
      <c r="G17" s="606"/>
      <c r="H17" s="606"/>
      <c r="I17" s="607">
        <f t="shared" si="7"/>
        <v>0</v>
      </c>
      <c r="J17" s="607">
        <f t="shared" si="8"/>
        <v>0</v>
      </c>
    </row>
    <row r="18" spans="1:10" s="565" customFormat="1">
      <c r="A18" s="556" t="s">
        <v>500</v>
      </c>
      <c r="B18" s="603" t="s">
        <v>1098</v>
      </c>
      <c r="C18" s="574">
        <f>CR!G20</f>
        <v>0</v>
      </c>
      <c r="D18" s="559" t="s">
        <v>612</v>
      </c>
      <c r="E18" s="605">
        <f>CR!I20</f>
        <v>9006.27</v>
      </c>
      <c r="F18" s="606">
        <f t="shared" si="6"/>
        <v>0</v>
      </c>
      <c r="G18" s="606"/>
      <c r="H18" s="606"/>
      <c r="I18" s="607">
        <f t="shared" si="7"/>
        <v>0</v>
      </c>
      <c r="J18" s="607">
        <f t="shared" si="8"/>
        <v>0</v>
      </c>
    </row>
    <row r="19" spans="1:10" s="565" customFormat="1">
      <c r="A19" s="556" t="s">
        <v>500</v>
      </c>
      <c r="B19" s="603" t="s">
        <v>1099</v>
      </c>
      <c r="C19" s="574">
        <f>CR!G21</f>
        <v>0</v>
      </c>
      <c r="D19" s="559" t="s">
        <v>10</v>
      </c>
      <c r="E19" s="605">
        <f>CR!I21</f>
        <v>5954.5599999999995</v>
      </c>
      <c r="F19" s="606">
        <f t="shared" si="6"/>
        <v>0</v>
      </c>
      <c r="G19" s="606"/>
      <c r="H19" s="606"/>
      <c r="I19" s="607">
        <f t="shared" si="7"/>
        <v>0</v>
      </c>
      <c r="J19" s="607">
        <f t="shared" si="8"/>
        <v>0</v>
      </c>
    </row>
    <row r="20" spans="1:10" s="565" customFormat="1">
      <c r="A20" s="556" t="s">
        <v>500</v>
      </c>
      <c r="B20" s="603" t="s">
        <v>1100</v>
      </c>
      <c r="C20" s="574">
        <f>CR!G22</f>
        <v>0</v>
      </c>
      <c r="D20" s="559" t="s">
        <v>10</v>
      </c>
      <c r="E20" s="605">
        <f>CR!I22</f>
        <v>7542</v>
      </c>
      <c r="F20" s="606">
        <f t="shared" si="6"/>
        <v>0</v>
      </c>
      <c r="G20" s="606"/>
      <c r="H20" s="606"/>
      <c r="I20" s="607">
        <f t="shared" si="7"/>
        <v>0</v>
      </c>
      <c r="J20" s="607">
        <f t="shared" si="8"/>
        <v>0</v>
      </c>
    </row>
    <row r="21" spans="1:10" s="565" customFormat="1">
      <c r="A21" s="556" t="s">
        <v>500</v>
      </c>
      <c r="B21" s="603" t="s">
        <v>661</v>
      </c>
      <c r="C21" s="574">
        <f>CR!G23</f>
        <v>0</v>
      </c>
      <c r="D21" s="559" t="s">
        <v>45</v>
      </c>
      <c r="E21" s="605">
        <f>CR!I23</f>
        <v>86540.55</v>
      </c>
      <c r="F21" s="606">
        <f t="shared" si="6"/>
        <v>0</v>
      </c>
      <c r="G21" s="606"/>
      <c r="H21" s="606"/>
      <c r="I21" s="607">
        <f t="shared" si="7"/>
        <v>0</v>
      </c>
      <c r="J21" s="607">
        <f t="shared" si="8"/>
        <v>0</v>
      </c>
    </row>
    <row r="22" spans="1:10" s="565" customFormat="1">
      <c r="A22" s="556" t="s">
        <v>500</v>
      </c>
      <c r="B22" s="603" t="s">
        <v>662</v>
      </c>
      <c r="C22" s="574">
        <f>CR!G24</f>
        <v>0</v>
      </c>
      <c r="D22" s="559" t="s">
        <v>10</v>
      </c>
      <c r="E22" s="605">
        <f>CR!I24</f>
        <v>279.77999999999997</v>
      </c>
      <c r="F22" s="606">
        <f t="shared" si="6"/>
        <v>0</v>
      </c>
      <c r="G22" s="606"/>
      <c r="H22" s="606"/>
      <c r="I22" s="607">
        <f t="shared" si="7"/>
        <v>0</v>
      </c>
      <c r="J22" s="607">
        <f t="shared" si="8"/>
        <v>0</v>
      </c>
    </row>
    <row r="23" spans="1:10" s="565" customFormat="1">
      <c r="A23" s="556" t="s">
        <v>500</v>
      </c>
      <c r="B23" s="603" t="s">
        <v>1101</v>
      </c>
      <c r="C23" s="574">
        <f>CR!G25</f>
        <v>0</v>
      </c>
      <c r="D23" s="567" t="s">
        <v>10</v>
      </c>
      <c r="E23" s="605">
        <f>CR!I25</f>
        <v>7873.37</v>
      </c>
      <c r="F23" s="606">
        <f t="shared" si="6"/>
        <v>0</v>
      </c>
      <c r="G23" s="606"/>
      <c r="H23" s="606"/>
      <c r="I23" s="607">
        <f t="shared" si="7"/>
        <v>0</v>
      </c>
      <c r="J23" s="607">
        <f t="shared" si="8"/>
        <v>0</v>
      </c>
    </row>
    <row r="24" spans="1:10" s="565" customFormat="1">
      <c r="A24" s="556"/>
      <c r="B24" s="603" t="s">
        <v>904</v>
      </c>
      <c r="C24" s="574"/>
      <c r="D24" s="559"/>
      <c r="E24" s="605"/>
      <c r="F24" s="606"/>
      <c r="G24" s="606"/>
      <c r="H24" s="606"/>
      <c r="I24" s="607"/>
      <c r="J24" s="607"/>
    </row>
    <row r="25" spans="1:10" s="565" customFormat="1">
      <c r="A25" s="556" t="s">
        <v>500</v>
      </c>
      <c r="B25" s="603" t="s">
        <v>1096</v>
      </c>
      <c r="C25" s="574">
        <f>CR!G27</f>
        <v>0</v>
      </c>
      <c r="D25" s="559" t="s">
        <v>10</v>
      </c>
      <c r="E25" s="605">
        <f>CR!I27</f>
        <v>126.69</v>
      </c>
      <c r="F25" s="606">
        <f t="shared" si="6"/>
        <v>0</v>
      </c>
      <c r="G25" s="606"/>
      <c r="H25" s="606"/>
      <c r="I25" s="607">
        <f t="shared" si="7"/>
        <v>0</v>
      </c>
      <c r="J25" s="607">
        <f t="shared" si="8"/>
        <v>0</v>
      </c>
    </row>
    <row r="26" spans="1:10" s="565" customFormat="1">
      <c r="A26" s="556" t="s">
        <v>500</v>
      </c>
      <c r="B26" s="603" t="s">
        <v>1097</v>
      </c>
      <c r="C26" s="574">
        <f>CR!G28</f>
        <v>0</v>
      </c>
      <c r="D26" s="559" t="s">
        <v>10</v>
      </c>
      <c r="E26" s="605">
        <f>CR!I28</f>
        <v>5600.99</v>
      </c>
      <c r="F26" s="606">
        <f t="shared" si="6"/>
        <v>0</v>
      </c>
      <c r="G26" s="606"/>
      <c r="H26" s="606"/>
      <c r="I26" s="607">
        <f t="shared" si="7"/>
        <v>0</v>
      </c>
      <c r="J26" s="607">
        <f t="shared" si="8"/>
        <v>0</v>
      </c>
    </row>
    <row r="27" spans="1:10" s="565" customFormat="1">
      <c r="A27" s="556" t="s">
        <v>500</v>
      </c>
      <c r="B27" s="603" t="s">
        <v>1098</v>
      </c>
      <c r="C27" s="574">
        <f>CR!G29</f>
        <v>0</v>
      </c>
      <c r="D27" s="559" t="s">
        <v>612</v>
      </c>
      <c r="E27" s="605">
        <f>CR!I29</f>
        <v>9006.27</v>
      </c>
      <c r="F27" s="606">
        <f t="shared" si="6"/>
        <v>0</v>
      </c>
      <c r="G27" s="606"/>
      <c r="H27" s="606"/>
      <c r="I27" s="607">
        <f t="shared" si="7"/>
        <v>0</v>
      </c>
      <c r="J27" s="607">
        <f t="shared" si="8"/>
        <v>0</v>
      </c>
    </row>
    <row r="28" spans="1:10" s="565" customFormat="1">
      <c r="A28" s="556" t="s">
        <v>500</v>
      </c>
      <c r="B28" s="603" t="s">
        <v>1099</v>
      </c>
      <c r="C28" s="574">
        <f>CR!G30</f>
        <v>0</v>
      </c>
      <c r="D28" s="559" t="s">
        <v>10</v>
      </c>
      <c r="E28" s="605">
        <f>CR!I30</f>
        <v>5954.5599999999995</v>
      </c>
      <c r="F28" s="606">
        <f t="shared" si="6"/>
        <v>0</v>
      </c>
      <c r="G28" s="606"/>
      <c r="H28" s="606"/>
      <c r="I28" s="607">
        <f t="shared" si="7"/>
        <v>0</v>
      </c>
      <c r="J28" s="607">
        <f t="shared" si="8"/>
        <v>0</v>
      </c>
    </row>
    <row r="29" spans="1:10" s="565" customFormat="1">
      <c r="A29" s="556" t="s">
        <v>500</v>
      </c>
      <c r="B29" s="603" t="s">
        <v>1100</v>
      </c>
      <c r="C29" s="574">
        <f>CR!G31</f>
        <v>0</v>
      </c>
      <c r="D29" s="559" t="s">
        <v>10</v>
      </c>
      <c r="E29" s="605">
        <f>CR!I31</f>
        <v>7542</v>
      </c>
      <c r="F29" s="606">
        <f t="shared" si="6"/>
        <v>0</v>
      </c>
      <c r="G29" s="606"/>
      <c r="H29" s="606"/>
      <c r="I29" s="607">
        <f t="shared" si="7"/>
        <v>0</v>
      </c>
      <c r="J29" s="607">
        <f t="shared" si="8"/>
        <v>0</v>
      </c>
    </row>
    <row r="30" spans="1:10" s="565" customFormat="1">
      <c r="A30" s="556" t="s">
        <v>500</v>
      </c>
      <c r="B30" s="603" t="s">
        <v>661</v>
      </c>
      <c r="C30" s="574">
        <f>CR!G32</f>
        <v>0</v>
      </c>
      <c r="D30" s="559" t="s">
        <v>45</v>
      </c>
      <c r="E30" s="605">
        <f>CR!I32</f>
        <v>86540.55</v>
      </c>
      <c r="F30" s="606">
        <f t="shared" si="6"/>
        <v>0</v>
      </c>
      <c r="G30" s="606"/>
      <c r="H30" s="606"/>
      <c r="I30" s="607">
        <f t="shared" si="7"/>
        <v>0</v>
      </c>
      <c r="J30" s="607">
        <f t="shared" si="8"/>
        <v>0</v>
      </c>
    </row>
    <row r="31" spans="1:10" s="565" customFormat="1">
      <c r="A31" s="556" t="s">
        <v>500</v>
      </c>
      <c r="B31" s="603" t="s">
        <v>662</v>
      </c>
      <c r="C31" s="574">
        <f>CR!G33</f>
        <v>0</v>
      </c>
      <c r="D31" s="559" t="s">
        <v>10</v>
      </c>
      <c r="E31" s="605">
        <f>CR!I33</f>
        <v>279.77999999999997</v>
      </c>
      <c r="F31" s="606">
        <f t="shared" si="6"/>
        <v>0</v>
      </c>
      <c r="G31" s="606"/>
      <c r="H31" s="606"/>
      <c r="I31" s="607">
        <f t="shared" si="7"/>
        <v>0</v>
      </c>
      <c r="J31" s="607">
        <f t="shared" si="8"/>
        <v>0</v>
      </c>
    </row>
    <row r="32" spans="1:10" s="565" customFormat="1">
      <c r="A32" s="556" t="s">
        <v>500</v>
      </c>
      <c r="B32" s="603" t="s">
        <v>1101</v>
      </c>
      <c r="C32" s="574">
        <f>CR!G34</f>
        <v>0</v>
      </c>
      <c r="D32" s="567" t="s">
        <v>10</v>
      </c>
      <c r="E32" s="605">
        <f>CR!I34</f>
        <v>7873.37</v>
      </c>
      <c r="F32" s="606">
        <f t="shared" si="6"/>
        <v>0</v>
      </c>
      <c r="G32" s="606"/>
      <c r="H32" s="606"/>
      <c r="I32" s="607">
        <f t="shared" si="7"/>
        <v>0</v>
      </c>
      <c r="J32" s="607">
        <f t="shared" si="8"/>
        <v>0</v>
      </c>
    </row>
    <row r="33" spans="1:10" s="565" customFormat="1">
      <c r="A33" s="556" t="s">
        <v>500</v>
      </c>
      <c r="B33" s="603" t="s">
        <v>904</v>
      </c>
      <c r="C33" s="574"/>
      <c r="D33" s="559"/>
      <c r="E33" s="605"/>
      <c r="F33" s="606"/>
      <c r="G33" s="606"/>
      <c r="H33" s="606"/>
      <c r="I33" s="607"/>
      <c r="J33" s="607"/>
    </row>
    <row r="34" spans="1:10" s="565" customFormat="1">
      <c r="A34" s="556" t="s">
        <v>500</v>
      </c>
      <c r="B34" s="603" t="s">
        <v>1096</v>
      </c>
      <c r="C34" s="574">
        <f>CR!G36</f>
        <v>78.239999999999995</v>
      </c>
      <c r="D34" s="559" t="s">
        <v>10</v>
      </c>
      <c r="E34" s="605">
        <f>CR!I36</f>
        <v>126.69</v>
      </c>
      <c r="F34" s="606">
        <f t="shared" si="6"/>
        <v>9912</v>
      </c>
      <c r="G34" s="606"/>
      <c r="H34" s="606"/>
      <c r="I34" s="607">
        <f t="shared" si="7"/>
        <v>78.239999999999995</v>
      </c>
      <c r="J34" s="607">
        <f t="shared" si="8"/>
        <v>9912</v>
      </c>
    </row>
    <row r="35" spans="1:10" s="565" customFormat="1">
      <c r="A35" s="556" t="s">
        <v>500</v>
      </c>
      <c r="B35" s="603" t="s">
        <v>1097</v>
      </c>
      <c r="C35" s="574">
        <f>CR!G37</f>
        <v>17.53</v>
      </c>
      <c r="D35" s="559" t="s">
        <v>10</v>
      </c>
      <c r="E35" s="605">
        <f>CR!I37</f>
        <v>5600.99</v>
      </c>
      <c r="F35" s="606">
        <f t="shared" si="6"/>
        <v>98185</v>
      </c>
      <c r="G35" s="606"/>
      <c r="H35" s="606"/>
      <c r="I35" s="607">
        <f t="shared" si="7"/>
        <v>17.53</v>
      </c>
      <c r="J35" s="607">
        <f t="shared" si="8"/>
        <v>98185</v>
      </c>
    </row>
    <row r="36" spans="1:10" s="565" customFormat="1">
      <c r="A36" s="556" t="s">
        <v>500</v>
      </c>
      <c r="B36" s="603" t="s">
        <v>1098</v>
      </c>
      <c r="C36" s="574">
        <f>CR!G38</f>
        <v>22.5</v>
      </c>
      <c r="D36" s="559" t="s">
        <v>612</v>
      </c>
      <c r="E36" s="605">
        <f>CR!I38</f>
        <v>9006.27</v>
      </c>
      <c r="F36" s="606">
        <f t="shared" si="6"/>
        <v>202641</v>
      </c>
      <c r="G36" s="606"/>
      <c r="H36" s="606"/>
      <c r="I36" s="607">
        <f t="shared" si="7"/>
        <v>22.5</v>
      </c>
      <c r="J36" s="607">
        <f t="shared" si="8"/>
        <v>202641</v>
      </c>
    </row>
    <row r="37" spans="1:10" s="565" customFormat="1">
      <c r="A37" s="556" t="s">
        <v>500</v>
      </c>
      <c r="B37" s="603" t="s">
        <v>1099</v>
      </c>
      <c r="C37" s="574">
        <f>CR!G39</f>
        <v>41.489999999999995</v>
      </c>
      <c r="D37" s="559" t="s">
        <v>10</v>
      </c>
      <c r="E37" s="605">
        <f>CR!I39</f>
        <v>5954.5599999999995</v>
      </c>
      <c r="F37" s="606">
        <f t="shared" si="6"/>
        <v>247055</v>
      </c>
      <c r="G37" s="606"/>
      <c r="H37" s="606"/>
      <c r="I37" s="607">
        <f t="shared" si="7"/>
        <v>41.489999999999995</v>
      </c>
      <c r="J37" s="607">
        <f t="shared" si="8"/>
        <v>247055</v>
      </c>
    </row>
    <row r="38" spans="1:10" s="565" customFormat="1">
      <c r="A38" s="556" t="s">
        <v>500</v>
      </c>
      <c r="B38" s="603" t="s">
        <v>1100</v>
      </c>
      <c r="C38" s="574">
        <f>CR!G40</f>
        <v>0</v>
      </c>
      <c r="D38" s="559" t="s">
        <v>10</v>
      </c>
      <c r="E38" s="605">
        <f>CR!I40</f>
        <v>7542</v>
      </c>
      <c r="F38" s="606">
        <f t="shared" si="6"/>
        <v>0</v>
      </c>
      <c r="G38" s="606"/>
      <c r="H38" s="606"/>
      <c r="I38" s="607">
        <f t="shared" si="7"/>
        <v>0</v>
      </c>
      <c r="J38" s="607">
        <f t="shared" si="8"/>
        <v>0</v>
      </c>
    </row>
    <row r="39" spans="1:10" s="565" customFormat="1">
      <c r="A39" s="556" t="s">
        <v>500</v>
      </c>
      <c r="B39" s="603" t="s">
        <v>661</v>
      </c>
      <c r="C39" s="574">
        <f>CR!G41</f>
        <v>0</v>
      </c>
      <c r="D39" s="559" t="s">
        <v>45</v>
      </c>
      <c r="E39" s="605">
        <f>CR!I41</f>
        <v>86540.55</v>
      </c>
      <c r="F39" s="606">
        <f t="shared" si="6"/>
        <v>0</v>
      </c>
      <c r="G39" s="606"/>
      <c r="H39" s="606"/>
      <c r="I39" s="607">
        <f t="shared" si="7"/>
        <v>0</v>
      </c>
      <c r="J39" s="607">
        <f t="shared" si="8"/>
        <v>0</v>
      </c>
    </row>
    <row r="40" spans="1:10" s="565" customFormat="1">
      <c r="A40" s="556" t="s">
        <v>500</v>
      </c>
      <c r="B40" s="603" t="s">
        <v>662</v>
      </c>
      <c r="C40" s="574">
        <f>CR!G42</f>
        <v>40.700000000000003</v>
      </c>
      <c r="D40" s="559" t="s">
        <v>10</v>
      </c>
      <c r="E40" s="605">
        <f>CR!I42</f>
        <v>279.77999999999997</v>
      </c>
      <c r="F40" s="606">
        <f t="shared" si="6"/>
        <v>11387</v>
      </c>
      <c r="G40" s="606"/>
      <c r="H40" s="606"/>
      <c r="I40" s="607">
        <f t="shared" si="7"/>
        <v>40.700000000000003</v>
      </c>
      <c r="J40" s="607">
        <f t="shared" si="8"/>
        <v>11387</v>
      </c>
    </row>
    <row r="41" spans="1:10" s="565" customFormat="1">
      <c r="A41" s="556" t="s">
        <v>500</v>
      </c>
      <c r="B41" s="603" t="s">
        <v>1101</v>
      </c>
      <c r="C41" s="574">
        <f>CR!G43</f>
        <v>0</v>
      </c>
      <c r="D41" s="567" t="s">
        <v>10</v>
      </c>
      <c r="E41" s="605">
        <f>CR!I43</f>
        <v>7873.37</v>
      </c>
      <c r="F41" s="606">
        <f t="shared" si="6"/>
        <v>0</v>
      </c>
      <c r="G41" s="606"/>
      <c r="H41" s="606"/>
      <c r="I41" s="607">
        <f t="shared" si="7"/>
        <v>0</v>
      </c>
      <c r="J41" s="607">
        <f t="shared" si="8"/>
        <v>0</v>
      </c>
    </row>
    <row r="42" spans="1:10" s="565" customFormat="1">
      <c r="A42" s="556"/>
      <c r="B42" s="603" t="s">
        <v>904</v>
      </c>
      <c r="C42" s="574"/>
      <c r="D42" s="559"/>
      <c r="E42" s="605"/>
      <c r="F42" s="606"/>
      <c r="G42" s="606"/>
      <c r="H42" s="606"/>
      <c r="I42" s="607"/>
      <c r="J42" s="607"/>
    </row>
    <row r="43" spans="1:10" s="565" customFormat="1">
      <c r="A43" s="556" t="s">
        <v>500</v>
      </c>
      <c r="B43" s="603" t="s">
        <v>1096</v>
      </c>
      <c r="C43" s="574">
        <f>CR!G45</f>
        <v>0</v>
      </c>
      <c r="D43" s="559" t="s">
        <v>10</v>
      </c>
      <c r="E43" s="605">
        <f>CR!I45</f>
        <v>126.69</v>
      </c>
      <c r="F43" s="606">
        <f t="shared" si="6"/>
        <v>0</v>
      </c>
      <c r="G43" s="606"/>
      <c r="H43" s="606"/>
      <c r="I43" s="607">
        <f t="shared" si="7"/>
        <v>0</v>
      </c>
      <c r="J43" s="607">
        <f t="shared" si="8"/>
        <v>0</v>
      </c>
    </row>
    <row r="44" spans="1:10" s="565" customFormat="1">
      <c r="A44" s="556" t="s">
        <v>500</v>
      </c>
      <c r="B44" s="603" t="s">
        <v>1097</v>
      </c>
      <c r="C44" s="574">
        <f>CR!G46</f>
        <v>0</v>
      </c>
      <c r="D44" s="559" t="s">
        <v>10</v>
      </c>
      <c r="E44" s="605">
        <f>CR!I46</f>
        <v>5600.99</v>
      </c>
      <c r="F44" s="606">
        <f t="shared" si="6"/>
        <v>0</v>
      </c>
      <c r="G44" s="606"/>
      <c r="H44" s="606"/>
      <c r="I44" s="607">
        <f t="shared" si="7"/>
        <v>0</v>
      </c>
      <c r="J44" s="607">
        <f t="shared" si="8"/>
        <v>0</v>
      </c>
    </row>
    <row r="45" spans="1:10" s="565" customFormat="1">
      <c r="A45" s="556" t="s">
        <v>500</v>
      </c>
      <c r="B45" s="603" t="s">
        <v>1098</v>
      </c>
      <c r="C45" s="574">
        <f>CR!G47</f>
        <v>0</v>
      </c>
      <c r="D45" s="559" t="s">
        <v>612</v>
      </c>
      <c r="E45" s="605">
        <f>CR!I47</f>
        <v>9006.27</v>
      </c>
      <c r="F45" s="606">
        <f t="shared" si="6"/>
        <v>0</v>
      </c>
      <c r="G45" s="606"/>
      <c r="H45" s="606"/>
      <c r="I45" s="607">
        <f t="shared" si="7"/>
        <v>0</v>
      </c>
      <c r="J45" s="607">
        <f t="shared" si="8"/>
        <v>0</v>
      </c>
    </row>
    <row r="46" spans="1:10" s="565" customFormat="1">
      <c r="A46" s="556" t="s">
        <v>500</v>
      </c>
      <c r="B46" s="603" t="s">
        <v>1099</v>
      </c>
      <c r="C46" s="574">
        <f>CR!G48</f>
        <v>0</v>
      </c>
      <c r="D46" s="559" t="s">
        <v>10</v>
      </c>
      <c r="E46" s="605">
        <f>CR!I48</f>
        <v>5954.5599999999995</v>
      </c>
      <c r="F46" s="606">
        <f t="shared" si="6"/>
        <v>0</v>
      </c>
      <c r="G46" s="606"/>
      <c r="H46" s="606"/>
      <c r="I46" s="607">
        <f t="shared" si="7"/>
        <v>0</v>
      </c>
      <c r="J46" s="607">
        <f t="shared" si="8"/>
        <v>0</v>
      </c>
    </row>
    <row r="47" spans="1:10" s="565" customFormat="1">
      <c r="A47" s="556" t="s">
        <v>500</v>
      </c>
      <c r="B47" s="603" t="s">
        <v>1100</v>
      </c>
      <c r="C47" s="574">
        <f>CR!G49</f>
        <v>0</v>
      </c>
      <c r="D47" s="559" t="s">
        <v>10</v>
      </c>
      <c r="E47" s="605">
        <f>CR!I49</f>
        <v>7542</v>
      </c>
      <c r="F47" s="606">
        <f t="shared" si="6"/>
        <v>0</v>
      </c>
      <c r="G47" s="606"/>
      <c r="H47" s="606"/>
      <c r="I47" s="607">
        <f t="shared" si="7"/>
        <v>0</v>
      </c>
      <c r="J47" s="607">
        <f t="shared" si="8"/>
        <v>0</v>
      </c>
    </row>
    <row r="48" spans="1:10" s="565" customFormat="1">
      <c r="A48" s="556" t="s">
        <v>500</v>
      </c>
      <c r="B48" s="603" t="s">
        <v>661</v>
      </c>
      <c r="C48" s="574">
        <f>CR!G50</f>
        <v>0</v>
      </c>
      <c r="D48" s="559" t="s">
        <v>45</v>
      </c>
      <c r="E48" s="605">
        <f>CR!I50</f>
        <v>86540.55</v>
      </c>
      <c r="F48" s="606">
        <f t="shared" si="6"/>
        <v>0</v>
      </c>
      <c r="G48" s="606"/>
      <c r="H48" s="606"/>
      <c r="I48" s="607">
        <f t="shared" si="7"/>
        <v>0</v>
      </c>
      <c r="J48" s="607">
        <f t="shared" si="8"/>
        <v>0</v>
      </c>
    </row>
    <row r="49" spans="1:10" s="565" customFormat="1">
      <c r="A49" s="556" t="s">
        <v>500</v>
      </c>
      <c r="B49" s="603" t="s">
        <v>662</v>
      </c>
      <c r="C49" s="574">
        <f>CR!G51</f>
        <v>0</v>
      </c>
      <c r="D49" s="559" t="s">
        <v>10</v>
      </c>
      <c r="E49" s="605">
        <f>CR!I51</f>
        <v>279.77999999999997</v>
      </c>
      <c r="F49" s="606">
        <f t="shared" si="6"/>
        <v>0</v>
      </c>
      <c r="G49" s="606"/>
      <c r="H49" s="606"/>
      <c r="I49" s="607">
        <f t="shared" si="7"/>
        <v>0</v>
      </c>
      <c r="J49" s="607">
        <f t="shared" si="8"/>
        <v>0</v>
      </c>
    </row>
    <row r="50" spans="1:10" s="565" customFormat="1">
      <c r="A50" s="556" t="s">
        <v>500</v>
      </c>
      <c r="B50" s="603" t="s">
        <v>1101</v>
      </c>
      <c r="C50" s="574">
        <f>CR!G52</f>
        <v>0</v>
      </c>
      <c r="D50" s="567" t="s">
        <v>10</v>
      </c>
      <c r="E50" s="605">
        <f>CR!I52</f>
        <v>7873.37</v>
      </c>
      <c r="F50" s="606">
        <f t="shared" si="6"/>
        <v>0</v>
      </c>
      <c r="G50" s="606"/>
      <c r="H50" s="606"/>
      <c r="I50" s="607">
        <f t="shared" si="7"/>
        <v>0</v>
      </c>
      <c r="J50" s="607">
        <f t="shared" si="8"/>
        <v>0</v>
      </c>
    </row>
    <row r="51" spans="1:10" s="565" customFormat="1">
      <c r="A51" s="556"/>
      <c r="B51" s="603" t="s">
        <v>904</v>
      </c>
      <c r="C51" s="574"/>
      <c r="D51" s="559"/>
      <c r="E51" s="605"/>
      <c r="F51" s="606"/>
      <c r="G51" s="606"/>
      <c r="H51" s="606"/>
      <c r="I51" s="607"/>
      <c r="J51" s="607"/>
    </row>
    <row r="52" spans="1:10" s="565" customFormat="1">
      <c r="A52" s="556" t="s">
        <v>500</v>
      </c>
      <c r="B52" s="603" t="s">
        <v>1096</v>
      </c>
      <c r="C52" s="574">
        <f>CR!G54</f>
        <v>0</v>
      </c>
      <c r="D52" s="559" t="s">
        <v>10</v>
      </c>
      <c r="E52" s="605">
        <f>CR!I54</f>
        <v>126.69</v>
      </c>
      <c r="F52" s="606">
        <f t="shared" si="6"/>
        <v>0</v>
      </c>
      <c r="G52" s="606"/>
      <c r="H52" s="606"/>
      <c r="I52" s="607">
        <f t="shared" si="7"/>
        <v>0</v>
      </c>
      <c r="J52" s="607">
        <f t="shared" si="8"/>
        <v>0</v>
      </c>
    </row>
    <row r="53" spans="1:10" s="565" customFormat="1">
      <c r="A53" s="556" t="s">
        <v>500</v>
      </c>
      <c r="B53" s="603" t="s">
        <v>1097</v>
      </c>
      <c r="C53" s="574">
        <f>CR!G55</f>
        <v>0</v>
      </c>
      <c r="D53" s="559" t="s">
        <v>10</v>
      </c>
      <c r="E53" s="605">
        <f>CR!I55</f>
        <v>5600.99</v>
      </c>
      <c r="F53" s="606">
        <f t="shared" si="6"/>
        <v>0</v>
      </c>
      <c r="G53" s="606"/>
      <c r="H53" s="606"/>
      <c r="I53" s="607">
        <f t="shared" si="7"/>
        <v>0</v>
      </c>
      <c r="J53" s="607">
        <f t="shared" si="8"/>
        <v>0</v>
      </c>
    </row>
    <row r="54" spans="1:10" s="565" customFormat="1">
      <c r="A54" s="556" t="s">
        <v>500</v>
      </c>
      <c r="B54" s="603" t="s">
        <v>1102</v>
      </c>
      <c r="C54" s="574">
        <f>CR!G56</f>
        <v>0</v>
      </c>
      <c r="D54" s="559" t="s">
        <v>612</v>
      </c>
      <c r="E54" s="605">
        <f>CR!I56</f>
        <v>3804.82</v>
      </c>
      <c r="F54" s="606">
        <f t="shared" si="6"/>
        <v>0</v>
      </c>
      <c r="G54" s="606"/>
      <c r="H54" s="606"/>
      <c r="I54" s="607">
        <f t="shared" si="7"/>
        <v>0</v>
      </c>
      <c r="J54" s="607">
        <f t="shared" si="8"/>
        <v>0</v>
      </c>
    </row>
    <row r="55" spans="1:10" s="565" customFormat="1">
      <c r="A55" s="556" t="s">
        <v>500</v>
      </c>
      <c r="B55" s="603" t="s">
        <v>904</v>
      </c>
      <c r="C55" s="574"/>
      <c r="D55" s="559"/>
      <c r="E55" s="605"/>
      <c r="F55" s="606"/>
      <c r="G55" s="606"/>
      <c r="H55" s="606"/>
      <c r="I55" s="607"/>
      <c r="J55" s="607"/>
    </row>
    <row r="56" spans="1:10" s="565" customFormat="1">
      <c r="A56" s="556" t="s">
        <v>500</v>
      </c>
      <c r="B56" s="603" t="s">
        <v>1103</v>
      </c>
      <c r="C56" s="574">
        <f>CR!G58</f>
        <v>3</v>
      </c>
      <c r="D56" s="559" t="s">
        <v>60</v>
      </c>
      <c r="E56" s="605">
        <f>CR!I58</f>
        <v>3148.81</v>
      </c>
      <c r="F56" s="606">
        <f t="shared" si="6"/>
        <v>9446</v>
      </c>
      <c r="G56" s="606"/>
      <c r="H56" s="606"/>
      <c r="I56" s="607">
        <f t="shared" si="7"/>
        <v>3</v>
      </c>
      <c r="J56" s="607">
        <f t="shared" si="8"/>
        <v>9446</v>
      </c>
    </row>
    <row r="57" spans="1:10" s="565" customFormat="1">
      <c r="A57" s="556" t="s">
        <v>500</v>
      </c>
      <c r="B57" s="603" t="s">
        <v>1104</v>
      </c>
      <c r="C57" s="574">
        <f>CR!G59</f>
        <v>7</v>
      </c>
      <c r="D57" s="559" t="s">
        <v>60</v>
      </c>
      <c r="E57" s="605">
        <f>CR!I59</f>
        <v>883.73</v>
      </c>
      <c r="F57" s="606">
        <f t="shared" si="6"/>
        <v>6186</v>
      </c>
      <c r="G57" s="606"/>
      <c r="H57" s="606"/>
      <c r="I57" s="607">
        <f t="shared" si="7"/>
        <v>7</v>
      </c>
      <c r="J57" s="607">
        <f t="shared" si="8"/>
        <v>6186</v>
      </c>
    </row>
    <row r="58" spans="1:10" s="565" customFormat="1">
      <c r="A58" s="556" t="s">
        <v>500</v>
      </c>
      <c r="B58" s="603" t="s">
        <v>1105</v>
      </c>
      <c r="C58" s="574">
        <f>CR!G60</f>
        <v>0</v>
      </c>
      <c r="D58" s="559" t="s">
        <v>60</v>
      </c>
      <c r="E58" s="605">
        <f>CR!I60</f>
        <v>2623.8420000000001</v>
      </c>
      <c r="F58" s="606">
        <f t="shared" si="6"/>
        <v>0</v>
      </c>
      <c r="G58" s="606"/>
      <c r="H58" s="606"/>
      <c r="I58" s="607">
        <f t="shared" si="7"/>
        <v>0</v>
      </c>
      <c r="J58" s="607">
        <f t="shared" si="8"/>
        <v>0</v>
      </c>
    </row>
    <row r="59" spans="1:10" s="565" customFormat="1">
      <c r="A59" s="556" t="s">
        <v>500</v>
      </c>
      <c r="B59" s="603" t="s">
        <v>1106</v>
      </c>
      <c r="C59" s="574">
        <f>CR!G61</f>
        <v>0</v>
      </c>
      <c r="D59" s="559" t="s">
        <v>84</v>
      </c>
      <c r="E59" s="605">
        <f>CR!I61</f>
        <v>2222.59</v>
      </c>
      <c r="F59" s="606">
        <f t="shared" si="6"/>
        <v>0</v>
      </c>
      <c r="G59" s="606"/>
      <c r="H59" s="606"/>
      <c r="I59" s="607">
        <f t="shared" si="7"/>
        <v>0</v>
      </c>
      <c r="J59" s="607">
        <f t="shared" si="8"/>
        <v>0</v>
      </c>
    </row>
    <row r="60" spans="1:10" s="565" customFormat="1">
      <c r="A60" s="556" t="s">
        <v>500</v>
      </c>
      <c r="B60" s="603" t="s">
        <v>1107</v>
      </c>
      <c r="C60" s="574">
        <f>CR!G62</f>
        <v>0</v>
      </c>
      <c r="D60" s="559" t="s">
        <v>84</v>
      </c>
      <c r="E60" s="605">
        <f>CR!I62</f>
        <v>2222.6556666666665</v>
      </c>
      <c r="F60" s="606">
        <f t="shared" ref="F60:F61" si="9">ROUND(C60*E60,0)</f>
        <v>0</v>
      </c>
      <c r="G60" s="606"/>
      <c r="H60" s="606"/>
      <c r="I60" s="607">
        <f t="shared" ref="I60:I66" si="10">C60-G60</f>
        <v>0</v>
      </c>
      <c r="J60" s="607">
        <f t="shared" ref="J60:J66" si="11">F60-H60</f>
        <v>0</v>
      </c>
    </row>
    <row r="61" spans="1:10" s="565" customFormat="1">
      <c r="A61" s="556" t="s">
        <v>502</v>
      </c>
      <c r="B61" s="603" t="s">
        <v>1108</v>
      </c>
      <c r="C61" s="574">
        <f>CR!G63</f>
        <v>336</v>
      </c>
      <c r="D61" s="559" t="s">
        <v>84</v>
      </c>
      <c r="E61" s="605">
        <f>CR!I63</f>
        <v>636.24</v>
      </c>
      <c r="F61" s="606">
        <f t="shared" si="9"/>
        <v>213777</v>
      </c>
      <c r="G61" s="606"/>
      <c r="H61" s="606"/>
      <c r="I61" s="607">
        <f t="shared" si="10"/>
        <v>336</v>
      </c>
      <c r="J61" s="607">
        <f t="shared" si="11"/>
        <v>213777</v>
      </c>
    </row>
    <row r="62" spans="1:10" s="565" customFormat="1">
      <c r="A62" s="556" t="s">
        <v>503</v>
      </c>
      <c r="B62" s="603" t="s">
        <v>379</v>
      </c>
      <c r="C62" s="574">
        <f>CR!G64</f>
        <v>0</v>
      </c>
      <c r="D62" s="604"/>
      <c r="E62" s="605">
        <f>CR!I64</f>
        <v>0</v>
      </c>
      <c r="F62" s="606">
        <f>CR!J64</f>
        <v>960158</v>
      </c>
      <c r="G62" s="606"/>
      <c r="H62" s="606"/>
      <c r="I62" s="607">
        <f t="shared" si="10"/>
        <v>0</v>
      </c>
      <c r="J62" s="607">
        <f t="shared" si="11"/>
        <v>960158</v>
      </c>
    </row>
    <row r="63" spans="1:10" s="565" customFormat="1">
      <c r="A63" s="556" t="s">
        <v>504</v>
      </c>
      <c r="B63" s="603" t="s">
        <v>162</v>
      </c>
      <c r="C63" s="574">
        <f>CR!G65</f>
        <v>0</v>
      </c>
      <c r="D63" s="604"/>
      <c r="E63" s="605">
        <f>CR!I65</f>
        <v>0</v>
      </c>
      <c r="F63" s="606">
        <f>CR!J65</f>
        <v>50892</v>
      </c>
      <c r="G63" s="606"/>
      <c r="H63" s="606"/>
      <c r="I63" s="607">
        <f t="shared" si="10"/>
        <v>0</v>
      </c>
      <c r="J63" s="607">
        <f t="shared" si="11"/>
        <v>50892</v>
      </c>
    </row>
    <row r="64" spans="1:10" s="565" customFormat="1">
      <c r="A64" s="556" t="s">
        <v>500</v>
      </c>
      <c r="B64" s="603" t="s">
        <v>267</v>
      </c>
      <c r="C64" s="574">
        <f>CR!G66</f>
        <v>0</v>
      </c>
      <c r="D64" s="604"/>
      <c r="E64" s="605">
        <f>CR!I66</f>
        <v>0</v>
      </c>
      <c r="F64" s="606">
        <f>CR!J66</f>
        <v>2004957</v>
      </c>
      <c r="G64" s="606"/>
      <c r="H64" s="606"/>
      <c r="I64" s="607">
        <f t="shared" si="10"/>
        <v>0</v>
      </c>
      <c r="J64" s="607">
        <f t="shared" si="11"/>
        <v>2004957</v>
      </c>
    </row>
    <row r="65" spans="1:10" s="565" customFormat="1">
      <c r="A65" s="556" t="s">
        <v>500</v>
      </c>
      <c r="B65" s="603" t="s">
        <v>894</v>
      </c>
      <c r="C65" s="574">
        <f>CR!G67</f>
        <v>0</v>
      </c>
      <c r="D65" s="604"/>
      <c r="E65" s="605">
        <f>CR!I67</f>
        <v>0</v>
      </c>
      <c r="F65" s="606">
        <f>CR!J67</f>
        <v>0</v>
      </c>
      <c r="G65" s="606"/>
      <c r="H65" s="606"/>
      <c r="I65" s="607">
        <f t="shared" si="10"/>
        <v>0</v>
      </c>
      <c r="J65" s="607">
        <f t="shared" si="11"/>
        <v>0</v>
      </c>
    </row>
    <row r="66" spans="1:10" s="565" customFormat="1">
      <c r="A66" s="556" t="s">
        <v>500</v>
      </c>
      <c r="B66" s="603" t="s">
        <v>354</v>
      </c>
      <c r="C66" s="574">
        <f>CR!G68</f>
        <v>0</v>
      </c>
      <c r="D66" s="604"/>
      <c r="E66" s="605">
        <f>CR!I68</f>
        <v>0</v>
      </c>
      <c r="F66" s="606">
        <f>CR!J68</f>
        <v>0</v>
      </c>
      <c r="G66" s="606"/>
      <c r="H66" s="606"/>
      <c r="I66" s="607">
        <f t="shared" si="10"/>
        <v>0</v>
      </c>
      <c r="J66" s="607">
        <f t="shared" si="11"/>
        <v>0</v>
      </c>
    </row>
    <row r="67" spans="1:10" s="565" customFormat="1">
      <c r="A67" s="556" t="s">
        <v>505</v>
      </c>
      <c r="B67" s="603" t="s">
        <v>637</v>
      </c>
      <c r="C67" s="574">
        <f>CR!G69</f>
        <v>0</v>
      </c>
      <c r="D67" s="604"/>
      <c r="E67" s="605"/>
      <c r="F67" s="606">
        <f>CR!J69</f>
        <v>805500</v>
      </c>
      <c r="G67" s="606"/>
      <c r="H67" s="606"/>
      <c r="I67" s="607">
        <f t="shared" si="1"/>
        <v>0</v>
      </c>
      <c r="J67" s="607">
        <f t="shared" si="2"/>
        <v>805500</v>
      </c>
    </row>
    <row r="68" spans="1:10" s="565" customFormat="1" ht="20.25" customHeight="1">
      <c r="A68" s="556"/>
      <c r="B68" s="603"/>
      <c r="C68" s="574"/>
      <c r="D68" s="604"/>
      <c r="E68" s="605"/>
      <c r="F68" s="606"/>
      <c r="G68" s="606"/>
      <c r="H68" s="606"/>
      <c r="I68" s="607"/>
      <c r="J68" s="607"/>
    </row>
    <row r="69" spans="1:10" s="565" customFormat="1" ht="20.25" customHeight="1">
      <c r="A69" s="556"/>
      <c r="B69" s="603"/>
      <c r="C69" s="574"/>
      <c r="D69" s="571"/>
      <c r="E69" s="562"/>
      <c r="F69" s="608"/>
      <c r="G69" s="608"/>
      <c r="H69" s="608"/>
      <c r="I69" s="607"/>
      <c r="J69" s="607"/>
    </row>
    <row r="70" spans="1:10" s="565" customFormat="1" ht="20.25" customHeight="1">
      <c r="A70" s="556"/>
      <c r="B70" s="576"/>
      <c r="C70" s="574"/>
      <c r="D70" s="609"/>
      <c r="E70" s="556"/>
      <c r="F70" s="577">
        <f>SUM(F5:F69)</f>
        <v>14000000</v>
      </c>
      <c r="G70" s="577"/>
      <c r="H70" s="577">
        <f>SUM(H5:H69)</f>
        <v>0</v>
      </c>
      <c r="I70" s="577"/>
      <c r="J70" s="577">
        <f>SUM(J5:J69)</f>
        <v>14000000</v>
      </c>
    </row>
    <row r="75" spans="1:10">
      <c r="F75" s="610"/>
    </row>
    <row r="76" spans="1:10">
      <c r="F76" s="610"/>
    </row>
  </sheetData>
  <autoFilter ref="A4:J67" xr:uid="{00000000-0009-0000-0000-000013000000}">
    <filterColumn colId="2" showButton="0"/>
  </autoFilter>
  <mergeCells count="4">
    <mergeCell ref="A1:J1"/>
    <mergeCell ref="A2:J2"/>
    <mergeCell ref="I3:J3"/>
    <mergeCell ref="C4:D4"/>
  </mergeCells>
  <printOptions horizontalCentered="1"/>
  <pageMargins left="0.23622047244094499" right="0.15748031496063" top="0.22" bottom="0.17" header="0.22" footer="0.23622047244094499"/>
  <pageSetup paperSize="9" orientation="landscape" errors="blank"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B0F0"/>
  </sheetPr>
  <dimension ref="A1:V71"/>
  <sheetViews>
    <sheetView showZeros="0" view="pageBreakPreview" zoomScale="115" zoomScaleSheetLayoutView="115" workbookViewId="0">
      <pane ySplit="4" topLeftCell="A5" activePane="bottomLeft" state="frozen"/>
      <selection pane="bottomLeft" activeCell="P10" sqref="P10:P13"/>
    </sheetView>
  </sheetViews>
  <sheetFormatPr defaultRowHeight="12.75"/>
  <cols>
    <col min="1" max="1" width="3.28515625" style="22" customWidth="1"/>
    <col min="2" max="2" width="22.28515625" style="22" bestFit="1" customWidth="1"/>
    <col min="3" max="3" width="8.42578125" style="22" customWidth="1"/>
    <col min="4" max="4" width="3.42578125" style="22" customWidth="1"/>
    <col min="5" max="5" width="7.85546875" style="22" customWidth="1"/>
    <col min="6" max="11" width="7.42578125" style="22" customWidth="1"/>
    <col min="12" max="12" width="6.42578125" style="22" customWidth="1"/>
    <col min="13" max="14" width="8" style="22" customWidth="1"/>
    <col min="15" max="15" width="11" style="33" customWidth="1"/>
    <col min="16" max="16" width="9" style="22" customWidth="1"/>
    <col min="17" max="17" width="10.42578125" style="22" bestFit="1" customWidth="1"/>
    <col min="18" max="19" width="9.140625" style="22"/>
    <col min="20" max="20" width="9.85546875" style="22" customWidth="1"/>
    <col min="21" max="16384" width="9.140625" style="22"/>
  </cols>
  <sheetData>
    <row r="1" spans="1:20" ht="8.25" customHeight="1"/>
    <row r="2" spans="1:20" ht="21">
      <c r="A2" s="1175" t="s">
        <v>646</v>
      </c>
      <c r="B2" s="1175"/>
      <c r="C2" s="1175"/>
      <c r="D2" s="1175"/>
      <c r="E2" s="1175"/>
      <c r="F2" s="1175"/>
      <c r="G2" s="1175"/>
      <c r="H2" s="1175"/>
      <c r="I2" s="1175"/>
      <c r="J2" s="1175"/>
      <c r="K2" s="1175"/>
      <c r="L2" s="1175"/>
      <c r="M2" s="1175"/>
      <c r="N2" s="1175"/>
      <c r="O2" s="1175"/>
      <c r="P2" s="1175"/>
    </row>
    <row r="3" spans="1:20" ht="6.75" customHeight="1">
      <c r="A3" s="612"/>
      <c r="B3" s="612"/>
      <c r="C3" s="612"/>
      <c r="D3" s="612"/>
      <c r="E3" s="612"/>
      <c r="F3" s="612"/>
      <c r="G3" s="612"/>
      <c r="H3" s="612"/>
      <c r="I3" s="612"/>
      <c r="J3" s="612"/>
      <c r="K3" s="612"/>
      <c r="L3" s="612"/>
      <c r="M3" s="612"/>
      <c r="N3" s="612"/>
      <c r="O3" s="612"/>
      <c r="P3" s="612"/>
    </row>
    <row r="4" spans="1:20" s="615" customFormat="1" ht="38.25">
      <c r="A4" s="613" t="s">
        <v>123</v>
      </c>
      <c r="B4" s="613" t="s">
        <v>627</v>
      </c>
      <c r="C4" s="1176" t="s">
        <v>4</v>
      </c>
      <c r="D4" s="1176"/>
      <c r="E4" s="613" t="s">
        <v>37</v>
      </c>
      <c r="F4" s="613" t="s">
        <v>647</v>
      </c>
      <c r="G4" s="613" t="s">
        <v>34</v>
      </c>
      <c r="H4" s="613" t="s">
        <v>570</v>
      </c>
      <c r="I4" s="613" t="s">
        <v>648</v>
      </c>
      <c r="J4" s="613" t="s">
        <v>649</v>
      </c>
      <c r="K4" s="613" t="s">
        <v>61</v>
      </c>
      <c r="L4" s="613" t="s">
        <v>650</v>
      </c>
      <c r="M4" s="613" t="s">
        <v>651</v>
      </c>
      <c r="N4" s="613" t="s">
        <v>1124</v>
      </c>
      <c r="O4" s="614" t="s">
        <v>652</v>
      </c>
      <c r="P4" s="613" t="s">
        <v>653</v>
      </c>
    </row>
    <row r="5" spans="1:20" s="615" customFormat="1" ht="25.5" customHeight="1">
      <c r="A5" s="614">
        <v>1</v>
      </c>
      <c r="B5" s="616" t="s">
        <v>654</v>
      </c>
      <c r="C5" s="617">
        <f>'R-1'!C5</f>
        <v>0</v>
      </c>
      <c r="D5" s="618" t="s">
        <v>655</v>
      </c>
      <c r="E5" s="619">
        <f>'R-1'!F5</f>
        <v>0</v>
      </c>
      <c r="F5" s="620">
        <v>0</v>
      </c>
      <c r="G5" s="621">
        <v>0</v>
      </c>
      <c r="H5" s="621"/>
      <c r="I5" s="614">
        <v>0</v>
      </c>
      <c r="J5" s="614">
        <v>0</v>
      </c>
      <c r="K5" s="614"/>
      <c r="L5" s="614">
        <v>0</v>
      </c>
      <c r="M5" s="614"/>
      <c r="N5" s="614"/>
      <c r="O5" s="614"/>
      <c r="P5" s="614">
        <v>0</v>
      </c>
      <c r="S5" s="637"/>
      <c r="T5" s="637"/>
    </row>
    <row r="6" spans="1:20" s="615" customFormat="1" ht="25.5" customHeight="1">
      <c r="A6" s="614">
        <v>1</v>
      </c>
      <c r="B6" s="616" t="s">
        <v>1109</v>
      </c>
      <c r="C6" s="617">
        <f>'R-1'!C6</f>
        <v>4032</v>
      </c>
      <c r="D6" s="618" t="s">
        <v>656</v>
      </c>
      <c r="E6" s="619"/>
      <c r="F6" s="620">
        <v>0</v>
      </c>
      <c r="G6" s="621">
        <v>0</v>
      </c>
      <c r="H6" s="621"/>
      <c r="I6" s="614">
        <v>0</v>
      </c>
      <c r="J6" s="614">
        <v>0</v>
      </c>
      <c r="K6" s="614"/>
      <c r="L6" s="614">
        <v>0</v>
      </c>
      <c r="M6" s="614"/>
      <c r="N6" s="614"/>
      <c r="O6" s="74">
        <f>'R-1'!F6</f>
        <v>9072</v>
      </c>
      <c r="P6" s="614">
        <v>0</v>
      </c>
      <c r="S6" s="637"/>
      <c r="T6" s="637"/>
    </row>
    <row r="7" spans="1:20" s="615" customFormat="1" ht="25.5" customHeight="1">
      <c r="A7" s="614"/>
      <c r="B7" s="616" t="s">
        <v>900</v>
      </c>
      <c r="C7" s="617">
        <f>'R-1'!C7</f>
        <v>3360</v>
      </c>
      <c r="D7" s="618" t="s">
        <v>655</v>
      </c>
      <c r="E7" s="619"/>
      <c r="F7" s="620"/>
      <c r="G7" s="621"/>
      <c r="H7" s="621"/>
      <c r="I7" s="614"/>
      <c r="J7" s="614"/>
      <c r="K7" s="614"/>
      <c r="L7" s="614"/>
      <c r="M7" s="614"/>
      <c r="N7" s="614"/>
      <c r="O7" s="74">
        <f>'R-1'!F7</f>
        <v>794842</v>
      </c>
      <c r="P7" s="614"/>
      <c r="S7" s="637"/>
      <c r="T7" s="637"/>
    </row>
    <row r="8" spans="1:20" s="615" customFormat="1" ht="25.5" customHeight="1">
      <c r="A8" s="614"/>
      <c r="B8" s="616" t="s">
        <v>1110</v>
      </c>
      <c r="C8" s="617">
        <f>'R-1'!C8</f>
        <v>6720</v>
      </c>
      <c r="D8" s="618" t="s">
        <v>656</v>
      </c>
      <c r="E8" s="619"/>
      <c r="F8" s="620"/>
      <c r="G8" s="621"/>
      <c r="H8" s="621"/>
      <c r="I8" s="614"/>
      <c r="J8" s="614"/>
      <c r="K8" s="614"/>
      <c r="L8" s="614"/>
      <c r="M8" s="614"/>
      <c r="N8" s="614"/>
      <c r="O8" s="74">
        <f>'R-1'!F8</f>
        <v>258653</v>
      </c>
      <c r="P8" s="614"/>
      <c r="S8" s="637"/>
      <c r="T8" s="637"/>
    </row>
    <row r="9" spans="1:20" s="615" customFormat="1" ht="25.5" customHeight="1">
      <c r="A9" s="614"/>
      <c r="B9" s="616" t="s">
        <v>96</v>
      </c>
      <c r="C9" s="617">
        <f>'R-1'!C9</f>
        <v>672</v>
      </c>
      <c r="D9" s="618" t="s">
        <v>655</v>
      </c>
      <c r="E9" s="619"/>
      <c r="F9" s="97">
        <f>C9</f>
        <v>672</v>
      </c>
      <c r="G9" s="621"/>
      <c r="H9" s="621"/>
      <c r="I9" s="614"/>
      <c r="J9" s="614"/>
      <c r="K9" s="614"/>
      <c r="L9" s="614"/>
      <c r="M9" s="614"/>
      <c r="N9" s="614"/>
      <c r="O9" s="74"/>
      <c r="P9" s="614"/>
      <c r="S9" s="637"/>
      <c r="T9" s="637"/>
    </row>
    <row r="10" spans="1:20" s="615" customFormat="1" ht="25.5" customHeight="1">
      <c r="A10" s="614"/>
      <c r="B10" s="616" t="s">
        <v>1111</v>
      </c>
      <c r="C10" s="617">
        <f>'R-1'!C10</f>
        <v>945</v>
      </c>
      <c r="D10" s="618" t="s">
        <v>655</v>
      </c>
      <c r="E10" s="619"/>
      <c r="F10" s="97"/>
      <c r="G10" s="621"/>
      <c r="H10" s="621"/>
      <c r="I10" s="614"/>
      <c r="J10" s="614"/>
      <c r="K10" s="614"/>
      <c r="L10" s="614"/>
      <c r="M10" s="614"/>
      <c r="N10" s="614"/>
      <c r="O10" s="74">
        <f>Q10-P10</f>
        <v>2132259</v>
      </c>
      <c r="P10" s="614">
        <f>ROUND(seigneorage!N9*'lead 2025-26'!G17,0)</f>
        <v>1631052</v>
      </c>
      <c r="Q10" s="637">
        <f>'R-1'!F10</f>
        <v>3763311</v>
      </c>
      <c r="S10" s="637"/>
      <c r="T10" s="637"/>
    </row>
    <row r="11" spans="1:20" s="615" customFormat="1" ht="25.5" customHeight="1">
      <c r="A11" s="614"/>
      <c r="B11" s="616" t="s">
        <v>1112</v>
      </c>
      <c r="C11" s="617">
        <f>'R-1'!C11</f>
        <v>6300</v>
      </c>
      <c r="D11" s="618" t="s">
        <v>656</v>
      </c>
      <c r="E11" s="619"/>
      <c r="F11" s="97"/>
      <c r="G11" s="621"/>
      <c r="H11" s="621"/>
      <c r="I11" s="614"/>
      <c r="J11" s="614"/>
      <c r="K11" s="614"/>
      <c r="L11" s="614"/>
      <c r="M11" s="614"/>
      <c r="N11" s="614"/>
      <c r="O11" s="74">
        <f>'R-1'!F11</f>
        <v>268002</v>
      </c>
      <c r="P11" s="614"/>
      <c r="Q11" s="637"/>
      <c r="S11" s="637"/>
      <c r="T11" s="637"/>
    </row>
    <row r="12" spans="1:20" s="615" customFormat="1" ht="25.5" customHeight="1">
      <c r="A12" s="614"/>
      <c r="B12" s="616" t="s">
        <v>1113</v>
      </c>
      <c r="C12" s="617">
        <f>'R-1'!C12</f>
        <v>6300</v>
      </c>
      <c r="D12" s="618" t="s">
        <v>656</v>
      </c>
      <c r="E12" s="619"/>
      <c r="F12" s="97"/>
      <c r="G12" s="621"/>
      <c r="H12" s="621"/>
      <c r="I12" s="614"/>
      <c r="J12" s="614"/>
      <c r="K12" s="614"/>
      <c r="L12" s="614"/>
      <c r="M12" s="614"/>
      <c r="N12" s="614"/>
      <c r="O12" s="74">
        <f>'R-1'!F12</f>
        <v>102312</v>
      </c>
      <c r="P12" s="614"/>
      <c r="Q12" s="637"/>
      <c r="S12" s="637"/>
      <c r="T12" s="637"/>
    </row>
    <row r="13" spans="1:20" s="615" customFormat="1" ht="25.5" customHeight="1">
      <c r="A13" s="614"/>
      <c r="B13" s="616" t="s">
        <v>761</v>
      </c>
      <c r="C13" s="617">
        <f>'R-1'!C13</f>
        <v>157.5</v>
      </c>
      <c r="D13" s="618" t="s">
        <v>655</v>
      </c>
      <c r="E13" s="619"/>
      <c r="F13" s="97"/>
      <c r="G13" s="621"/>
      <c r="H13" s="621"/>
      <c r="I13" s="614"/>
      <c r="J13" s="614"/>
      <c r="K13" s="614"/>
      <c r="L13" s="614"/>
      <c r="M13" s="614"/>
      <c r="N13" s="614"/>
      <c r="O13" s="74">
        <f>Q13-P13</f>
        <v>1568997</v>
      </c>
      <c r="P13" s="614">
        <f>ROUND(seigneorage!N11*'lead 2025-26'!G23,0)</f>
        <v>298413</v>
      </c>
      <c r="Q13" s="637">
        <f>'R-1'!F13</f>
        <v>1867410</v>
      </c>
      <c r="S13" s="637"/>
      <c r="T13" s="637"/>
    </row>
    <row r="14" spans="1:20" s="615" customFormat="1" ht="25.5" customHeight="1">
      <c r="A14" s="614"/>
      <c r="B14" s="616" t="s">
        <v>903</v>
      </c>
      <c r="C14" s="617">
        <f>'R-1'!C14</f>
        <v>907.2</v>
      </c>
      <c r="D14" s="618" t="s">
        <v>655</v>
      </c>
      <c r="E14" s="619"/>
      <c r="F14" s="97"/>
      <c r="G14" s="621"/>
      <c r="H14" s="621"/>
      <c r="I14" s="614"/>
      <c r="J14" s="614"/>
      <c r="K14" s="614"/>
      <c r="L14" s="74">
        <f>C14</f>
        <v>907.2</v>
      </c>
      <c r="M14" s="614"/>
      <c r="N14" s="614"/>
      <c r="O14" s="74"/>
      <c r="P14" s="614">
        <f>ROUND(seigneorage!N12*'lead 2025-26'!G24,0)</f>
        <v>0</v>
      </c>
      <c r="Q14" s="637">
        <f>'R-1'!F14</f>
        <v>348410</v>
      </c>
      <c r="S14" s="637"/>
      <c r="T14" s="637"/>
    </row>
    <row r="15" spans="1:20" s="615" customFormat="1" ht="25.5" customHeight="1">
      <c r="A15" s="614"/>
      <c r="B15" s="616" t="s">
        <v>904</v>
      </c>
      <c r="C15" s="617"/>
      <c r="D15" s="618"/>
      <c r="E15" s="619"/>
      <c r="F15" s="97"/>
      <c r="G15" s="621"/>
      <c r="H15" s="621"/>
      <c r="I15" s="614"/>
      <c r="J15" s="614"/>
      <c r="K15" s="614"/>
      <c r="L15" s="74"/>
      <c r="M15" s="614"/>
      <c r="N15" s="614"/>
      <c r="O15" s="74"/>
      <c r="P15" s="614"/>
      <c r="Q15" s="637"/>
      <c r="S15" s="637"/>
      <c r="T15" s="637"/>
    </row>
    <row r="16" spans="1:20" s="615" customFormat="1" ht="25.5" customHeight="1">
      <c r="A16" s="614">
        <v>1</v>
      </c>
      <c r="B16" s="616" t="s">
        <v>654</v>
      </c>
      <c r="C16" s="617">
        <f>'R-1'!I16</f>
        <v>0</v>
      </c>
      <c r="D16" s="618" t="s">
        <v>655</v>
      </c>
      <c r="E16" s="619"/>
      <c r="F16" s="620">
        <v>0</v>
      </c>
      <c r="G16" s="621">
        <v>0</v>
      </c>
      <c r="H16" s="621"/>
      <c r="I16" s="614">
        <v>0</v>
      </c>
      <c r="J16" s="614">
        <v>0</v>
      </c>
      <c r="K16" s="614"/>
      <c r="L16" s="614">
        <v>0</v>
      </c>
      <c r="M16" s="614"/>
      <c r="N16" s="614"/>
      <c r="O16" s="74">
        <f>'R-1'!F16</f>
        <v>0</v>
      </c>
      <c r="P16" s="614">
        <v>0</v>
      </c>
      <c r="S16" s="637"/>
      <c r="T16" s="637"/>
    </row>
    <row r="17" spans="1:22" s="615" customFormat="1" ht="25.5" customHeight="1">
      <c r="A17" s="614">
        <v>2</v>
      </c>
      <c r="B17" s="616" t="s">
        <v>1114</v>
      </c>
      <c r="C17" s="617">
        <f>'R-1'!I17</f>
        <v>0</v>
      </c>
      <c r="D17" s="618" t="s">
        <v>655</v>
      </c>
      <c r="E17" s="622"/>
      <c r="F17" s="97"/>
      <c r="G17" s="623">
        <f>ROUND(C17*220/1000,2)</f>
        <v>0</v>
      </c>
      <c r="H17" s="624">
        <f>ROUND(C17*0.9,2)</f>
        <v>0</v>
      </c>
      <c r="I17" s="624"/>
      <c r="J17" s="624"/>
      <c r="K17" s="624">
        <f>ROUND(C17*0.45,2)</f>
        <v>0</v>
      </c>
      <c r="L17" s="74"/>
      <c r="M17" s="621">
        <f>ROUND(K17*'lead 2025-26'!$G$9,0)</f>
        <v>0</v>
      </c>
      <c r="N17" s="621"/>
      <c r="O17" s="621">
        <f>Q17-M17-P17-R17-S17</f>
        <v>0</v>
      </c>
      <c r="P17" s="621">
        <f>ROUND((H17)*'lead 2025-26'!$G$16,0)</f>
        <v>0</v>
      </c>
      <c r="Q17" s="637">
        <f>'R-1'!J17</f>
        <v>0</v>
      </c>
      <c r="R17" s="615">
        <f>ROUND(G17*'lead 2025-26'!$K$26,0)</f>
        <v>0</v>
      </c>
      <c r="S17" s="637">
        <f>ROUND(H17*('lead 2025-26'!$K$16-'lead 2025-26'!$G$16),0)</f>
        <v>0</v>
      </c>
      <c r="T17" s="637"/>
      <c r="U17" s="637"/>
      <c r="V17" s="637"/>
    </row>
    <row r="18" spans="1:22" s="615" customFormat="1" ht="25.5" customHeight="1">
      <c r="A18" s="614">
        <v>4</v>
      </c>
      <c r="B18" s="616" t="s">
        <v>1115</v>
      </c>
      <c r="C18" s="617">
        <f>'R-1'!I18</f>
        <v>0</v>
      </c>
      <c r="D18" s="618" t="s">
        <v>612</v>
      </c>
      <c r="E18" s="622"/>
      <c r="F18" s="97"/>
      <c r="G18" s="623"/>
      <c r="H18" s="624"/>
      <c r="I18" s="624"/>
      <c r="J18" s="624"/>
      <c r="K18" s="624"/>
      <c r="L18" s="74"/>
      <c r="M18" s="621"/>
      <c r="N18" s="621">
        <f>'R-1'!J18</f>
        <v>0</v>
      </c>
      <c r="P18" s="621">
        <f>ROUND((I18*'lead 2025-26'!$G$16)+(J18*'lead 2025-26'!$G$16),0)</f>
        <v>0</v>
      </c>
      <c r="R18" s="615">
        <f>ROUND(G18*5400,0)</f>
        <v>0</v>
      </c>
      <c r="S18" s="637"/>
      <c r="T18" s="637"/>
    </row>
    <row r="19" spans="1:22" s="615" customFormat="1" ht="25.5" customHeight="1">
      <c r="A19" s="614">
        <v>3</v>
      </c>
      <c r="B19" s="616" t="s">
        <v>664</v>
      </c>
      <c r="C19" s="617">
        <f>'R-1'!I19</f>
        <v>0</v>
      </c>
      <c r="D19" s="618" t="s">
        <v>655</v>
      </c>
      <c r="E19" s="622"/>
      <c r="F19" s="97"/>
      <c r="G19" s="623">
        <f>ROUND(C19*275/1000,2)</f>
        <v>0</v>
      </c>
      <c r="H19" s="624">
        <f>ROUND(C19*0.48,2)</f>
        <v>0</v>
      </c>
      <c r="I19" s="624">
        <f>ROUND(C19*0.24,2)</f>
        <v>0</v>
      </c>
      <c r="J19" s="624">
        <f>ROUND(C19*0.08,2)</f>
        <v>0</v>
      </c>
      <c r="K19" s="624">
        <f>ROUND(C19*0.48,2)</f>
        <v>0</v>
      </c>
      <c r="L19" s="74"/>
      <c r="M19" s="621">
        <f>ROUND(K19*'input data'!$F$19,0)</f>
        <v>0</v>
      </c>
      <c r="N19" s="621"/>
      <c r="O19" s="621">
        <f>Q19-M19-P19-R19-S19-T19-U19</f>
        <v>0</v>
      </c>
      <c r="P19" s="621">
        <f>ROUND((H19+I19+J19)*'lead 2025-26'!$G$16,0)</f>
        <v>0</v>
      </c>
      <c r="Q19" s="637">
        <f>'R-1'!J19</f>
        <v>0</v>
      </c>
      <c r="R19" s="615">
        <f>ROUND(G19*'lead 2025-26'!$K$26,0)</f>
        <v>0</v>
      </c>
      <c r="S19" s="637">
        <f>ROUND(H19*('lead 2025-26'!$K$16-'lead 2025-26'!$G$16),0)</f>
        <v>0</v>
      </c>
      <c r="T19" s="637">
        <f>ROUND(I19*('lead 2025-26'!$K$12-'lead 2025-26'!$G$12),0)</f>
        <v>0</v>
      </c>
      <c r="U19" s="637">
        <f>ROUND(J19*('lead 2025-26'!$K$13-'lead 2025-26'!$G$13),0)</f>
        <v>0</v>
      </c>
    </row>
    <row r="20" spans="1:22" s="615" customFormat="1" ht="25.5" customHeight="1">
      <c r="A20" s="614">
        <v>3</v>
      </c>
      <c r="B20" s="616" t="s">
        <v>1116</v>
      </c>
      <c r="C20" s="617">
        <f>'R-1'!I20</f>
        <v>0</v>
      </c>
      <c r="D20" s="618" t="s">
        <v>655</v>
      </c>
      <c r="E20" s="622"/>
      <c r="F20" s="97"/>
      <c r="G20" s="623">
        <f>ROUND(C20*403/1000,2)</f>
        <v>0</v>
      </c>
      <c r="H20" s="624"/>
      <c r="I20" s="624">
        <f>ROUND(C20*0.594,2)</f>
        <v>0</v>
      </c>
      <c r="J20" s="624">
        <f>ROUND(C20*0.306,2)</f>
        <v>0</v>
      </c>
      <c r="K20" s="624">
        <f>ROUND(C20*0.45,2)</f>
        <v>0</v>
      </c>
      <c r="L20" s="74"/>
      <c r="M20" s="621">
        <f>ROUND(K20*'input data'!$F$19,0)</f>
        <v>0</v>
      </c>
      <c r="N20" s="621"/>
      <c r="O20" s="621">
        <f>Q20-M20-P20-R20-T20-U20</f>
        <v>0</v>
      </c>
      <c r="P20" s="621">
        <f>ROUND((H20+I20+J20)*'lead 2025-26'!$G$16,0)</f>
        <v>0</v>
      </c>
      <c r="Q20" s="637">
        <f>'R-1'!J20</f>
        <v>0</v>
      </c>
      <c r="R20" s="615">
        <f>ROUND(G20*'lead 2025-26'!$K$26,0)</f>
        <v>0</v>
      </c>
      <c r="S20" s="637">
        <f>ROUND(K20*'lead 2025-26'!$H$9,0)</f>
        <v>0</v>
      </c>
      <c r="T20" s="637">
        <f>ROUND(I20*('lead 2025-26'!$K$12-'lead 2025-26'!$G$12),0)</f>
        <v>0</v>
      </c>
      <c r="U20" s="637">
        <f>ROUND(J20*('lead 2025-26'!$K$13-'lead 2025-26'!$G$13),0)</f>
        <v>0</v>
      </c>
    </row>
    <row r="21" spans="1:22" s="615" customFormat="1" ht="25.5" customHeight="1">
      <c r="A21" s="614">
        <v>3</v>
      </c>
      <c r="B21" s="616" t="s">
        <v>1117</v>
      </c>
      <c r="C21" s="617">
        <f>'R-1'!I21</f>
        <v>0</v>
      </c>
      <c r="D21" s="618" t="s">
        <v>45</v>
      </c>
      <c r="E21" s="622"/>
      <c r="F21" s="97"/>
      <c r="G21" s="623"/>
      <c r="H21" s="624"/>
      <c r="I21" s="624"/>
      <c r="J21" s="624"/>
      <c r="K21" s="624"/>
      <c r="L21" s="74"/>
      <c r="M21" s="621"/>
      <c r="N21" s="621"/>
      <c r="O21" s="621">
        <f>'R-1'!J21</f>
        <v>0</v>
      </c>
      <c r="P21" s="621">
        <f>ROUND((H21+I21+J21)*'lead 2025-26'!$G$16,0)</f>
        <v>0</v>
      </c>
      <c r="Q21" s="637"/>
      <c r="R21" s="615">
        <f>ROUND(G21*5400,0)</f>
        <v>0</v>
      </c>
      <c r="S21" s="637">
        <f>ROUND(K21*'lead 2025-26'!$H$9,0)</f>
        <v>0</v>
      </c>
      <c r="T21" s="637"/>
    </row>
    <row r="22" spans="1:22" s="615" customFormat="1" ht="25.5" customHeight="1">
      <c r="A22" s="614">
        <v>3</v>
      </c>
      <c r="B22" s="616" t="s">
        <v>665</v>
      </c>
      <c r="C22" s="617">
        <f>'R-1'!I22</f>
        <v>0</v>
      </c>
      <c r="D22" s="618" t="s">
        <v>655</v>
      </c>
      <c r="E22" s="622"/>
      <c r="F22" s="97"/>
      <c r="G22" s="623"/>
      <c r="H22" s="624"/>
      <c r="I22" s="624"/>
      <c r="J22" s="624"/>
      <c r="K22" s="624"/>
      <c r="L22" s="74"/>
      <c r="M22" s="621"/>
      <c r="N22" s="621"/>
      <c r="O22" s="621">
        <f>'R-1'!J22</f>
        <v>0</v>
      </c>
      <c r="P22" s="621">
        <f>ROUND((H22+I22+J22)*'lead 2025-26'!$G$16,0)</f>
        <v>0</v>
      </c>
      <c r="Q22" s="637"/>
      <c r="R22" s="615">
        <f>ROUND(G22*5400,0)</f>
        <v>0</v>
      </c>
      <c r="S22" s="637">
        <f>ROUND(K22*'lead 2025-26'!$H$9,0)</f>
        <v>0</v>
      </c>
      <c r="T22" s="637"/>
    </row>
    <row r="23" spans="1:22" s="615" customFormat="1" ht="25.5" customHeight="1">
      <c r="A23" s="614">
        <v>8</v>
      </c>
      <c r="B23" s="616" t="s">
        <v>657</v>
      </c>
      <c r="C23" s="617">
        <f>'R-1'!I23</f>
        <v>0</v>
      </c>
      <c r="D23" s="618" t="s">
        <v>655</v>
      </c>
      <c r="E23" s="622"/>
      <c r="F23" s="97"/>
      <c r="G23" s="623">
        <f>ROUND(C23*330/1000,2)</f>
        <v>0</v>
      </c>
      <c r="H23" s="623"/>
      <c r="I23" s="624">
        <f>ROUND(C23*0.594,2)</f>
        <v>0</v>
      </c>
      <c r="J23" s="624">
        <f>ROUND(C23*0.306,2)</f>
        <v>0</v>
      </c>
      <c r="K23" s="624">
        <f>ROUND(C23*0.45,2)</f>
        <v>0</v>
      </c>
      <c r="L23" s="74"/>
      <c r="M23" s="621">
        <f>ROUND(K23*'input data'!$F$19,0)</f>
        <v>0</v>
      </c>
      <c r="N23" s="621"/>
      <c r="O23" s="621">
        <f>Q23-M23-P23-R23-S23-T23-U23</f>
        <v>0</v>
      </c>
      <c r="P23" s="621">
        <f>ROUND((H23+I23+J23)*'lead 2025-26'!$G$16,0)</f>
        <v>0</v>
      </c>
      <c r="Q23" s="637">
        <f>'R-1'!J23</f>
        <v>0</v>
      </c>
      <c r="R23" s="615">
        <f>ROUND(G23*'lead 2025-26'!$K$26,0)</f>
        <v>0</v>
      </c>
      <c r="S23" s="637">
        <f>ROUND(H23*('lead 2025-26'!$K$16-'lead 2025-26'!$G$16),0)</f>
        <v>0</v>
      </c>
      <c r="T23" s="637">
        <f>ROUND(I23*('lead 2025-26'!$K$12-'lead 2025-26'!$G$12),0)</f>
        <v>0</v>
      </c>
      <c r="U23" s="637">
        <f>ROUND(J23*('lead 2025-26'!$K$13-'lead 2025-26'!$G$13),0)</f>
        <v>0</v>
      </c>
    </row>
    <row r="24" spans="1:22" s="615" customFormat="1" ht="25.5" customHeight="1">
      <c r="A24" s="614"/>
      <c r="B24" s="616" t="s">
        <v>904</v>
      </c>
      <c r="C24" s="617"/>
      <c r="D24" s="618"/>
      <c r="E24" s="619"/>
      <c r="F24" s="97"/>
      <c r="G24" s="621"/>
      <c r="H24" s="621"/>
      <c r="I24" s="614"/>
      <c r="J24" s="614"/>
      <c r="K24" s="614"/>
      <c r="L24" s="74"/>
      <c r="M24" s="614"/>
      <c r="N24" s="614"/>
      <c r="O24" s="74"/>
      <c r="P24" s="614"/>
      <c r="Q24" s="637"/>
      <c r="S24" s="637"/>
      <c r="T24" s="637"/>
    </row>
    <row r="25" spans="1:22" s="615" customFormat="1" ht="25.5" customHeight="1">
      <c r="A25" s="614">
        <v>1</v>
      </c>
      <c r="B25" s="616" t="s">
        <v>654</v>
      </c>
      <c r="C25" s="617">
        <f>'R-1'!I25</f>
        <v>0</v>
      </c>
      <c r="D25" s="618" t="s">
        <v>655</v>
      </c>
      <c r="E25" s="619"/>
      <c r="F25" s="620">
        <v>0</v>
      </c>
      <c r="G25" s="621">
        <v>0</v>
      </c>
      <c r="H25" s="621"/>
      <c r="I25" s="614">
        <v>0</v>
      </c>
      <c r="J25" s="614">
        <v>0</v>
      </c>
      <c r="K25" s="614"/>
      <c r="L25" s="614">
        <v>0</v>
      </c>
      <c r="M25" s="614"/>
      <c r="N25" s="614"/>
      <c r="O25" s="74">
        <f>'R-1'!F25</f>
        <v>0</v>
      </c>
      <c r="P25" s="614">
        <v>0</v>
      </c>
      <c r="S25" s="637"/>
      <c r="T25" s="637"/>
    </row>
    <row r="26" spans="1:22" s="615" customFormat="1" ht="25.5" customHeight="1">
      <c r="A26" s="614">
        <v>2</v>
      </c>
      <c r="B26" s="616" t="s">
        <v>1114</v>
      </c>
      <c r="C26" s="617">
        <f>'R-1'!I26</f>
        <v>0</v>
      </c>
      <c r="D26" s="618" t="s">
        <v>655</v>
      </c>
      <c r="E26" s="622"/>
      <c r="F26" s="97"/>
      <c r="G26" s="623">
        <f>ROUND(C26*220/1000,2)</f>
        <v>0</v>
      </c>
      <c r="H26" s="624">
        <f>ROUND(C26*0.9,2)</f>
        <v>0</v>
      </c>
      <c r="I26" s="624"/>
      <c r="J26" s="624"/>
      <c r="K26" s="624">
        <f>ROUND(C26*0.45,2)</f>
        <v>0</v>
      </c>
      <c r="L26" s="74"/>
      <c r="M26" s="621">
        <f>ROUND(K26*'lead 2025-26'!$G$9,0)</f>
        <v>0</v>
      </c>
      <c r="N26" s="621"/>
      <c r="O26" s="621">
        <f>Q26-M26-P26-R26-S26-T26-U26</f>
        <v>0</v>
      </c>
      <c r="P26" s="621">
        <f>ROUND((H26)*'lead 2025-26'!$G$16,0)</f>
        <v>0</v>
      </c>
      <c r="Q26" s="637">
        <f>'R-1'!J26</f>
        <v>0</v>
      </c>
      <c r="R26" s="615">
        <f>ROUND(G26*'lead 2025-26'!$K$26,0)</f>
        <v>0</v>
      </c>
      <c r="S26" s="637">
        <f>ROUND(H26*('lead 2025-26'!$K$16-'lead 2025-26'!$G$16),0)</f>
        <v>0</v>
      </c>
      <c r="T26" s="637">
        <f>ROUND(I26*('lead 2025-26'!$K$12-'lead 2025-26'!$G$12),0)</f>
        <v>0</v>
      </c>
      <c r="U26" s="637">
        <f>ROUND(J26*('lead 2025-26'!$K$13-'lead 2025-26'!$G$13),0)</f>
        <v>0</v>
      </c>
      <c r="V26" s="637"/>
    </row>
    <row r="27" spans="1:22" s="615" customFormat="1" ht="25.5" customHeight="1">
      <c r="A27" s="614">
        <v>4</v>
      </c>
      <c r="B27" s="616" t="s">
        <v>1115</v>
      </c>
      <c r="C27" s="617">
        <f>'R-1'!I27</f>
        <v>0</v>
      </c>
      <c r="D27" s="618" t="s">
        <v>612</v>
      </c>
      <c r="E27" s="622"/>
      <c r="F27" s="97"/>
      <c r="G27" s="623"/>
      <c r="H27" s="624"/>
      <c r="I27" s="624"/>
      <c r="J27" s="624"/>
      <c r="K27" s="624"/>
      <c r="L27" s="74"/>
      <c r="M27" s="621"/>
      <c r="N27" s="621">
        <f>'R-1'!J27</f>
        <v>0</v>
      </c>
      <c r="P27" s="621">
        <f>ROUND((I27*'lead 2025-26'!$G$16)+(J27*'lead 2025-26'!$G$16),0)</f>
        <v>0</v>
      </c>
      <c r="R27" s="615">
        <f>ROUND(G27*5400,0)</f>
        <v>0</v>
      </c>
      <c r="S27" s="637"/>
      <c r="T27" s="637"/>
    </row>
    <row r="28" spans="1:22" s="615" customFormat="1" ht="25.5" customHeight="1">
      <c r="A28" s="614">
        <v>3</v>
      </c>
      <c r="B28" s="616" t="s">
        <v>664</v>
      </c>
      <c r="C28" s="617">
        <f>'R-1'!I28</f>
        <v>0</v>
      </c>
      <c r="D28" s="618" t="s">
        <v>655</v>
      </c>
      <c r="E28" s="622"/>
      <c r="F28" s="97"/>
      <c r="G28" s="623">
        <f>ROUND(C28*275/1000,2)</f>
        <v>0</v>
      </c>
      <c r="H28" s="624">
        <f>ROUND(C28*0.48,2)</f>
        <v>0</v>
      </c>
      <c r="I28" s="624">
        <f>ROUND(C28*0.24,2)</f>
        <v>0</v>
      </c>
      <c r="J28" s="624">
        <f>ROUND(C28*0.08,2)</f>
        <v>0</v>
      </c>
      <c r="K28" s="624">
        <f>ROUND(C28*0.48,2)</f>
        <v>0</v>
      </c>
      <c r="L28" s="74"/>
      <c r="M28" s="621">
        <f>ROUND(K28*'input data'!$F$19,0)</f>
        <v>0</v>
      </c>
      <c r="N28" s="621"/>
      <c r="O28" s="621">
        <f>Q28-M28-P28-R28-S28-T28-U28</f>
        <v>0</v>
      </c>
      <c r="P28" s="621">
        <f>ROUND((H28+I28+J28)*'lead 2025-26'!$G$16,0)</f>
        <v>0</v>
      </c>
      <c r="Q28" s="637">
        <f>'R-1'!J28</f>
        <v>0</v>
      </c>
      <c r="R28" s="615">
        <f>ROUND(G28*'lead 2025-26'!$K$26,0)</f>
        <v>0</v>
      </c>
      <c r="S28" s="637">
        <f>ROUND(H28*('lead 2025-26'!$K$16-'lead 2025-26'!$G$16),0)</f>
        <v>0</v>
      </c>
      <c r="T28" s="637">
        <f>ROUND(I28*('lead 2025-26'!$K$12-'lead 2025-26'!$G$12),0)</f>
        <v>0</v>
      </c>
      <c r="U28" s="637">
        <f>ROUND(J28*('lead 2025-26'!$K$13-'lead 2025-26'!$G$13),0)</f>
        <v>0</v>
      </c>
    </row>
    <row r="29" spans="1:22" s="615" customFormat="1" ht="25.5" customHeight="1">
      <c r="A29" s="614">
        <v>3</v>
      </c>
      <c r="B29" s="616" t="s">
        <v>1116</v>
      </c>
      <c r="C29" s="617">
        <f>'R-1'!I29</f>
        <v>0</v>
      </c>
      <c r="D29" s="618" t="s">
        <v>655</v>
      </c>
      <c r="E29" s="622"/>
      <c r="F29" s="97"/>
      <c r="G29" s="623">
        <f>ROUND(C29*403/1000,2)</f>
        <v>0</v>
      </c>
      <c r="H29" s="624"/>
      <c r="I29" s="624">
        <f>ROUND(C29*0.594,2)</f>
        <v>0</v>
      </c>
      <c r="J29" s="624">
        <f>ROUND(C29*0.306,2)</f>
        <v>0</v>
      </c>
      <c r="K29" s="624">
        <f>ROUND(C29*0.45,2)</f>
        <v>0</v>
      </c>
      <c r="L29" s="74"/>
      <c r="M29" s="621">
        <f>ROUND(K29*'input data'!$F$19,0)</f>
        <v>0</v>
      </c>
      <c r="N29" s="621"/>
      <c r="O29" s="621">
        <f>Q29-M29-P29-R29-S29-T29-U29</f>
        <v>0</v>
      </c>
      <c r="P29" s="621">
        <f>ROUND((H29+I29+J29)*'lead 2025-26'!$G$16,0)</f>
        <v>0</v>
      </c>
      <c r="Q29" s="637">
        <f>'R-1'!J29</f>
        <v>0</v>
      </c>
      <c r="R29" s="615">
        <f>ROUND(G29*'lead 2025-26'!$K$26,0)</f>
        <v>0</v>
      </c>
      <c r="S29" s="637">
        <f>ROUND(H29*('lead 2025-26'!$K$16-'lead 2025-26'!$G$16),0)</f>
        <v>0</v>
      </c>
      <c r="T29" s="637">
        <f>ROUND(I29*('lead 2025-26'!$K$12-'lead 2025-26'!$G$12),0)</f>
        <v>0</v>
      </c>
      <c r="U29" s="637">
        <f>ROUND(J29*('lead 2025-26'!$K$13-'lead 2025-26'!$G$13),0)</f>
        <v>0</v>
      </c>
    </row>
    <row r="30" spans="1:22" s="615" customFormat="1" ht="25.5" customHeight="1">
      <c r="A30" s="614">
        <v>3</v>
      </c>
      <c r="B30" s="616" t="s">
        <v>1117</v>
      </c>
      <c r="C30" s="617">
        <f>'R-1'!I30</f>
        <v>0</v>
      </c>
      <c r="D30" s="618" t="s">
        <v>45</v>
      </c>
      <c r="E30" s="622"/>
      <c r="F30" s="97"/>
      <c r="G30" s="623"/>
      <c r="H30" s="624"/>
      <c r="I30" s="624"/>
      <c r="J30" s="624"/>
      <c r="K30" s="624"/>
      <c r="L30" s="74"/>
      <c r="M30" s="621"/>
      <c r="N30" s="621"/>
      <c r="O30" s="621">
        <f>'R-1'!J30</f>
        <v>0</v>
      </c>
      <c r="P30" s="621">
        <f>ROUND((H30+I30+J30)*'lead 2025-26'!$G$16,0)</f>
        <v>0</v>
      </c>
      <c r="Q30" s="637"/>
      <c r="R30" s="615">
        <f>ROUND(G30*5400,0)</f>
        <v>0</v>
      </c>
      <c r="S30" s="637">
        <f>ROUND(K30*'lead 2025-26'!$H$9,0)</f>
        <v>0</v>
      </c>
      <c r="T30" s="637"/>
    </row>
    <row r="31" spans="1:22" s="615" customFormat="1" ht="25.5" customHeight="1">
      <c r="A31" s="614">
        <v>3</v>
      </c>
      <c r="B31" s="616" t="s">
        <v>665</v>
      </c>
      <c r="C31" s="617">
        <f>'R-1'!I31</f>
        <v>0</v>
      </c>
      <c r="D31" s="618" t="s">
        <v>655</v>
      </c>
      <c r="E31" s="622"/>
      <c r="F31" s="97"/>
      <c r="G31" s="623"/>
      <c r="H31" s="624"/>
      <c r="I31" s="624"/>
      <c r="J31" s="624"/>
      <c r="K31" s="624"/>
      <c r="L31" s="74"/>
      <c r="M31" s="621"/>
      <c r="N31" s="621"/>
      <c r="O31" s="621">
        <f>'R-1'!J31</f>
        <v>0</v>
      </c>
      <c r="P31" s="621">
        <f>ROUND((H31+I31+J31)*'lead 2025-26'!$G$16,0)</f>
        <v>0</v>
      </c>
      <c r="Q31" s="637"/>
      <c r="R31" s="615">
        <f>ROUND(G31*5400,0)</f>
        <v>0</v>
      </c>
      <c r="S31" s="637">
        <f>ROUND(K31*'lead 2025-26'!$H$9,0)</f>
        <v>0</v>
      </c>
      <c r="T31" s="637"/>
    </row>
    <row r="32" spans="1:22" s="615" customFormat="1" ht="25.5" customHeight="1">
      <c r="A32" s="614">
        <v>8</v>
      </c>
      <c r="B32" s="616" t="s">
        <v>657</v>
      </c>
      <c r="C32" s="617">
        <f>'R-1'!I32</f>
        <v>0</v>
      </c>
      <c r="D32" s="618" t="s">
        <v>655</v>
      </c>
      <c r="E32" s="622"/>
      <c r="F32" s="97"/>
      <c r="G32" s="623">
        <f>ROUND(C32*330/1000,2)</f>
        <v>0</v>
      </c>
      <c r="H32" s="623"/>
      <c r="I32" s="624">
        <f>ROUND(C32*0.594,2)</f>
        <v>0</v>
      </c>
      <c r="J32" s="624">
        <f>ROUND(C32*0.306,2)</f>
        <v>0</v>
      </c>
      <c r="K32" s="624">
        <f>ROUND(C32*0.45,2)</f>
        <v>0</v>
      </c>
      <c r="L32" s="74"/>
      <c r="M32" s="621">
        <f>ROUND(K32*'input data'!$F$19,0)</f>
        <v>0</v>
      </c>
      <c r="N32" s="621"/>
      <c r="O32" s="621">
        <f>Q32-M32-P32-R32-S32-T32-U32</f>
        <v>0</v>
      </c>
      <c r="P32" s="621">
        <f>ROUND((H32+I32+J32)*'lead 2025-26'!$G$16,0)</f>
        <v>0</v>
      </c>
      <c r="Q32" s="637">
        <f>'R-1'!J32</f>
        <v>0</v>
      </c>
      <c r="R32" s="615">
        <f>ROUND(G32*'lead 2025-26'!$K$26,0)</f>
        <v>0</v>
      </c>
      <c r="S32" s="637">
        <f>ROUND(H32*('lead 2025-26'!$K$16-'lead 2025-26'!$G$16),0)</f>
        <v>0</v>
      </c>
      <c r="T32" s="637">
        <f>ROUND(I32*('lead 2025-26'!$K$12-'lead 2025-26'!$G$12),0)</f>
        <v>0</v>
      </c>
      <c r="U32" s="637">
        <f>ROUND(J32*('lead 2025-26'!$K$13-'lead 2025-26'!$G$13),0)</f>
        <v>0</v>
      </c>
    </row>
    <row r="33" spans="1:22" s="615" customFormat="1" ht="25.5" customHeight="1">
      <c r="A33" s="614"/>
      <c r="B33" s="616" t="s">
        <v>904</v>
      </c>
      <c r="C33" s="617"/>
      <c r="D33" s="618"/>
      <c r="E33" s="619"/>
      <c r="F33" s="97"/>
      <c r="G33" s="621"/>
      <c r="H33" s="621"/>
      <c r="I33" s="614"/>
      <c r="J33" s="614"/>
      <c r="K33" s="614"/>
      <c r="L33" s="74"/>
      <c r="M33" s="614"/>
      <c r="N33" s="614"/>
      <c r="O33" s="74"/>
      <c r="P33" s="614"/>
      <c r="Q33" s="637"/>
      <c r="S33" s="637"/>
      <c r="T33" s="637"/>
    </row>
    <row r="34" spans="1:22" s="615" customFormat="1" ht="25.5" customHeight="1">
      <c r="A34" s="614">
        <v>1</v>
      </c>
      <c r="B34" s="616" t="s">
        <v>654</v>
      </c>
      <c r="C34" s="617">
        <f>'R-1'!I34</f>
        <v>78.239999999999995</v>
      </c>
      <c r="D34" s="618" t="s">
        <v>655</v>
      </c>
      <c r="E34" s="619"/>
      <c r="F34" s="620">
        <v>0</v>
      </c>
      <c r="G34" s="621">
        <v>0</v>
      </c>
      <c r="H34" s="621"/>
      <c r="I34" s="614">
        <v>0</v>
      </c>
      <c r="J34" s="614">
        <v>0</v>
      </c>
      <c r="K34" s="614"/>
      <c r="L34" s="614">
        <v>0</v>
      </c>
      <c r="M34" s="614"/>
      <c r="N34" s="614"/>
      <c r="O34" s="74">
        <f>'R-1'!F34</f>
        <v>9912</v>
      </c>
      <c r="P34" s="614">
        <v>0</v>
      </c>
      <c r="S34" s="637"/>
      <c r="T34" s="637"/>
    </row>
    <row r="35" spans="1:22" s="615" customFormat="1" ht="25.5" customHeight="1">
      <c r="A35" s="614">
        <v>2</v>
      </c>
      <c r="B35" s="616" t="s">
        <v>1114</v>
      </c>
      <c r="C35" s="617">
        <f>'R-1'!I35</f>
        <v>17.53</v>
      </c>
      <c r="D35" s="618" t="s">
        <v>655</v>
      </c>
      <c r="E35" s="622"/>
      <c r="F35" s="97"/>
      <c r="G35" s="623">
        <f>ROUND(C35*220/1000,2)</f>
        <v>3.86</v>
      </c>
      <c r="H35" s="624">
        <f>ROUND(C35*0.9,2)</f>
        <v>15.78</v>
      </c>
      <c r="I35" s="624"/>
      <c r="J35" s="624"/>
      <c r="K35" s="624">
        <f>ROUND(C35*0.45,2)</f>
        <v>7.89</v>
      </c>
      <c r="L35" s="74"/>
      <c r="M35" s="621">
        <f>ROUND(K35*'lead 2025-26'!$G$9,0)</f>
        <v>10156</v>
      </c>
      <c r="N35" s="621"/>
      <c r="O35" s="621">
        <f>Q35-M35-P35-R35-S35-T35-U35</f>
        <v>34973</v>
      </c>
      <c r="P35" s="621">
        <f>ROUND((H35)*'lead 2025-26'!$G$16,0)</f>
        <v>20478</v>
      </c>
      <c r="Q35" s="637">
        <f>'R-1'!J35</f>
        <v>98185</v>
      </c>
      <c r="R35" s="615">
        <f>ROUND(G35*'lead 2025-26'!$K$26,0)</f>
        <v>16285</v>
      </c>
      <c r="S35" s="637">
        <f>ROUND(H35*('lead 2025-26'!$K$16-'lead 2025-26'!$G$16),0)</f>
        <v>16293</v>
      </c>
      <c r="T35" s="637">
        <f>ROUND(I35*('lead 2025-26'!$K$12-'lead 2025-26'!$G$12),0)</f>
        <v>0</v>
      </c>
      <c r="U35" s="637">
        <f>ROUND(J35*('lead 2025-26'!$K$13-'lead 2025-26'!$G$13),0)</f>
        <v>0</v>
      </c>
      <c r="V35" s="637"/>
    </row>
    <row r="36" spans="1:22" s="615" customFormat="1" ht="25.5" customHeight="1">
      <c r="A36" s="614">
        <v>4</v>
      </c>
      <c r="B36" s="616" t="s">
        <v>1115</v>
      </c>
      <c r="C36" s="617">
        <f>'R-1'!I36</f>
        <v>22.5</v>
      </c>
      <c r="D36" s="618" t="s">
        <v>612</v>
      </c>
      <c r="E36" s="622"/>
      <c r="F36" s="97"/>
      <c r="G36" s="623"/>
      <c r="H36" s="624"/>
      <c r="I36" s="624"/>
      <c r="J36" s="624"/>
      <c r="K36" s="624"/>
      <c r="L36" s="74"/>
      <c r="M36" s="621"/>
      <c r="N36" s="621">
        <f>'R-1'!J36</f>
        <v>202641</v>
      </c>
      <c r="P36" s="621">
        <f>ROUND((I36*'lead 2025-26'!$G$16)+(J36*'lead 2025-26'!$G$16),0)</f>
        <v>0</v>
      </c>
      <c r="R36" s="615">
        <f>ROUND(G36*5400,0)</f>
        <v>0</v>
      </c>
      <c r="S36" s="637"/>
      <c r="T36" s="637"/>
    </row>
    <row r="37" spans="1:22" s="615" customFormat="1" ht="25.5" customHeight="1">
      <c r="A37" s="614">
        <v>3</v>
      </c>
      <c r="B37" s="616" t="s">
        <v>664</v>
      </c>
      <c r="C37" s="617">
        <f>'R-1'!I37</f>
        <v>41.489999999999995</v>
      </c>
      <c r="D37" s="618" t="s">
        <v>655</v>
      </c>
      <c r="E37" s="622"/>
      <c r="F37" s="97"/>
      <c r="G37" s="623">
        <f>ROUND(C37*275/1000,2)</f>
        <v>11.41</v>
      </c>
      <c r="H37" s="624">
        <f>ROUND(C37*0.48,2)</f>
        <v>19.920000000000002</v>
      </c>
      <c r="I37" s="624">
        <f>ROUND(C37*0.24,2)</f>
        <v>9.9600000000000009</v>
      </c>
      <c r="J37" s="624">
        <f>ROUND(C37*0.08,2)</f>
        <v>3.32</v>
      </c>
      <c r="K37" s="624">
        <f>ROUND(C37*0.48,2)</f>
        <v>19.920000000000002</v>
      </c>
      <c r="L37" s="74"/>
      <c r="M37" s="621">
        <f>ROUND(K37*'input data'!$F$19,0)</f>
        <v>25641</v>
      </c>
      <c r="N37" s="621"/>
      <c r="O37" s="621">
        <f>Q37-M37-P37-R37-S37-T37-U37</f>
        <v>88448</v>
      </c>
      <c r="P37" s="621">
        <f>ROUND((H37+I37+J37)*'lead 2025-26'!$G$16,0)</f>
        <v>43085</v>
      </c>
      <c r="Q37" s="637">
        <f>'R-1'!J37</f>
        <v>247055</v>
      </c>
      <c r="R37" s="615">
        <f>ROUND(G37*'lead 2025-26'!$K$26,0)</f>
        <v>48137</v>
      </c>
      <c r="S37" s="637">
        <f>ROUND(H37*('lead 2025-26'!$K$16-'lead 2025-26'!$G$16),0)</f>
        <v>20567</v>
      </c>
      <c r="T37" s="637">
        <f>ROUND(I37*('lead 2025-26'!$K$12-'lead 2025-26'!$G$12),0)</f>
        <v>16695</v>
      </c>
      <c r="U37" s="637">
        <f>ROUND(J37*('lead 2025-26'!$K$13-'lead 2025-26'!$G$13),0)</f>
        <v>4482</v>
      </c>
    </row>
    <row r="38" spans="1:22" s="615" customFormat="1" ht="25.5" customHeight="1">
      <c r="A38" s="614">
        <v>3</v>
      </c>
      <c r="B38" s="616" t="s">
        <v>1116</v>
      </c>
      <c r="C38" s="617">
        <f>'R-1'!I38</f>
        <v>0</v>
      </c>
      <c r="D38" s="618" t="s">
        <v>655</v>
      </c>
      <c r="E38" s="622"/>
      <c r="F38" s="97"/>
      <c r="G38" s="623">
        <f>ROUND(C38*403/1000,2)</f>
        <v>0</v>
      </c>
      <c r="H38" s="624"/>
      <c r="I38" s="624">
        <f>ROUND(C38*0.594,2)</f>
        <v>0</v>
      </c>
      <c r="J38" s="624">
        <f>ROUND(C38*0.306,2)</f>
        <v>0</v>
      </c>
      <c r="K38" s="624">
        <f>ROUND(C38*0.45,2)</f>
        <v>0</v>
      </c>
      <c r="L38" s="74"/>
      <c r="M38" s="621">
        <f>ROUND(K38*'input data'!$F$19,0)</f>
        <v>0</v>
      </c>
      <c r="N38" s="621"/>
      <c r="O38" s="621">
        <f>Q38-M38-P38-R38-S38-T38-U38</f>
        <v>0</v>
      </c>
      <c r="P38" s="621">
        <f>ROUND((H38+I38+J38)*'lead 2025-26'!$G$16,0)</f>
        <v>0</v>
      </c>
      <c r="Q38" s="637">
        <f>'R-1'!J38</f>
        <v>0</v>
      </c>
      <c r="R38" s="615">
        <f>ROUND(G38*'lead 2025-26'!$K$26,0)</f>
        <v>0</v>
      </c>
      <c r="S38" s="637">
        <f>ROUND(H38*('lead 2025-26'!$K$16-'lead 2025-26'!$G$16),0)</f>
        <v>0</v>
      </c>
      <c r="T38" s="637">
        <f>ROUND(I38*('lead 2025-26'!$K$12-'lead 2025-26'!$G$12),0)</f>
        <v>0</v>
      </c>
      <c r="U38" s="637">
        <f>ROUND(J38*('lead 2025-26'!$K$13-'lead 2025-26'!$G$13),0)</f>
        <v>0</v>
      </c>
    </row>
    <row r="39" spans="1:22" s="615" customFormat="1" ht="25.5" customHeight="1">
      <c r="A39" s="614">
        <v>3</v>
      </c>
      <c r="B39" s="616" t="s">
        <v>1117</v>
      </c>
      <c r="C39" s="617">
        <f>'R-1'!I39</f>
        <v>0</v>
      </c>
      <c r="D39" s="618" t="s">
        <v>45</v>
      </c>
      <c r="E39" s="622"/>
      <c r="F39" s="97"/>
      <c r="G39" s="623"/>
      <c r="H39" s="624"/>
      <c r="I39" s="624"/>
      <c r="J39" s="624"/>
      <c r="K39" s="624"/>
      <c r="L39" s="74"/>
      <c r="M39" s="621"/>
      <c r="N39" s="621"/>
      <c r="O39" s="621">
        <f>'R-1'!J39</f>
        <v>0</v>
      </c>
      <c r="P39" s="621">
        <f>ROUND((H39+I39+J39)*'lead 2025-26'!$G$16,0)</f>
        <v>0</v>
      </c>
      <c r="Q39" s="637"/>
      <c r="R39" s="615">
        <f>ROUND(G39*5400,0)</f>
        <v>0</v>
      </c>
      <c r="S39" s="637">
        <f>ROUND(K39*'lead 2025-26'!$H$9,0)</f>
        <v>0</v>
      </c>
      <c r="T39" s="637"/>
    </row>
    <row r="40" spans="1:22" s="615" customFormat="1" ht="25.5" customHeight="1">
      <c r="A40" s="614">
        <v>3</v>
      </c>
      <c r="B40" s="616" t="s">
        <v>665</v>
      </c>
      <c r="C40" s="617">
        <f>'R-1'!I40</f>
        <v>40.700000000000003</v>
      </c>
      <c r="D40" s="618" t="s">
        <v>655</v>
      </c>
      <c r="E40" s="622"/>
      <c r="F40" s="97"/>
      <c r="G40" s="623"/>
      <c r="H40" s="624"/>
      <c r="I40" s="624"/>
      <c r="J40" s="624"/>
      <c r="K40" s="624"/>
      <c r="L40" s="74"/>
      <c r="M40" s="621"/>
      <c r="N40" s="621"/>
      <c r="O40" s="621">
        <f>'R-1'!J40</f>
        <v>11387</v>
      </c>
      <c r="P40" s="621">
        <f>ROUND((H40+I40+J40)*'lead 2025-26'!$G$16,0)</f>
        <v>0</v>
      </c>
      <c r="Q40" s="637"/>
      <c r="R40" s="615">
        <f>ROUND(G40*5400,0)</f>
        <v>0</v>
      </c>
      <c r="S40" s="637">
        <f>ROUND(K40*'lead 2025-26'!$H$9,0)</f>
        <v>0</v>
      </c>
      <c r="T40" s="637"/>
    </row>
    <row r="41" spans="1:22" s="615" customFormat="1" ht="25.5" customHeight="1">
      <c r="A41" s="614">
        <v>8</v>
      </c>
      <c r="B41" s="616" t="s">
        <v>657</v>
      </c>
      <c r="C41" s="617">
        <f>'R-1'!I41</f>
        <v>0</v>
      </c>
      <c r="D41" s="618" t="s">
        <v>655</v>
      </c>
      <c r="E41" s="622"/>
      <c r="F41" s="97"/>
      <c r="G41" s="623">
        <f>ROUND(C41*330/1000,2)</f>
        <v>0</v>
      </c>
      <c r="H41" s="623"/>
      <c r="I41" s="624">
        <f>ROUND(C41*0.594,2)</f>
        <v>0</v>
      </c>
      <c r="J41" s="624">
        <f>ROUND(C41*0.306,2)</f>
        <v>0</v>
      </c>
      <c r="K41" s="624">
        <f>ROUND(C41*0.45,2)</f>
        <v>0</v>
      </c>
      <c r="L41" s="74"/>
      <c r="M41" s="621">
        <f>ROUND(K41*'input data'!$F$19,0)</f>
        <v>0</v>
      </c>
      <c r="N41" s="621"/>
      <c r="O41" s="621">
        <f>Q41-M41-P41-R41-S41-T41-U41</f>
        <v>0</v>
      </c>
      <c r="P41" s="621">
        <f>ROUND((H41+I41+J41)*'lead 2025-26'!$G$16,0)</f>
        <v>0</v>
      </c>
      <c r="Q41" s="637">
        <f>'R-1'!J41</f>
        <v>0</v>
      </c>
      <c r="R41" s="615">
        <f>ROUND(G41*'lead 2025-26'!$K$26,0)</f>
        <v>0</v>
      </c>
      <c r="S41" s="637">
        <f>ROUND(H41*('lead 2025-26'!$K$16-'lead 2025-26'!$G$16),0)</f>
        <v>0</v>
      </c>
      <c r="T41" s="637">
        <f>ROUND(I41*('lead 2025-26'!$K$12-'lead 2025-26'!$G$12),0)</f>
        <v>0</v>
      </c>
      <c r="U41" s="637">
        <f>ROUND(J41*('lead 2025-26'!$K$13-'lead 2025-26'!$G$13),0)</f>
        <v>0</v>
      </c>
    </row>
    <row r="42" spans="1:22" s="615" customFormat="1" ht="25.5" customHeight="1">
      <c r="A42" s="614"/>
      <c r="B42" s="616" t="s">
        <v>904</v>
      </c>
      <c r="C42" s="617"/>
      <c r="D42" s="618"/>
      <c r="E42" s="619"/>
      <c r="F42" s="97"/>
      <c r="G42" s="621"/>
      <c r="H42" s="621"/>
      <c r="I42" s="614"/>
      <c r="J42" s="614"/>
      <c r="K42" s="614"/>
      <c r="L42" s="74"/>
      <c r="M42" s="614"/>
      <c r="N42" s="614"/>
      <c r="O42" s="74"/>
      <c r="P42" s="614"/>
      <c r="Q42" s="637"/>
      <c r="S42" s="637"/>
      <c r="T42" s="637"/>
    </row>
    <row r="43" spans="1:22" s="615" customFormat="1" ht="25.5" customHeight="1">
      <c r="A43" s="614">
        <v>1</v>
      </c>
      <c r="B43" s="616" t="s">
        <v>654</v>
      </c>
      <c r="C43" s="617">
        <f>'R-1'!I43</f>
        <v>0</v>
      </c>
      <c r="D43" s="618" t="s">
        <v>655</v>
      </c>
      <c r="E43" s="619"/>
      <c r="F43" s="620">
        <v>0</v>
      </c>
      <c r="G43" s="621">
        <v>0</v>
      </c>
      <c r="H43" s="621"/>
      <c r="I43" s="614">
        <v>0</v>
      </c>
      <c r="J43" s="614">
        <v>0</v>
      </c>
      <c r="K43" s="614"/>
      <c r="L43" s="614">
        <v>0</v>
      </c>
      <c r="M43" s="614"/>
      <c r="N43" s="614"/>
      <c r="O43" s="74">
        <f>'R-1'!F43</f>
        <v>0</v>
      </c>
      <c r="P43" s="614">
        <v>0</v>
      </c>
      <c r="S43" s="637"/>
      <c r="T43" s="637"/>
    </row>
    <row r="44" spans="1:22" s="615" customFormat="1" ht="25.5" customHeight="1">
      <c r="A44" s="614">
        <v>2</v>
      </c>
      <c r="B44" s="616" t="s">
        <v>1114</v>
      </c>
      <c r="C44" s="617">
        <f>'R-1'!I44</f>
        <v>0</v>
      </c>
      <c r="D44" s="618" t="s">
        <v>655</v>
      </c>
      <c r="E44" s="622"/>
      <c r="F44" s="97"/>
      <c r="G44" s="623">
        <f>ROUND(C44*220/1000,2)</f>
        <v>0</v>
      </c>
      <c r="H44" s="624">
        <f>ROUND(C44*0.9,2)</f>
        <v>0</v>
      </c>
      <c r="I44" s="624"/>
      <c r="J44" s="624"/>
      <c r="K44" s="624">
        <f>ROUND(C44*0.45,2)</f>
        <v>0</v>
      </c>
      <c r="L44" s="74"/>
      <c r="M44" s="621">
        <f>ROUND(K44*'lead 2025-26'!$G$9,0)</f>
        <v>0</v>
      </c>
      <c r="N44" s="621"/>
      <c r="O44" s="621">
        <f>Q44-M44-P44-R44-S44-T44-U44</f>
        <v>0</v>
      </c>
      <c r="P44" s="621">
        <f>ROUND((H44)*'lead 2025-26'!$G$16,0)</f>
        <v>0</v>
      </c>
      <c r="Q44" s="637">
        <f>'R-1'!J44</f>
        <v>0</v>
      </c>
      <c r="R44" s="615">
        <f>ROUND(G44*'lead 2025-26'!$K$26,0)</f>
        <v>0</v>
      </c>
      <c r="S44" s="637">
        <f>ROUND(H44*('lead 2025-26'!$K$16-'lead 2025-26'!$G$16),0)</f>
        <v>0</v>
      </c>
      <c r="T44" s="637">
        <f>ROUND(I44*('lead 2025-26'!$K$12-'lead 2025-26'!$G$12),0)</f>
        <v>0</v>
      </c>
      <c r="U44" s="637">
        <f>ROUND(J44*('lead 2025-26'!$K$13-'lead 2025-26'!$G$13),0)</f>
        <v>0</v>
      </c>
      <c r="V44" s="637"/>
    </row>
    <row r="45" spans="1:22" s="615" customFormat="1" ht="25.5" customHeight="1">
      <c r="A45" s="614">
        <v>4</v>
      </c>
      <c r="B45" s="616" t="s">
        <v>1115</v>
      </c>
      <c r="C45" s="617">
        <f>'R-1'!I45</f>
        <v>0</v>
      </c>
      <c r="D45" s="618" t="s">
        <v>612</v>
      </c>
      <c r="E45" s="622"/>
      <c r="F45" s="97"/>
      <c r="G45" s="623"/>
      <c r="H45" s="624"/>
      <c r="I45" s="624"/>
      <c r="J45" s="624"/>
      <c r="K45" s="624"/>
      <c r="L45" s="74"/>
      <c r="M45" s="621"/>
      <c r="N45" s="621">
        <f>'R-1'!J45</f>
        <v>0</v>
      </c>
      <c r="O45" s="621"/>
      <c r="P45" s="621">
        <f>ROUND((I45*'lead 2025-26'!$G$16)+(J45*'lead 2025-26'!$G$16),0)</f>
        <v>0</v>
      </c>
      <c r="R45" s="615">
        <f>ROUND(G45*5400,0)</f>
        <v>0</v>
      </c>
      <c r="S45" s="637"/>
      <c r="T45" s="637"/>
    </row>
    <row r="46" spans="1:22" s="615" customFormat="1" ht="25.5" customHeight="1">
      <c r="A46" s="614">
        <v>3</v>
      </c>
      <c r="B46" s="616" t="s">
        <v>664</v>
      </c>
      <c r="C46" s="617">
        <f>'R-1'!I46</f>
        <v>0</v>
      </c>
      <c r="D46" s="618" t="s">
        <v>655</v>
      </c>
      <c r="E46" s="622"/>
      <c r="F46" s="97"/>
      <c r="G46" s="623">
        <f>ROUND(C46*275/1000,2)</f>
        <v>0</v>
      </c>
      <c r="H46" s="624">
        <f>ROUND(C46*0.48,2)</f>
        <v>0</v>
      </c>
      <c r="I46" s="624">
        <f>ROUND(C46*0.24,2)</f>
        <v>0</v>
      </c>
      <c r="J46" s="624">
        <f>ROUND(C46*0.08,2)</f>
        <v>0</v>
      </c>
      <c r="K46" s="624">
        <f>ROUND(C46*0.48,2)</f>
        <v>0</v>
      </c>
      <c r="L46" s="74"/>
      <c r="M46" s="621">
        <f>ROUND(K46*'input data'!$F$19,0)</f>
        <v>0</v>
      </c>
      <c r="N46" s="621"/>
      <c r="O46" s="621">
        <f>Q46-M46-P46-R46-S46-T46-U46</f>
        <v>0</v>
      </c>
      <c r="P46" s="621">
        <f>ROUND((H46+I46+J46)*'lead 2025-26'!$G$16,0)</f>
        <v>0</v>
      </c>
      <c r="Q46" s="637">
        <f>'R-1'!J46</f>
        <v>0</v>
      </c>
      <c r="R46" s="615">
        <f>ROUND(G46*'lead 2025-26'!$K$26,0)</f>
        <v>0</v>
      </c>
      <c r="S46" s="637">
        <f>ROUND(H46*('lead 2025-26'!$K$16-'lead 2025-26'!$G$16),0)</f>
        <v>0</v>
      </c>
      <c r="T46" s="637">
        <f>ROUND(I46*('lead 2025-26'!$K$12-'lead 2025-26'!$G$12),0)</f>
        <v>0</v>
      </c>
      <c r="U46" s="637">
        <f>ROUND(J46*('lead 2025-26'!$K$13-'lead 2025-26'!$G$13),0)</f>
        <v>0</v>
      </c>
    </row>
    <row r="47" spans="1:22" s="615" customFormat="1" ht="25.5" customHeight="1">
      <c r="A47" s="614">
        <v>3</v>
      </c>
      <c r="B47" s="616" t="s">
        <v>1116</v>
      </c>
      <c r="C47" s="617">
        <f>'R-1'!I47</f>
        <v>0</v>
      </c>
      <c r="D47" s="618" t="s">
        <v>655</v>
      </c>
      <c r="E47" s="622"/>
      <c r="F47" s="97"/>
      <c r="G47" s="623">
        <f>ROUND(C47*403/1000,2)</f>
        <v>0</v>
      </c>
      <c r="H47" s="624"/>
      <c r="I47" s="624">
        <f>ROUND(C47*0.594,2)</f>
        <v>0</v>
      </c>
      <c r="J47" s="624">
        <f>ROUND(C47*0.306,2)</f>
        <v>0</v>
      </c>
      <c r="K47" s="624">
        <f>ROUND(C47*0.45,2)</f>
        <v>0</v>
      </c>
      <c r="L47" s="74"/>
      <c r="M47" s="621">
        <f>ROUND(K47*'input data'!$F$19,0)</f>
        <v>0</v>
      </c>
      <c r="N47" s="621"/>
      <c r="O47" s="621">
        <f>Q47-M47-P47-R47-S47-T47-U47</f>
        <v>0</v>
      </c>
      <c r="P47" s="621">
        <f>ROUND((H47+I47+J47)*'lead 2025-26'!$G$16,0)</f>
        <v>0</v>
      </c>
      <c r="Q47" s="637">
        <f>'R-1'!J47</f>
        <v>0</v>
      </c>
      <c r="R47" s="615">
        <f>ROUND(G47*'lead 2025-26'!$K$26,0)</f>
        <v>0</v>
      </c>
      <c r="S47" s="637">
        <f>ROUND(H47*('lead 2025-26'!$K$16-'lead 2025-26'!$G$16),0)</f>
        <v>0</v>
      </c>
      <c r="T47" s="637">
        <f>ROUND(I47*('lead 2025-26'!$K$12-'lead 2025-26'!$G$12),0)</f>
        <v>0</v>
      </c>
      <c r="U47" s="637">
        <f>ROUND(J47*('lead 2025-26'!$K$13-'lead 2025-26'!$G$13),0)</f>
        <v>0</v>
      </c>
    </row>
    <row r="48" spans="1:22" s="615" customFormat="1" ht="25.5" customHeight="1">
      <c r="A48" s="614">
        <v>3</v>
      </c>
      <c r="B48" s="616" t="s">
        <v>1117</v>
      </c>
      <c r="C48" s="617">
        <f>'R-1'!I48</f>
        <v>0</v>
      </c>
      <c r="D48" s="618" t="s">
        <v>45</v>
      </c>
      <c r="E48" s="622"/>
      <c r="F48" s="97"/>
      <c r="G48" s="623"/>
      <c r="H48" s="624"/>
      <c r="I48" s="624"/>
      <c r="J48" s="624"/>
      <c r="K48" s="624"/>
      <c r="L48" s="74"/>
      <c r="M48" s="621"/>
      <c r="N48" s="621"/>
      <c r="O48" s="621">
        <f>'R-1'!J48</f>
        <v>0</v>
      </c>
      <c r="P48" s="621">
        <f>ROUND((H48+I48+J48)*'lead 2025-26'!$G$16,0)</f>
        <v>0</v>
      </c>
      <c r="Q48" s="637"/>
      <c r="R48" s="615">
        <f>ROUND(G48*5400,0)</f>
        <v>0</v>
      </c>
      <c r="S48" s="637">
        <f>ROUND(K48*'lead 2025-26'!$H$9,0)</f>
        <v>0</v>
      </c>
      <c r="T48" s="637"/>
    </row>
    <row r="49" spans="1:22" s="615" customFormat="1" ht="25.5" customHeight="1">
      <c r="A49" s="614">
        <v>3</v>
      </c>
      <c r="B49" s="616" t="s">
        <v>665</v>
      </c>
      <c r="C49" s="617">
        <f>'R-1'!I49</f>
        <v>0</v>
      </c>
      <c r="D49" s="618" t="s">
        <v>655</v>
      </c>
      <c r="E49" s="622"/>
      <c r="F49" s="97"/>
      <c r="G49" s="623"/>
      <c r="H49" s="624"/>
      <c r="I49" s="624"/>
      <c r="J49" s="624"/>
      <c r="K49" s="624"/>
      <c r="L49" s="74"/>
      <c r="M49" s="621"/>
      <c r="N49" s="621"/>
      <c r="O49" s="621">
        <f>'R-1'!J49</f>
        <v>0</v>
      </c>
      <c r="P49" s="621">
        <f>ROUND((H49+I49+J49)*'lead 2025-26'!$G$16,0)</f>
        <v>0</v>
      </c>
      <c r="Q49" s="637"/>
      <c r="R49" s="615">
        <f>ROUND(G49*5400,0)</f>
        <v>0</v>
      </c>
      <c r="S49" s="637">
        <f>ROUND(K49*'lead 2025-26'!$H$9,0)</f>
        <v>0</v>
      </c>
      <c r="T49" s="637"/>
    </row>
    <row r="50" spans="1:22" s="615" customFormat="1" ht="25.5" customHeight="1">
      <c r="A50" s="614">
        <v>8</v>
      </c>
      <c r="B50" s="616" t="s">
        <v>657</v>
      </c>
      <c r="C50" s="617">
        <f>'R-1'!I50</f>
        <v>0</v>
      </c>
      <c r="D50" s="618" t="s">
        <v>655</v>
      </c>
      <c r="E50" s="622"/>
      <c r="F50" s="97"/>
      <c r="G50" s="623">
        <f>ROUND(C50*330/1000,2)</f>
        <v>0</v>
      </c>
      <c r="H50" s="623"/>
      <c r="I50" s="624">
        <f>ROUND(C50*0.594,2)</f>
        <v>0</v>
      </c>
      <c r="J50" s="624">
        <f>ROUND(C50*0.306,2)</f>
        <v>0</v>
      </c>
      <c r="K50" s="624">
        <f>ROUND(C50*0.45,2)</f>
        <v>0</v>
      </c>
      <c r="L50" s="74"/>
      <c r="M50" s="621">
        <f>ROUND(K50*'input data'!$F$19,0)</f>
        <v>0</v>
      </c>
      <c r="N50" s="621"/>
      <c r="O50" s="621">
        <f>Q50-M50-P50-R50-S50-T50-U50</f>
        <v>0</v>
      </c>
      <c r="P50" s="621">
        <f>ROUND((H50+I50+J50)*'lead 2025-26'!$G$16,0)</f>
        <v>0</v>
      </c>
      <c r="Q50" s="637">
        <f>'R-1'!J50</f>
        <v>0</v>
      </c>
      <c r="R50" s="615">
        <f>ROUND(G50*'lead 2025-26'!$K$26,0)</f>
        <v>0</v>
      </c>
      <c r="S50" s="637">
        <f>ROUND(H50*('lead 2025-26'!$K$16-'lead 2025-26'!$G$16),0)</f>
        <v>0</v>
      </c>
      <c r="T50" s="637">
        <f>ROUND(I50*('lead 2025-26'!$K$12-'lead 2025-26'!$G$12),0)</f>
        <v>0</v>
      </c>
      <c r="U50" s="637">
        <f>ROUND(J50*('lead 2025-26'!$K$13-'lead 2025-26'!$G$13),0)</f>
        <v>0</v>
      </c>
    </row>
    <row r="51" spans="1:22" s="615" customFormat="1" ht="25.5" customHeight="1">
      <c r="A51" s="614"/>
      <c r="B51" s="616" t="s">
        <v>904</v>
      </c>
      <c r="C51" s="617"/>
      <c r="D51" s="618"/>
      <c r="E51" s="619"/>
      <c r="F51" s="97"/>
      <c r="G51" s="621"/>
      <c r="H51" s="621"/>
      <c r="I51" s="614"/>
      <c r="J51" s="614"/>
      <c r="K51" s="614"/>
      <c r="L51" s="74"/>
      <c r="M51" s="614"/>
      <c r="N51" s="614"/>
      <c r="O51" s="74"/>
      <c r="P51" s="614"/>
      <c r="Q51" s="637"/>
      <c r="S51" s="637"/>
      <c r="T51" s="637"/>
    </row>
    <row r="52" spans="1:22" s="615" customFormat="1" ht="25.5" customHeight="1">
      <c r="A52" s="614">
        <v>1</v>
      </c>
      <c r="B52" s="616" t="s">
        <v>654</v>
      </c>
      <c r="C52" s="617">
        <f>'R-1'!I52</f>
        <v>0</v>
      </c>
      <c r="D52" s="618" t="s">
        <v>655</v>
      </c>
      <c r="E52" s="619"/>
      <c r="F52" s="620">
        <v>0</v>
      </c>
      <c r="G52" s="621">
        <v>0</v>
      </c>
      <c r="H52" s="621"/>
      <c r="I52" s="614">
        <v>0</v>
      </c>
      <c r="J52" s="614">
        <v>0</v>
      </c>
      <c r="K52" s="614"/>
      <c r="L52" s="614">
        <v>0</v>
      </c>
      <c r="M52" s="614"/>
      <c r="N52" s="614"/>
      <c r="O52" s="74">
        <f>'R-1'!F52</f>
        <v>0</v>
      </c>
      <c r="P52" s="614">
        <v>0</v>
      </c>
      <c r="S52" s="637"/>
      <c r="T52" s="637"/>
    </row>
    <row r="53" spans="1:22" s="615" customFormat="1" ht="25.5" customHeight="1">
      <c r="A53" s="614">
        <v>2</v>
      </c>
      <c r="B53" s="616" t="s">
        <v>1114</v>
      </c>
      <c r="C53" s="617">
        <f>'R-1'!I53</f>
        <v>0</v>
      </c>
      <c r="D53" s="618" t="s">
        <v>655</v>
      </c>
      <c r="E53" s="622"/>
      <c r="F53" s="97"/>
      <c r="G53" s="623">
        <f>ROUND(C53*220/1000,2)</f>
        <v>0</v>
      </c>
      <c r="H53" s="624">
        <f>ROUND(C53*0.9,2)</f>
        <v>0</v>
      </c>
      <c r="I53" s="624"/>
      <c r="J53" s="624"/>
      <c r="K53" s="624">
        <f>ROUND(C53*0.45,2)</f>
        <v>0</v>
      </c>
      <c r="L53" s="74"/>
      <c r="M53" s="621">
        <f>ROUND(K53*'lead 2025-26'!$G$9,0)</f>
        <v>0</v>
      </c>
      <c r="N53" s="621"/>
      <c r="O53" s="621">
        <f>Q53-M53-P53-R53-S53-T53-U53</f>
        <v>0</v>
      </c>
      <c r="P53" s="621">
        <f>ROUND((H53)*'lead 2025-26'!$G$16,0)</f>
        <v>0</v>
      </c>
      <c r="Q53" s="637">
        <f>'R-1'!J53</f>
        <v>0</v>
      </c>
      <c r="R53" s="615">
        <f>ROUND(G53*'lead 2025-26'!$K$26,0)</f>
        <v>0</v>
      </c>
      <c r="S53" s="637">
        <f>ROUND(H53*('lead 2025-26'!$K$16-'lead 2025-26'!$G$16),0)</f>
        <v>0</v>
      </c>
      <c r="T53" s="637">
        <f>ROUND(I53*('lead 2025-26'!$K$12-'lead 2025-26'!$G$12),0)</f>
        <v>0</v>
      </c>
      <c r="U53" s="637">
        <f>ROUND(J53*('lead 2025-26'!$K$13-'lead 2025-26'!$G$13),0)</f>
        <v>0</v>
      </c>
      <c r="V53" s="637"/>
    </row>
    <row r="54" spans="1:22" s="615" customFormat="1" ht="25.5" customHeight="1">
      <c r="A54" s="614">
        <v>4</v>
      </c>
      <c r="B54" s="616" t="s">
        <v>1118</v>
      </c>
      <c r="C54" s="617">
        <f>'R-1'!I54</f>
        <v>0</v>
      </c>
      <c r="D54" s="618" t="s">
        <v>612</v>
      </c>
      <c r="E54" s="622"/>
      <c r="F54" s="97"/>
      <c r="G54" s="623"/>
      <c r="H54" s="624"/>
      <c r="I54" s="624"/>
      <c r="J54" s="624"/>
      <c r="K54" s="624"/>
      <c r="L54" s="74"/>
      <c r="M54" s="621"/>
      <c r="N54" s="621">
        <f>'R-1'!J54</f>
        <v>0</v>
      </c>
      <c r="O54" s="621"/>
      <c r="P54" s="621">
        <f>ROUND((I54*'lead 2025-26'!$G$16)+(J54*'lead 2025-26'!$G$16),0)</f>
        <v>0</v>
      </c>
      <c r="R54" s="615">
        <f>ROUND(G54*5400,0)</f>
        <v>0</v>
      </c>
      <c r="S54" s="637"/>
      <c r="T54" s="637"/>
    </row>
    <row r="55" spans="1:22" s="615" customFormat="1" ht="25.5" customHeight="1">
      <c r="A55" s="614"/>
      <c r="B55" s="616" t="s">
        <v>904</v>
      </c>
      <c r="C55" s="617"/>
      <c r="D55" s="618"/>
      <c r="E55" s="619"/>
      <c r="F55" s="97"/>
      <c r="G55" s="621"/>
      <c r="H55" s="621"/>
      <c r="I55" s="614"/>
      <c r="J55" s="614"/>
      <c r="K55" s="614"/>
      <c r="L55" s="74"/>
      <c r="M55" s="614"/>
      <c r="N55" s="614"/>
      <c r="O55" s="74"/>
      <c r="P55" s="614"/>
      <c r="Q55" s="637"/>
      <c r="S55" s="637"/>
      <c r="T55" s="637"/>
    </row>
    <row r="56" spans="1:22" s="615" customFormat="1" ht="25.5" customHeight="1">
      <c r="A56" s="614">
        <v>1</v>
      </c>
      <c r="B56" s="616" t="s">
        <v>1119</v>
      </c>
      <c r="C56" s="617">
        <f>'R-1'!I56</f>
        <v>3</v>
      </c>
      <c r="D56" s="618" t="s">
        <v>60</v>
      </c>
      <c r="E56" s="619"/>
      <c r="F56" s="620">
        <v>0</v>
      </c>
      <c r="G56" s="621">
        <v>0</v>
      </c>
      <c r="H56" s="621"/>
      <c r="I56" s="614">
        <v>0</v>
      </c>
      <c r="J56" s="614">
        <v>0</v>
      </c>
      <c r="K56" s="614"/>
      <c r="L56" s="614">
        <v>0</v>
      </c>
      <c r="M56" s="614"/>
      <c r="N56" s="614"/>
      <c r="O56" s="74">
        <f>'R-1'!F56</f>
        <v>9446</v>
      </c>
      <c r="P56" s="614">
        <v>0</v>
      </c>
      <c r="S56" s="637"/>
      <c r="T56" s="637"/>
    </row>
    <row r="57" spans="1:22" s="615" customFormat="1" ht="25.5" customHeight="1">
      <c r="A57" s="614">
        <v>1</v>
      </c>
      <c r="B57" s="616" t="s">
        <v>1120</v>
      </c>
      <c r="C57" s="617">
        <f>'R-1'!I57</f>
        <v>7</v>
      </c>
      <c r="D57" s="618" t="s">
        <v>60</v>
      </c>
      <c r="E57" s="619"/>
      <c r="F57" s="620">
        <v>0</v>
      </c>
      <c r="G57" s="621">
        <v>0</v>
      </c>
      <c r="H57" s="621"/>
      <c r="I57" s="614">
        <v>0</v>
      </c>
      <c r="J57" s="614">
        <v>0</v>
      </c>
      <c r="K57" s="614"/>
      <c r="L57" s="614">
        <v>0</v>
      </c>
      <c r="M57" s="614"/>
      <c r="N57" s="614"/>
      <c r="O57" s="74">
        <f>'R-1'!F57</f>
        <v>6186</v>
      </c>
      <c r="P57" s="614">
        <v>0</v>
      </c>
      <c r="S57" s="637"/>
      <c r="T57" s="637"/>
    </row>
    <row r="58" spans="1:22" s="615" customFormat="1" ht="25.5" customHeight="1">
      <c r="A58" s="614">
        <v>1</v>
      </c>
      <c r="B58" s="616" t="s">
        <v>1064</v>
      </c>
      <c r="C58" s="617">
        <f>'R-1'!I58</f>
        <v>0</v>
      </c>
      <c r="D58" s="618" t="s">
        <v>60</v>
      </c>
      <c r="E58" s="619"/>
      <c r="F58" s="620">
        <v>0</v>
      </c>
      <c r="G58" s="621">
        <v>0</v>
      </c>
      <c r="H58" s="621"/>
      <c r="I58" s="614">
        <v>0</v>
      </c>
      <c r="J58" s="614">
        <v>0</v>
      </c>
      <c r="K58" s="614"/>
      <c r="L58" s="614">
        <v>0</v>
      </c>
      <c r="M58" s="614"/>
      <c r="N58" s="614"/>
      <c r="O58" s="74">
        <f>'R-1'!F58</f>
        <v>0</v>
      </c>
      <c r="P58" s="614">
        <v>0</v>
      </c>
      <c r="S58" s="637"/>
      <c r="T58" s="637"/>
    </row>
    <row r="59" spans="1:22" s="615" customFormat="1" ht="25.5" customHeight="1">
      <c r="A59" s="614">
        <v>1</v>
      </c>
      <c r="B59" s="616" t="s">
        <v>1121</v>
      </c>
      <c r="C59" s="617">
        <f>'R-1'!I59</f>
        <v>0</v>
      </c>
      <c r="D59" s="618" t="s">
        <v>656</v>
      </c>
      <c r="E59" s="619"/>
      <c r="F59" s="620">
        <v>0</v>
      </c>
      <c r="G59" s="621">
        <v>0</v>
      </c>
      <c r="H59" s="621"/>
      <c r="I59" s="614">
        <v>0</v>
      </c>
      <c r="J59" s="614">
        <v>0</v>
      </c>
      <c r="K59" s="614"/>
      <c r="L59" s="614">
        <v>0</v>
      </c>
      <c r="M59" s="614"/>
      <c r="N59" s="614"/>
      <c r="O59" s="74">
        <f>'R-1'!F59</f>
        <v>0</v>
      </c>
      <c r="P59" s="614">
        <v>0</v>
      </c>
      <c r="S59" s="637"/>
      <c r="T59" s="637"/>
    </row>
    <row r="60" spans="1:22" s="615" customFormat="1" ht="25.5" customHeight="1">
      <c r="A60" s="614">
        <v>1</v>
      </c>
      <c r="B60" s="616" t="s">
        <v>1122</v>
      </c>
      <c r="C60" s="617">
        <f>'R-1'!I60</f>
        <v>0</v>
      </c>
      <c r="D60" s="618" t="s">
        <v>656</v>
      </c>
      <c r="E60" s="619"/>
      <c r="F60" s="620">
        <v>0</v>
      </c>
      <c r="G60" s="621">
        <v>0</v>
      </c>
      <c r="H60" s="621"/>
      <c r="I60" s="614">
        <v>0</v>
      </c>
      <c r="J60" s="614">
        <v>0</v>
      </c>
      <c r="K60" s="614"/>
      <c r="L60" s="614">
        <v>0</v>
      </c>
      <c r="M60" s="614"/>
      <c r="N60" s="614"/>
      <c r="O60" s="74">
        <f>'R-1'!F60</f>
        <v>0</v>
      </c>
      <c r="P60" s="614">
        <v>0</v>
      </c>
      <c r="S60" s="637"/>
      <c r="T60" s="637"/>
    </row>
    <row r="61" spans="1:22" s="615" customFormat="1" ht="25.5" customHeight="1">
      <c r="A61" s="614">
        <v>1</v>
      </c>
      <c r="B61" s="616" t="s">
        <v>1123</v>
      </c>
      <c r="C61" s="617">
        <f>'R-1'!I61</f>
        <v>336</v>
      </c>
      <c r="D61" s="618" t="s">
        <v>656</v>
      </c>
      <c r="E61" s="619"/>
      <c r="F61" s="620">
        <v>0</v>
      </c>
      <c r="G61" s="621">
        <v>0</v>
      </c>
      <c r="H61" s="621"/>
      <c r="I61" s="614">
        <v>0</v>
      </c>
      <c r="J61" s="614">
        <v>0</v>
      </c>
      <c r="K61" s="614"/>
      <c r="L61" s="614">
        <v>0</v>
      </c>
      <c r="M61" s="614"/>
      <c r="N61" s="614"/>
      <c r="O61" s="74">
        <f>'R-1'!F61</f>
        <v>213777</v>
      </c>
      <c r="P61" s="614">
        <v>0</v>
      </c>
      <c r="S61" s="637"/>
      <c r="T61" s="637"/>
    </row>
    <row r="62" spans="1:22" s="615" customFormat="1" ht="25.5" customHeight="1">
      <c r="A62" s="614"/>
      <c r="B62" s="625"/>
      <c r="C62" s="617"/>
      <c r="D62" s="618"/>
      <c r="E62" s="622"/>
      <c r="F62" s="74"/>
      <c r="G62" s="74"/>
      <c r="H62" s="74"/>
      <c r="I62" s="74"/>
      <c r="J62" s="74"/>
      <c r="K62" s="74"/>
      <c r="L62" s="74"/>
      <c r="M62" s="74"/>
      <c r="N62" s="74"/>
      <c r="O62" s="621"/>
      <c r="P62" s="74"/>
    </row>
    <row r="63" spans="1:22">
      <c r="A63" s="626"/>
      <c r="B63" s="626"/>
      <c r="C63" s="627" t="s">
        <v>658</v>
      </c>
      <c r="D63" s="628"/>
      <c r="E63" s="629">
        <f t="shared" ref="E63:P63" si="0">SUM(E5:E62)</f>
        <v>0</v>
      </c>
      <c r="F63" s="630">
        <f t="shared" si="0"/>
        <v>672</v>
      </c>
      <c r="G63" s="631">
        <f t="shared" si="0"/>
        <v>15.27</v>
      </c>
      <c r="H63" s="631">
        <f t="shared" si="0"/>
        <v>35.700000000000003</v>
      </c>
      <c r="I63" s="630">
        <f t="shared" si="0"/>
        <v>9.9600000000000009</v>
      </c>
      <c r="J63" s="630">
        <f t="shared" si="0"/>
        <v>3.32</v>
      </c>
      <c r="K63" s="630">
        <f t="shared" si="0"/>
        <v>27.810000000000002</v>
      </c>
      <c r="L63" s="630">
        <f t="shared" si="0"/>
        <v>907.2</v>
      </c>
      <c r="M63" s="629">
        <f t="shared" si="0"/>
        <v>35797</v>
      </c>
      <c r="N63" s="629">
        <f t="shared" si="0"/>
        <v>202641</v>
      </c>
      <c r="O63" s="629">
        <f t="shared" si="0"/>
        <v>5508266</v>
      </c>
      <c r="P63" s="629">
        <f t="shared" si="0"/>
        <v>1993028</v>
      </c>
    </row>
    <row r="64" spans="1:22">
      <c r="A64" s="626"/>
      <c r="B64" s="626"/>
      <c r="C64" s="632"/>
      <c r="D64" s="628"/>
      <c r="E64" s="626"/>
      <c r="F64" s="626"/>
      <c r="G64" s="626"/>
      <c r="H64" s="626"/>
      <c r="I64" s="626"/>
      <c r="J64" s="626"/>
      <c r="K64" s="626"/>
      <c r="L64" s="626"/>
      <c r="M64" s="626"/>
      <c r="N64" s="626"/>
      <c r="O64" s="633"/>
      <c r="P64" s="626"/>
    </row>
    <row r="65" spans="1:16">
      <c r="A65" s="626"/>
      <c r="B65" s="626"/>
      <c r="C65" s="627"/>
      <c r="D65" s="628"/>
      <c r="E65" s="629">
        <f>A.M!H8</f>
        <v>0</v>
      </c>
      <c r="F65" s="630">
        <f>'input data'!E15</f>
        <v>672</v>
      </c>
      <c r="G65" s="630">
        <f>'input data'!E10</f>
        <v>15.27</v>
      </c>
      <c r="H65" s="630">
        <f>'input data'!E12</f>
        <v>35.700000000000003</v>
      </c>
      <c r="I65" s="630">
        <f>'input data'!E13</f>
        <v>9.9600000000000009</v>
      </c>
      <c r="J65" s="630">
        <f>'input data'!E14</f>
        <v>3.32</v>
      </c>
      <c r="K65" s="630">
        <f>'input data'!E11</f>
        <v>27.810000000000002</v>
      </c>
      <c r="L65" s="630">
        <f>'input data'!E16</f>
        <v>907.2</v>
      </c>
      <c r="M65" s="629">
        <f>'input data'!G19</f>
        <v>35797</v>
      </c>
      <c r="N65" s="629">
        <f>'input data'!G17+'input data'!G18</f>
        <v>202641</v>
      </c>
      <c r="O65" s="629">
        <f>'input data'!G26-A.M!H47</f>
        <v>5508267</v>
      </c>
      <c r="P65" s="629">
        <f>'input data'!G20</f>
        <v>1993028</v>
      </c>
    </row>
    <row r="66" spans="1:16">
      <c r="A66" s="626"/>
      <c r="B66" s="626"/>
      <c r="C66" s="627"/>
      <c r="D66" s="628"/>
      <c r="E66" s="629">
        <f>E65-E63</f>
        <v>0</v>
      </c>
      <c r="F66" s="629">
        <f t="shared" ref="F66:P66" si="1">F65-F63</f>
        <v>0</v>
      </c>
      <c r="G66" s="629">
        <f t="shared" si="1"/>
        <v>0</v>
      </c>
      <c r="H66" s="629">
        <f t="shared" si="1"/>
        <v>0</v>
      </c>
      <c r="I66" s="629">
        <f t="shared" si="1"/>
        <v>0</v>
      </c>
      <c r="J66" s="629">
        <f t="shared" si="1"/>
        <v>0</v>
      </c>
      <c r="K66" s="629">
        <f t="shared" si="1"/>
        <v>0</v>
      </c>
      <c r="L66" s="629">
        <f t="shared" si="1"/>
        <v>0</v>
      </c>
      <c r="M66" s="629">
        <f t="shared" si="1"/>
        <v>0</v>
      </c>
      <c r="N66" s="629">
        <f t="shared" si="1"/>
        <v>0</v>
      </c>
      <c r="O66" s="629">
        <f t="shared" si="1"/>
        <v>1</v>
      </c>
      <c r="P66" s="629">
        <f t="shared" si="1"/>
        <v>0</v>
      </c>
    </row>
    <row r="67" spans="1:16">
      <c r="C67" s="634"/>
      <c r="E67" s="635"/>
      <c r="F67" s="636"/>
      <c r="G67" s="636"/>
      <c r="H67" s="636"/>
      <c r="I67" s="636"/>
      <c r="J67" s="636"/>
      <c r="K67" s="636"/>
      <c r="L67" s="636"/>
      <c r="M67" s="636"/>
      <c r="N67" s="636"/>
      <c r="O67" s="635"/>
      <c r="P67" s="635"/>
    </row>
    <row r="68" spans="1:16">
      <c r="B68" s="22" t="s">
        <v>659</v>
      </c>
    </row>
    <row r="69" spans="1:16">
      <c r="B69" s="22" t="s">
        <v>660</v>
      </c>
      <c r="C69" s="31">
        <f>seigneorage!J77+seigneorage!K77+seigneorage!L77+seigneorage!M77+seigneorage!N77</f>
        <v>2342.1800000000003</v>
      </c>
      <c r="D69" s="22" t="s">
        <v>46</v>
      </c>
      <c r="E69" s="33">
        <v>90</v>
      </c>
      <c r="F69" s="22" t="s">
        <v>94</v>
      </c>
      <c r="G69" s="22">
        <f>ROUND(C69*E69,0)</f>
        <v>210796</v>
      </c>
    </row>
    <row r="70" spans="1:16" ht="12" customHeight="1">
      <c r="B70" s="22" t="s">
        <v>266</v>
      </c>
      <c r="C70" s="31">
        <f>seigneorage!H77</f>
        <v>4345.4399999999996</v>
      </c>
      <c r="D70" s="22" t="s">
        <v>46</v>
      </c>
      <c r="E70" s="33">
        <v>45</v>
      </c>
      <c r="F70" s="22" t="s">
        <v>94</v>
      </c>
      <c r="G70" s="22">
        <f>ROUND(C70*E70,0)</f>
        <v>195545</v>
      </c>
    </row>
    <row r="71" spans="1:16">
      <c r="C71" s="26"/>
      <c r="G71" s="26">
        <f>SUM(G69:G70)</f>
        <v>406341</v>
      </c>
      <c r="H71" s="26"/>
      <c r="I71" s="33"/>
      <c r="J71" s="26"/>
    </row>
  </sheetData>
  <autoFilter ref="A4:P63" xr:uid="{00000000-0009-0000-0000-000014000000}">
    <filterColumn colId="2" showButton="0"/>
  </autoFilter>
  <mergeCells count="2">
    <mergeCell ref="A2:P2"/>
    <mergeCell ref="C4:D4"/>
  </mergeCells>
  <printOptions horizontalCentered="1"/>
  <pageMargins left="0.5" right="0.21" top="0.22" bottom="0.23" header="0.22" footer="0.16"/>
  <pageSetup paperSize="9" scale="97"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sheetPr>
  <dimension ref="A1:H57"/>
  <sheetViews>
    <sheetView view="pageBreakPreview" topLeftCell="A31" zoomScale="130" zoomScaleNormal="115" zoomScaleSheetLayoutView="130" workbookViewId="0">
      <selection activeCell="G41" sqref="G41"/>
    </sheetView>
  </sheetViews>
  <sheetFormatPr defaultRowHeight="12.75"/>
  <cols>
    <col min="1" max="1" width="3.28515625" style="344" customWidth="1"/>
    <col min="2" max="2" width="17.7109375" style="345" customWidth="1"/>
    <col min="3" max="3" width="17.85546875" style="345" customWidth="1"/>
    <col min="4" max="4" width="6" style="345" customWidth="1"/>
    <col min="5" max="5" width="24.140625" style="345" customWidth="1"/>
    <col min="6" max="6" width="17.140625" style="345" customWidth="1"/>
    <col min="7" max="7" width="11.85546875" style="345" customWidth="1"/>
    <col min="8" max="8" width="9.7109375" style="345" bestFit="1" customWidth="1"/>
    <col min="9" max="16384" width="9.140625" style="345"/>
  </cols>
  <sheetData>
    <row r="1" spans="1:8">
      <c r="E1" s="345" t="s">
        <v>440</v>
      </c>
    </row>
    <row r="2" spans="1:8" ht="21.75" customHeight="1">
      <c r="A2" s="1197" t="s">
        <v>441</v>
      </c>
      <c r="B2" s="1197"/>
      <c r="C2" s="1197"/>
      <c r="D2" s="1197"/>
      <c r="E2" s="1197"/>
      <c r="F2" s="1197"/>
      <c r="G2" s="1197"/>
    </row>
    <row r="3" spans="1:8" s="351" customFormat="1" ht="19.5" customHeight="1">
      <c r="A3" s="346"/>
      <c r="B3" s="347" t="s">
        <v>442</v>
      </c>
      <c r="C3" s="348" t="s">
        <v>443</v>
      </c>
      <c r="D3" s="346"/>
      <c r="E3" s="349"/>
      <c r="F3" s="350" t="s">
        <v>671</v>
      </c>
      <c r="G3" s="346"/>
    </row>
    <row r="4" spans="1:8" s="351" customFormat="1" ht="19.5" customHeight="1">
      <c r="A4" s="346"/>
      <c r="B4" s="1198" t="s">
        <v>670</v>
      </c>
      <c r="C4" s="1198"/>
      <c r="D4" s="1198"/>
      <c r="E4" s="1198"/>
      <c r="F4" s="1198"/>
      <c r="G4" s="1198"/>
      <c r="H4" s="351">
        <f>[3]WORK!B39</f>
        <v>0</v>
      </c>
    </row>
    <row r="5" spans="1:8" s="351" customFormat="1" ht="16.5" customHeight="1">
      <c r="A5" s="352">
        <v>1</v>
      </c>
      <c r="B5" s="1191" t="s">
        <v>444</v>
      </c>
      <c r="C5" s="1192"/>
      <c r="D5" s="353" t="s">
        <v>27</v>
      </c>
      <c r="E5" s="1193" t="s">
        <v>166</v>
      </c>
      <c r="F5" s="1194"/>
      <c r="G5" s="1195"/>
    </row>
    <row r="6" spans="1:8" s="351" customFormat="1" ht="19.5" customHeight="1">
      <c r="A6" s="352">
        <v>2</v>
      </c>
      <c r="B6" s="1191" t="s">
        <v>273</v>
      </c>
      <c r="C6" s="1192"/>
      <c r="D6" s="353" t="s">
        <v>27</v>
      </c>
      <c r="E6" s="1193" t="s">
        <v>166</v>
      </c>
      <c r="F6" s="1194"/>
      <c r="G6" s="1195"/>
    </row>
    <row r="7" spans="1:8" s="351" customFormat="1" ht="71.25" customHeight="1">
      <c r="A7" s="352">
        <v>3</v>
      </c>
      <c r="B7" s="1191" t="s">
        <v>445</v>
      </c>
      <c r="C7" s="1192"/>
      <c r="D7" s="353" t="s">
        <v>27</v>
      </c>
      <c r="E7" s="1193" t="str">
        <f>'lead 2025-26'!C3</f>
        <v>Providing BT Surface to the road from Inimerla SC colony to National Highway at Nuchupoda in Inimerla GP of Pamuru Mandal.</v>
      </c>
      <c r="F7" s="1194"/>
      <c r="G7" s="1195"/>
    </row>
    <row r="8" spans="1:8" s="351" customFormat="1" ht="18.75" customHeight="1">
      <c r="A8" s="352">
        <v>4</v>
      </c>
      <c r="B8" s="1191" t="s">
        <v>446</v>
      </c>
      <c r="C8" s="1192"/>
      <c r="D8" s="353" t="s">
        <v>27</v>
      </c>
      <c r="E8" s="1193">
        <f>COVER!F34</f>
        <v>0</v>
      </c>
      <c r="F8" s="1194"/>
      <c r="G8" s="1195"/>
    </row>
    <row r="9" spans="1:8" s="351" customFormat="1" ht="18.75" customHeight="1">
      <c r="A9" s="352">
        <v>5</v>
      </c>
      <c r="B9" s="1177" t="s">
        <v>447</v>
      </c>
      <c r="C9" s="1177"/>
      <c r="D9" s="353" t="s">
        <v>27</v>
      </c>
      <c r="E9" s="1196" t="str">
        <f>'lead 2025-26'!K4</f>
        <v>140.00 Lakhs</v>
      </c>
      <c r="F9" s="1181"/>
      <c r="G9" s="1181"/>
    </row>
    <row r="10" spans="1:8" s="351" customFormat="1" ht="38.25" customHeight="1">
      <c r="A10" s="352">
        <v>6</v>
      </c>
      <c r="B10" s="1177" t="s">
        <v>448</v>
      </c>
      <c r="C10" s="1177"/>
      <c r="D10" s="353" t="s">
        <v>27</v>
      </c>
      <c r="E10" s="1177" t="s">
        <v>1125</v>
      </c>
      <c r="F10" s="1177"/>
      <c r="G10" s="1177"/>
    </row>
    <row r="11" spans="1:8" s="351" customFormat="1" ht="28.5" customHeight="1">
      <c r="A11" s="352">
        <v>7</v>
      </c>
      <c r="B11" s="1177" t="s">
        <v>449</v>
      </c>
      <c r="C11" s="1177"/>
      <c r="D11" s="353" t="s">
        <v>27</v>
      </c>
      <c r="E11" s="1177" t="s">
        <v>1126</v>
      </c>
      <c r="F11" s="1177"/>
      <c r="G11" s="1177"/>
    </row>
    <row r="12" spans="1:8" s="351" customFormat="1" ht="30" customHeight="1">
      <c r="A12" s="352">
        <v>8</v>
      </c>
      <c r="B12" s="1177" t="s">
        <v>450</v>
      </c>
      <c r="C12" s="1177"/>
      <c r="D12" s="353" t="s">
        <v>27</v>
      </c>
      <c r="E12" s="1190" t="s">
        <v>451</v>
      </c>
      <c r="F12" s="1190"/>
      <c r="G12" s="1190"/>
    </row>
    <row r="13" spans="1:8" s="351" customFormat="1" ht="28.5" customHeight="1">
      <c r="A13" s="352">
        <v>9</v>
      </c>
      <c r="B13" s="1177" t="s">
        <v>452</v>
      </c>
      <c r="C13" s="1177"/>
      <c r="D13" s="353" t="s">
        <v>27</v>
      </c>
      <c r="E13" s="1187"/>
      <c r="F13" s="1188"/>
      <c r="G13" s="1189"/>
    </row>
    <row r="14" spans="1:8" s="351" customFormat="1" ht="16.5" customHeight="1">
      <c r="A14" s="352">
        <v>10</v>
      </c>
      <c r="B14" s="1177" t="s">
        <v>453</v>
      </c>
      <c r="C14" s="1177"/>
      <c r="D14" s="353" t="s">
        <v>27</v>
      </c>
      <c r="E14" s="1177"/>
      <c r="F14" s="1177"/>
      <c r="G14" s="1177"/>
    </row>
    <row r="15" spans="1:8" s="351" customFormat="1" ht="27.75" customHeight="1">
      <c r="A15" s="352">
        <v>11</v>
      </c>
      <c r="B15" s="1177" t="s">
        <v>454</v>
      </c>
      <c r="C15" s="1177"/>
      <c r="D15" s="353" t="s">
        <v>27</v>
      </c>
      <c r="E15" s="1177" t="s">
        <v>455</v>
      </c>
      <c r="F15" s="1177"/>
      <c r="G15" s="1177"/>
    </row>
    <row r="16" spans="1:8" s="351" customFormat="1" ht="18.75" customHeight="1">
      <c r="A16" s="352">
        <v>12</v>
      </c>
      <c r="B16" s="1177" t="s">
        <v>456</v>
      </c>
      <c r="C16" s="1177"/>
      <c r="D16" s="353" t="s">
        <v>27</v>
      </c>
      <c r="E16" s="1181" t="s">
        <v>455</v>
      </c>
      <c r="F16" s="1181"/>
      <c r="G16" s="1181"/>
    </row>
    <row r="17" spans="1:7" s="351" customFormat="1" ht="15.75" customHeight="1">
      <c r="A17" s="352">
        <v>13</v>
      </c>
      <c r="B17" s="1177" t="s">
        <v>457</v>
      </c>
      <c r="C17" s="1177"/>
      <c r="D17" s="353" t="s">
        <v>27</v>
      </c>
      <c r="E17" s="1181"/>
      <c r="F17" s="1181"/>
      <c r="G17" s="1181"/>
    </row>
    <row r="18" spans="1:7" s="351" customFormat="1" ht="18.75" customHeight="1">
      <c r="A18" s="352">
        <v>14</v>
      </c>
      <c r="B18" s="1177" t="s">
        <v>458</v>
      </c>
      <c r="C18" s="1177"/>
      <c r="D18" s="353" t="s">
        <v>27</v>
      </c>
      <c r="E18" s="1181" t="s">
        <v>459</v>
      </c>
      <c r="F18" s="1181"/>
      <c r="G18" s="1181"/>
    </row>
    <row r="19" spans="1:7" s="351" customFormat="1" ht="13.5" customHeight="1">
      <c r="A19" s="352">
        <v>15</v>
      </c>
      <c r="B19" s="1177" t="s">
        <v>460</v>
      </c>
      <c r="C19" s="1177"/>
      <c r="D19" s="353" t="s">
        <v>27</v>
      </c>
      <c r="E19" s="1181"/>
      <c r="F19" s="1181"/>
      <c r="G19" s="1181"/>
    </row>
    <row r="20" spans="1:7" s="351" customFormat="1" ht="15.75" customHeight="1">
      <c r="A20" s="352">
        <v>16</v>
      </c>
      <c r="B20" s="1177" t="s">
        <v>461</v>
      </c>
      <c r="C20" s="1177"/>
      <c r="D20" s="353" t="s">
        <v>27</v>
      </c>
      <c r="E20" s="1181"/>
      <c r="F20" s="1181"/>
      <c r="G20" s="1181"/>
    </row>
    <row r="21" spans="1:7" s="351" customFormat="1" ht="15.75" customHeight="1">
      <c r="A21" s="352">
        <v>17</v>
      </c>
      <c r="B21" s="1177" t="s">
        <v>462</v>
      </c>
      <c r="C21" s="1177"/>
      <c r="D21" s="353" t="s">
        <v>27</v>
      </c>
      <c r="E21" s="1181"/>
      <c r="F21" s="1181"/>
      <c r="G21" s="1181"/>
    </row>
    <row r="22" spans="1:7" s="351" customFormat="1" ht="49.5" customHeight="1">
      <c r="A22" s="352">
        <v>18</v>
      </c>
      <c r="B22" s="1177" t="s">
        <v>463</v>
      </c>
      <c r="C22" s="1177"/>
      <c r="D22" s="353" t="s">
        <v>27</v>
      </c>
      <c r="E22" s="1181" t="s">
        <v>464</v>
      </c>
      <c r="F22" s="1181"/>
      <c r="G22" s="1181"/>
    </row>
    <row r="23" spans="1:7" s="351" customFormat="1" ht="36" customHeight="1">
      <c r="A23" s="352">
        <v>19</v>
      </c>
      <c r="B23" s="1186" t="s">
        <v>465</v>
      </c>
      <c r="C23" s="1186"/>
      <c r="D23" s="353" t="s">
        <v>27</v>
      </c>
      <c r="E23" s="354" t="s">
        <v>466</v>
      </c>
      <c r="F23" s="1186" t="s">
        <v>467</v>
      </c>
      <c r="G23" s="1186"/>
    </row>
    <row r="24" spans="1:7" s="351" customFormat="1" ht="17.25" customHeight="1">
      <c r="A24" s="352"/>
      <c r="B24" s="354" t="s">
        <v>468</v>
      </c>
      <c r="C24" s="354" t="s">
        <v>469</v>
      </c>
      <c r="D24" s="353"/>
      <c r="E24" s="353" t="s">
        <v>469</v>
      </c>
      <c r="F24" s="354" t="s">
        <v>468</v>
      </c>
      <c r="G24" s="354" t="s">
        <v>469</v>
      </c>
    </row>
    <row r="25" spans="1:7" s="351" customFormat="1" ht="13.5" customHeight="1">
      <c r="A25" s="352"/>
      <c r="B25" s="354"/>
      <c r="C25" s="354"/>
      <c r="D25" s="353"/>
      <c r="E25" s="353"/>
      <c r="F25" s="354"/>
      <c r="G25" s="354"/>
    </row>
    <row r="26" spans="1:7" s="351" customFormat="1" ht="13.5" customHeight="1">
      <c r="A26" s="352"/>
      <c r="B26" s="354"/>
      <c r="C26" s="354"/>
      <c r="D26" s="353"/>
      <c r="E26" s="354"/>
      <c r="F26" s="354"/>
      <c r="G26" s="354"/>
    </row>
    <row r="27" spans="1:7" s="351" customFormat="1" ht="13.5" customHeight="1">
      <c r="A27" s="352"/>
      <c r="B27" s="354"/>
      <c r="C27" s="354"/>
      <c r="D27" s="353"/>
      <c r="E27" s="353"/>
      <c r="F27" s="354"/>
      <c r="G27" s="354"/>
    </row>
    <row r="28" spans="1:7" s="351" customFormat="1" ht="13.5" customHeight="1">
      <c r="A28" s="352"/>
      <c r="B28" s="354"/>
      <c r="C28" s="354"/>
      <c r="D28" s="353"/>
      <c r="E28" s="353"/>
      <c r="F28" s="354"/>
      <c r="G28" s="354"/>
    </row>
    <row r="29" spans="1:7" s="351" customFormat="1" ht="21" customHeight="1">
      <c r="A29" s="352">
        <v>20</v>
      </c>
      <c r="B29" s="1183" t="s">
        <v>470</v>
      </c>
      <c r="C29" s="1184"/>
      <c r="D29" s="1184"/>
      <c r="E29" s="1184"/>
      <c r="F29" s="1184"/>
      <c r="G29" s="1185"/>
    </row>
    <row r="30" spans="1:7" s="351" customFormat="1" ht="15.75" customHeight="1">
      <c r="A30" s="352"/>
      <c r="B30" s="1177" t="s">
        <v>471</v>
      </c>
      <c r="C30" s="1177"/>
      <c r="D30" s="353" t="s">
        <v>27</v>
      </c>
      <c r="E30" s="1181"/>
      <c r="F30" s="1181"/>
      <c r="G30" s="1181"/>
    </row>
    <row r="31" spans="1:7" s="351" customFormat="1" ht="12.75" customHeight="1">
      <c r="A31" s="352"/>
      <c r="B31" s="1177" t="s">
        <v>472</v>
      </c>
      <c r="C31" s="1177"/>
      <c r="D31" s="353" t="s">
        <v>27</v>
      </c>
      <c r="E31" s="1181"/>
      <c r="F31" s="1181"/>
      <c r="G31" s="1181"/>
    </row>
    <row r="32" spans="1:7" s="351" customFormat="1" ht="26.25" customHeight="1">
      <c r="A32" s="352">
        <v>21</v>
      </c>
      <c r="B32" s="1177" t="s">
        <v>473</v>
      </c>
      <c r="C32" s="1177"/>
      <c r="D32" s="353" t="s">
        <v>27</v>
      </c>
      <c r="E32" s="1181"/>
      <c r="F32" s="1181"/>
      <c r="G32" s="1181"/>
    </row>
    <row r="33" spans="1:7" s="351" customFormat="1" ht="25.5" customHeight="1">
      <c r="A33" s="352">
        <v>22</v>
      </c>
      <c r="B33" s="1177" t="s">
        <v>474</v>
      </c>
      <c r="C33" s="1177"/>
      <c r="D33" s="353" t="s">
        <v>27</v>
      </c>
      <c r="E33" s="1181" t="s">
        <v>464</v>
      </c>
      <c r="F33" s="1181"/>
      <c r="G33" s="1181"/>
    </row>
    <row r="34" spans="1:7" s="351" customFormat="1" ht="15.75" customHeight="1">
      <c r="A34" s="352">
        <v>23</v>
      </c>
      <c r="B34" s="1177" t="s">
        <v>475</v>
      </c>
      <c r="C34" s="1177"/>
      <c r="D34" s="353" t="s">
        <v>27</v>
      </c>
      <c r="E34" s="1181" t="s">
        <v>464</v>
      </c>
      <c r="F34" s="1181"/>
      <c r="G34" s="1181"/>
    </row>
    <row r="35" spans="1:7" s="351" customFormat="1" ht="26.25" customHeight="1">
      <c r="A35" s="352">
        <v>24</v>
      </c>
      <c r="B35" s="1177" t="s">
        <v>476</v>
      </c>
      <c r="C35" s="1177"/>
      <c r="D35" s="353" t="s">
        <v>27</v>
      </c>
      <c r="E35" s="1181" t="s">
        <v>464</v>
      </c>
      <c r="F35" s="1181"/>
      <c r="G35" s="1181"/>
    </row>
    <row r="36" spans="1:7" s="351" customFormat="1" ht="24.75" customHeight="1">
      <c r="A36" s="352">
        <v>25</v>
      </c>
      <c r="B36" s="1177" t="s">
        <v>477</v>
      </c>
      <c r="C36" s="1177"/>
      <c r="D36" s="353" t="s">
        <v>27</v>
      </c>
      <c r="E36" s="1181" t="s">
        <v>60</v>
      </c>
      <c r="F36" s="1181"/>
      <c r="G36" s="1181"/>
    </row>
    <row r="37" spans="1:7" s="351" customFormat="1" ht="15.75" customHeight="1">
      <c r="A37" s="352">
        <v>26</v>
      </c>
      <c r="B37" s="1177" t="s">
        <v>478</v>
      </c>
      <c r="C37" s="1177"/>
      <c r="D37" s="353" t="s">
        <v>27</v>
      </c>
      <c r="E37" s="1181" t="s">
        <v>60</v>
      </c>
      <c r="F37" s="1181"/>
      <c r="G37" s="1181"/>
    </row>
    <row r="40" spans="1:7">
      <c r="F40" s="355" t="s">
        <v>95</v>
      </c>
    </row>
    <row r="41" spans="1:7">
      <c r="F41" s="355" t="s">
        <v>1127</v>
      </c>
    </row>
    <row r="42" spans="1:7" s="351" customFormat="1" ht="21" customHeight="1">
      <c r="A42" s="352"/>
      <c r="B42" s="1183" t="s">
        <v>479</v>
      </c>
      <c r="C42" s="1184"/>
      <c r="D42" s="1184"/>
      <c r="E42" s="1184"/>
      <c r="F42" s="1184"/>
      <c r="G42" s="1185"/>
    </row>
    <row r="43" spans="1:7" s="351" customFormat="1" ht="29.25" customHeight="1">
      <c r="A43" s="352">
        <v>27</v>
      </c>
      <c r="B43" s="1182" t="s">
        <v>480</v>
      </c>
      <c r="C43" s="1182"/>
      <c r="D43" s="353" t="s">
        <v>27</v>
      </c>
      <c r="E43" s="1181"/>
      <c r="F43" s="1181"/>
      <c r="G43" s="1181"/>
    </row>
    <row r="44" spans="1:7" s="351" customFormat="1" ht="45" customHeight="1">
      <c r="A44" s="352">
        <v>28</v>
      </c>
      <c r="B44" s="1182" t="s">
        <v>481</v>
      </c>
      <c r="C44" s="1182"/>
      <c r="D44" s="353" t="s">
        <v>27</v>
      </c>
      <c r="E44" s="1181"/>
      <c r="F44" s="1181"/>
      <c r="G44" s="1181"/>
    </row>
    <row r="45" spans="1:7" s="351" customFormat="1" ht="42.75" customHeight="1">
      <c r="A45" s="352">
        <v>29</v>
      </c>
      <c r="B45" s="1182" t="s">
        <v>482</v>
      </c>
      <c r="C45" s="1182"/>
      <c r="D45" s="353" t="s">
        <v>27</v>
      </c>
      <c r="E45" s="1181"/>
      <c r="F45" s="1181"/>
      <c r="G45" s="1181"/>
    </row>
    <row r="46" spans="1:7" s="351" customFormat="1" ht="53.25" customHeight="1">
      <c r="A46" s="352">
        <v>30</v>
      </c>
      <c r="B46" s="1182" t="s">
        <v>483</v>
      </c>
      <c r="C46" s="1182"/>
      <c r="D46" s="353" t="s">
        <v>27</v>
      </c>
      <c r="E46" s="1181"/>
      <c r="F46" s="1181"/>
      <c r="G46" s="1181"/>
    </row>
    <row r="47" spans="1:7" s="351" customFormat="1" ht="57" customHeight="1">
      <c r="A47" s="352">
        <v>31</v>
      </c>
      <c r="B47" s="1182" t="s">
        <v>484</v>
      </c>
      <c r="C47" s="1182"/>
      <c r="D47" s="353" t="s">
        <v>27</v>
      </c>
      <c r="E47" s="1181"/>
      <c r="F47" s="1181"/>
      <c r="G47" s="1181"/>
    </row>
    <row r="48" spans="1:7" s="351" customFormat="1" ht="54.75" customHeight="1">
      <c r="A48" s="352">
        <v>32</v>
      </c>
      <c r="B48" s="1182" t="s">
        <v>485</v>
      </c>
      <c r="C48" s="1182"/>
      <c r="D48" s="353" t="s">
        <v>27</v>
      </c>
      <c r="E48" s="1181"/>
      <c r="F48" s="1181"/>
      <c r="G48" s="1181"/>
    </row>
    <row r="49" spans="1:7" s="351" customFormat="1" ht="43.5" customHeight="1">
      <c r="A49" s="352">
        <v>33</v>
      </c>
      <c r="B49" s="1182" t="s">
        <v>486</v>
      </c>
      <c r="C49" s="1182"/>
      <c r="D49" s="353" t="s">
        <v>27</v>
      </c>
      <c r="E49" s="1181"/>
      <c r="F49" s="1181"/>
      <c r="G49" s="1181"/>
    </row>
    <row r="50" spans="1:7" s="351" customFormat="1" ht="39.75" customHeight="1">
      <c r="A50" s="352">
        <v>34</v>
      </c>
      <c r="B50" s="1182" t="s">
        <v>487</v>
      </c>
      <c r="C50" s="1182"/>
      <c r="D50" s="353" t="s">
        <v>27</v>
      </c>
      <c r="E50" s="1181"/>
      <c r="F50" s="1181"/>
      <c r="G50" s="1181"/>
    </row>
    <row r="51" spans="1:7" s="351" customFormat="1" ht="21" customHeight="1">
      <c r="A51" s="352">
        <v>35</v>
      </c>
      <c r="B51" s="1183" t="s">
        <v>470</v>
      </c>
      <c r="C51" s="1184"/>
      <c r="D51" s="1184"/>
      <c r="E51" s="1184"/>
      <c r="F51" s="1184"/>
      <c r="G51" s="1185"/>
    </row>
    <row r="52" spans="1:7" s="351" customFormat="1" ht="29.25" customHeight="1">
      <c r="A52" s="352"/>
      <c r="B52" s="1177" t="s">
        <v>488</v>
      </c>
      <c r="C52" s="1177"/>
      <c r="D52" s="353" t="s">
        <v>27</v>
      </c>
      <c r="E52" s="1181"/>
      <c r="F52" s="1181"/>
      <c r="G52" s="1181"/>
    </row>
    <row r="53" spans="1:7" s="351" customFormat="1" ht="29.25" customHeight="1">
      <c r="A53" s="352"/>
      <c r="B53" s="1177" t="s">
        <v>472</v>
      </c>
      <c r="C53" s="1177"/>
      <c r="D53" s="353" t="s">
        <v>27</v>
      </c>
      <c r="E53" s="1181"/>
      <c r="F53" s="1181"/>
      <c r="G53" s="1181"/>
    </row>
    <row r="54" spans="1:7" s="351" customFormat="1" ht="29.25" customHeight="1">
      <c r="A54" s="352">
        <v>36</v>
      </c>
      <c r="B54" s="1177" t="s">
        <v>473</v>
      </c>
      <c r="C54" s="1177"/>
      <c r="D54" s="353" t="s">
        <v>27</v>
      </c>
      <c r="E54" s="1181"/>
      <c r="F54" s="1181"/>
      <c r="G54" s="1181"/>
    </row>
    <row r="55" spans="1:7" s="351" customFormat="1" ht="69" customHeight="1">
      <c r="A55" s="352">
        <v>37</v>
      </c>
      <c r="B55" s="1177" t="s">
        <v>489</v>
      </c>
      <c r="C55" s="1177"/>
      <c r="D55" s="353" t="s">
        <v>27</v>
      </c>
      <c r="E55" s="1178" t="s">
        <v>490</v>
      </c>
      <c r="F55" s="1179"/>
      <c r="G55" s="1180"/>
    </row>
    <row r="56" spans="1:7" s="351" customFormat="1" ht="29.25" customHeight="1">
      <c r="A56" s="352">
        <v>38</v>
      </c>
      <c r="B56" s="1177" t="s">
        <v>491</v>
      </c>
      <c r="C56" s="1177"/>
      <c r="D56" s="353" t="s">
        <v>27</v>
      </c>
      <c r="E56" s="1181"/>
      <c r="F56" s="1181"/>
      <c r="G56" s="1181"/>
    </row>
    <row r="57" spans="1:7" s="351" customFormat="1" ht="29.25" customHeight="1">
      <c r="A57" s="352">
        <v>39</v>
      </c>
      <c r="B57" s="1177" t="s">
        <v>492</v>
      </c>
      <c r="C57" s="1177"/>
      <c r="D57" s="353" t="s">
        <v>27</v>
      </c>
      <c r="E57" s="1181"/>
      <c r="F57" s="1181"/>
      <c r="G57" s="1181"/>
    </row>
  </sheetData>
  <mergeCells count="87">
    <mergeCell ref="A2:G2"/>
    <mergeCell ref="B4:G4"/>
    <mergeCell ref="B5:C5"/>
    <mergeCell ref="E5:G5"/>
    <mergeCell ref="B6:C6"/>
    <mergeCell ref="E6:G6"/>
    <mergeCell ref="B7:C7"/>
    <mergeCell ref="E7:G7"/>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18:C18"/>
    <mergeCell ref="E18:G18"/>
    <mergeCell ref="B30:C30"/>
    <mergeCell ref="E30:G30"/>
    <mergeCell ref="B19:C19"/>
    <mergeCell ref="E19:G19"/>
    <mergeCell ref="B20:C20"/>
    <mergeCell ref="E20:G20"/>
    <mergeCell ref="B21:C21"/>
    <mergeCell ref="E21:G21"/>
    <mergeCell ref="B22:C22"/>
    <mergeCell ref="E22:G22"/>
    <mergeCell ref="B23:C23"/>
    <mergeCell ref="F23:G23"/>
    <mergeCell ref="B29:G29"/>
    <mergeCell ref="B31:C31"/>
    <mergeCell ref="E31:G31"/>
    <mergeCell ref="B32:C32"/>
    <mergeCell ref="E32:G32"/>
    <mergeCell ref="B33:C33"/>
    <mergeCell ref="E33:G33"/>
    <mergeCell ref="B44:C44"/>
    <mergeCell ref="E44:G44"/>
    <mergeCell ref="B34:C34"/>
    <mergeCell ref="E34:G34"/>
    <mergeCell ref="B35:C35"/>
    <mergeCell ref="E35:G35"/>
    <mergeCell ref="B36:C36"/>
    <mergeCell ref="E36:G36"/>
    <mergeCell ref="B37:C37"/>
    <mergeCell ref="E37:G37"/>
    <mergeCell ref="B42:G42"/>
    <mergeCell ref="B43:C43"/>
    <mergeCell ref="E43:G43"/>
    <mergeCell ref="B45:C45"/>
    <mergeCell ref="E45:G45"/>
    <mergeCell ref="B46:C46"/>
    <mergeCell ref="E46:G46"/>
    <mergeCell ref="B47:C47"/>
    <mergeCell ref="E47:G47"/>
    <mergeCell ref="B54:C54"/>
    <mergeCell ref="E54:G54"/>
    <mergeCell ref="B48:C48"/>
    <mergeCell ref="E48:G48"/>
    <mergeCell ref="B49:C49"/>
    <mergeCell ref="E49:G49"/>
    <mergeCell ref="B50:C50"/>
    <mergeCell ref="E50:G50"/>
    <mergeCell ref="B51:G51"/>
    <mergeCell ref="B52:C52"/>
    <mergeCell ref="E52:G52"/>
    <mergeCell ref="B53:C53"/>
    <mergeCell ref="E53:G53"/>
    <mergeCell ref="B55:C55"/>
    <mergeCell ref="E55:G55"/>
    <mergeCell ref="B56:C56"/>
    <mergeCell ref="E56:G56"/>
    <mergeCell ref="B57:C57"/>
    <mergeCell ref="E57:G57"/>
  </mergeCells>
  <printOptions horizontalCentered="1"/>
  <pageMargins left="0.23622047244094499" right="0.15748031496063" top="0.35433070866141703" bottom="0.69" header="0.38" footer="0.23622047244094499"/>
  <pageSetup paperSize="9" scale="90" orientation="portrait" errors="blank" r:id="rId1"/>
  <headerFooter alignWithMargins="0"/>
  <rowBreaks count="1" manualBreakCount="1">
    <brk id="41" max="6"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0000"/>
  </sheetPr>
  <dimension ref="A1:P306"/>
  <sheetViews>
    <sheetView view="pageBreakPreview" topLeftCell="A16" zoomScale="115" zoomScaleSheetLayoutView="115" workbookViewId="0">
      <selection activeCell="H29" sqref="H29"/>
    </sheetView>
  </sheetViews>
  <sheetFormatPr defaultRowHeight="12.75"/>
  <cols>
    <col min="1" max="1" width="2.85546875" style="357" customWidth="1"/>
    <col min="2" max="2" width="9.42578125" style="430" customWidth="1"/>
    <col min="3" max="3" width="4.7109375" style="357" customWidth="1"/>
    <col min="4" max="4" width="8.85546875" style="431" customWidth="1"/>
    <col min="5" max="5" width="33.42578125" style="357" customWidth="1"/>
    <col min="6" max="6" width="8.85546875" style="359" customWidth="1"/>
    <col min="7" max="7" width="6" style="357" customWidth="1"/>
    <col min="8" max="8" width="10.28515625" style="357" customWidth="1"/>
    <col min="9" max="9" width="9.7109375" style="357" customWidth="1"/>
    <col min="10" max="10" width="6.85546875" style="357" customWidth="1"/>
    <col min="11" max="11" width="9.140625" style="356"/>
    <col min="12" max="13" width="12.5703125" style="356" customWidth="1"/>
    <col min="14" max="16384" width="9.140625" style="357"/>
  </cols>
  <sheetData>
    <row r="1" spans="1:16" ht="23.25" customHeight="1">
      <c r="A1" s="1221" t="s">
        <v>168</v>
      </c>
      <c r="B1" s="1222"/>
      <c r="C1" s="1222"/>
      <c r="D1" s="1222"/>
      <c r="E1" s="1222"/>
      <c r="F1" s="1222"/>
      <c r="G1" s="1222"/>
      <c r="H1" s="1222"/>
      <c r="I1" s="1222"/>
      <c r="J1" s="1222"/>
    </row>
    <row r="2" spans="1:16" ht="12" customHeight="1">
      <c r="B2" s="1223" t="s">
        <v>493</v>
      </c>
      <c r="C2" s="1223"/>
      <c r="D2" s="1223"/>
      <c r="E2" s="358">
        <f>'C-1'!E8:G8</f>
        <v>0</v>
      </c>
      <c r="G2" s="1224" t="s">
        <v>443</v>
      </c>
      <c r="H2" s="1224"/>
      <c r="I2" s="1224"/>
      <c r="J2" s="1224"/>
    </row>
    <row r="3" spans="1:16">
      <c r="B3" s="1215"/>
      <c r="C3" s="1215"/>
      <c r="D3" s="1215"/>
      <c r="G3" s="1214"/>
      <c r="H3" s="1214"/>
      <c r="I3" s="1214"/>
      <c r="J3" s="1214"/>
    </row>
    <row r="4" spans="1:16" ht="31.5" customHeight="1">
      <c r="B4" s="1225" t="str">
        <f>'lead 2025-26'!B3&amp;'lead 2025-26'!C3</f>
        <v>Name of the work : Providing BT Surface to the road from Inimerla SC colony to National Highway at Nuchupoda in Inimerla GP of Pamuru Mandal.</v>
      </c>
      <c r="C4" s="1225"/>
      <c r="D4" s="1225"/>
      <c r="E4" s="1225"/>
      <c r="F4" s="1225"/>
      <c r="G4" s="1225"/>
      <c r="H4" s="1225"/>
      <c r="I4" s="1225"/>
      <c r="J4" s="1225"/>
    </row>
    <row r="5" spans="1:16" ht="16.5" customHeight="1">
      <c r="B5" s="1226" t="str">
        <f>"Name of the Contractor : "&amp;'C-1'!E13&amp;""</f>
        <v xml:space="preserve">Name of the Contractor : </v>
      </c>
      <c r="C5" s="1226"/>
      <c r="D5" s="1226"/>
      <c r="E5" s="1226"/>
      <c r="F5" s="1226"/>
      <c r="G5" s="1226"/>
      <c r="H5" s="1226"/>
      <c r="I5" s="1226"/>
      <c r="J5" s="1226"/>
    </row>
    <row r="6" spans="1:16" ht="13.5" customHeight="1">
      <c r="B6" s="1213" t="s">
        <v>672</v>
      </c>
      <c r="C6" s="1213"/>
      <c r="D6" s="1216"/>
      <c r="E6" s="1216"/>
      <c r="F6" s="1216"/>
      <c r="G6" s="1216"/>
      <c r="H6" s="1216"/>
      <c r="I6" s="1216"/>
      <c r="J6" s="1216"/>
    </row>
    <row r="7" spans="1:16" ht="15" customHeight="1">
      <c r="B7" s="1213" t="s">
        <v>494</v>
      </c>
      <c r="C7" s="1213"/>
      <c r="D7" s="1216"/>
      <c r="E7" s="1216"/>
      <c r="F7" s="1216"/>
      <c r="G7" s="1216"/>
      <c r="H7" s="1216"/>
      <c r="I7" s="1216"/>
      <c r="J7" s="1216"/>
    </row>
    <row r="8" spans="1:16" ht="12.75" customHeight="1">
      <c r="B8" s="1213" t="s">
        <v>495</v>
      </c>
      <c r="C8" s="1213"/>
      <c r="D8" s="1213"/>
      <c r="E8" s="1213"/>
      <c r="F8" s="1213"/>
      <c r="G8" s="1213"/>
      <c r="H8" s="1213"/>
      <c r="I8" s="1213"/>
      <c r="J8" s="1213"/>
    </row>
    <row r="9" spans="1:16" ht="19.5" customHeight="1">
      <c r="B9" s="1213" t="s">
        <v>496</v>
      </c>
      <c r="C9" s="1213"/>
      <c r="D9" s="1216"/>
      <c r="E9" s="1216"/>
      <c r="F9" s="1216"/>
      <c r="G9" s="1216"/>
      <c r="H9" s="1216"/>
      <c r="I9" s="1216"/>
      <c r="J9" s="1216"/>
    </row>
    <row r="10" spans="1:16" ht="13.5" customHeight="1">
      <c r="B10" s="1213" t="s">
        <v>1128</v>
      </c>
      <c r="C10" s="1213"/>
      <c r="D10" s="1216"/>
      <c r="E10" s="1214" t="str">
        <f>"Amount of Estimate : "&amp;'C-1'!E9&amp;""</f>
        <v>Amount of Estimate : 140.00 Lakhs</v>
      </c>
      <c r="F10" s="1215"/>
      <c r="G10" s="360"/>
      <c r="H10" s="1219" t="s">
        <v>175</v>
      </c>
      <c r="I10" s="1220"/>
    </row>
    <row r="11" spans="1:16" ht="13.5" customHeight="1">
      <c r="B11" s="1213" t="s">
        <v>176</v>
      </c>
      <c r="C11" s="1213"/>
      <c r="D11" s="1213"/>
      <c r="E11" s="1214" t="s">
        <v>177</v>
      </c>
      <c r="F11" s="1215"/>
      <c r="G11" s="361"/>
      <c r="H11" s="1213" t="s">
        <v>178</v>
      </c>
      <c r="I11" s="1216"/>
    </row>
    <row r="12" spans="1:16" ht="7.5" customHeight="1">
      <c r="B12" s="362"/>
      <c r="C12" s="363"/>
      <c r="D12" s="364"/>
      <c r="E12" s="363"/>
      <c r="F12" s="365"/>
      <c r="G12" s="361"/>
      <c r="H12" s="361"/>
      <c r="I12" s="361"/>
      <c r="J12" s="363"/>
    </row>
    <row r="13" spans="1:16" s="367" customFormat="1" ht="24.75" customHeight="1">
      <c r="A13" s="1217" t="s">
        <v>35</v>
      </c>
      <c r="B13" s="1218" t="s">
        <v>179</v>
      </c>
      <c r="C13" s="1218"/>
      <c r="D13" s="1218"/>
      <c r="E13" s="1218" t="s">
        <v>180</v>
      </c>
      <c r="F13" s="1218" t="s">
        <v>181</v>
      </c>
      <c r="G13" s="1218" t="s">
        <v>8</v>
      </c>
      <c r="H13" s="1218" t="s">
        <v>182</v>
      </c>
      <c r="I13" s="1218"/>
      <c r="J13" s="1204" t="s">
        <v>183</v>
      </c>
      <c r="K13" s="366"/>
      <c r="L13" s="366"/>
      <c r="M13" s="366"/>
    </row>
    <row r="14" spans="1:16" s="367" customFormat="1" ht="45" customHeight="1">
      <c r="A14" s="1217"/>
      <c r="B14" s="1204" t="s">
        <v>184</v>
      </c>
      <c r="C14" s="1205"/>
      <c r="D14" s="368" t="s">
        <v>185</v>
      </c>
      <c r="E14" s="1218"/>
      <c r="F14" s="1218"/>
      <c r="G14" s="1218"/>
      <c r="H14" s="369" t="s">
        <v>186</v>
      </c>
      <c r="I14" s="369" t="s">
        <v>187</v>
      </c>
      <c r="J14" s="1204"/>
      <c r="K14" s="370"/>
      <c r="L14" s="370"/>
      <c r="M14" s="370"/>
    </row>
    <row r="15" spans="1:16" s="367" customFormat="1" ht="12">
      <c r="A15" s="371" t="s">
        <v>497</v>
      </c>
      <c r="B15" s="1204" t="s">
        <v>498</v>
      </c>
      <c r="C15" s="1205"/>
      <c r="D15" s="368" t="s">
        <v>499</v>
      </c>
      <c r="E15" s="369" t="s">
        <v>500</v>
      </c>
      <c r="F15" s="369" t="s">
        <v>501</v>
      </c>
      <c r="G15" s="369" t="s">
        <v>502</v>
      </c>
      <c r="H15" s="372" t="s">
        <v>503</v>
      </c>
      <c r="I15" s="369" t="s">
        <v>504</v>
      </c>
      <c r="J15" s="373" t="s">
        <v>505</v>
      </c>
      <c r="K15" s="366"/>
      <c r="L15" s="366"/>
      <c r="M15" s="366"/>
    </row>
    <row r="16" spans="1:16" s="383" customFormat="1" ht="15">
      <c r="A16" s="374"/>
      <c r="B16" s="375"/>
      <c r="C16" s="376"/>
      <c r="D16" s="377"/>
      <c r="E16" s="378"/>
      <c r="F16" s="377"/>
      <c r="G16" s="379"/>
      <c r="H16" s="380"/>
      <c r="I16" s="380"/>
      <c r="J16" s="381"/>
      <c r="K16" s="382"/>
      <c r="N16" s="384"/>
      <c r="O16" s="384"/>
      <c r="P16" s="384"/>
    </row>
    <row r="17" spans="1:16" s="383" customFormat="1">
      <c r="A17" s="374">
        <v>1</v>
      </c>
      <c r="B17" s="375">
        <f>H17/F17</f>
        <v>0</v>
      </c>
      <c r="C17" s="385" t="s">
        <v>57</v>
      </c>
      <c r="D17" s="377">
        <f t="shared" ref="D17:D34" si="0">B17-K17</f>
        <v>0</v>
      </c>
      <c r="E17" s="378" t="s">
        <v>357</v>
      </c>
      <c r="F17" s="377">
        <v>237</v>
      </c>
      <c r="G17" s="379" t="s">
        <v>71</v>
      </c>
      <c r="H17" s="380">
        <f>A.M!H8</f>
        <v>0</v>
      </c>
      <c r="I17" s="380">
        <f t="shared" ref="I17:I34" si="1">H17-L17</f>
        <v>0</v>
      </c>
      <c r="J17" s="381"/>
      <c r="N17" s="384"/>
      <c r="O17" s="384"/>
      <c r="P17" s="384"/>
    </row>
    <row r="18" spans="1:16" s="383" customFormat="1">
      <c r="A18" s="374">
        <v>2</v>
      </c>
      <c r="B18" s="386">
        <f>'input data'!E10</f>
        <v>15.27</v>
      </c>
      <c r="C18" s="385" t="s">
        <v>45</v>
      </c>
      <c r="D18" s="377">
        <f t="shared" si="0"/>
        <v>15.27</v>
      </c>
      <c r="E18" s="378" t="s">
        <v>506</v>
      </c>
      <c r="F18" s="377">
        <f>'input data'!F10</f>
        <v>4218.8</v>
      </c>
      <c r="G18" s="379" t="s">
        <v>507</v>
      </c>
      <c r="H18" s="380">
        <f t="shared" ref="H18:H34" si="2">ROUND(B18*F18,0)</f>
        <v>64421</v>
      </c>
      <c r="I18" s="380">
        <f t="shared" si="1"/>
        <v>64421</v>
      </c>
      <c r="J18" s="381"/>
      <c r="N18" s="384"/>
      <c r="O18" s="384"/>
      <c r="P18" s="384"/>
    </row>
    <row r="19" spans="1:16" s="383" customFormat="1">
      <c r="A19" s="374">
        <v>3</v>
      </c>
      <c r="B19" s="375">
        <f>'input data'!E11</f>
        <v>27.810000000000002</v>
      </c>
      <c r="C19" s="385" t="s">
        <v>10</v>
      </c>
      <c r="D19" s="377">
        <f t="shared" si="0"/>
        <v>27.810000000000002</v>
      </c>
      <c r="E19" s="378" t="s">
        <v>508</v>
      </c>
      <c r="F19" s="377">
        <f>'input data'!F11</f>
        <v>0</v>
      </c>
      <c r="G19" s="379" t="s">
        <v>23</v>
      </c>
      <c r="H19" s="380">
        <f t="shared" si="2"/>
        <v>0</v>
      </c>
      <c r="I19" s="380">
        <f t="shared" si="1"/>
        <v>0</v>
      </c>
      <c r="J19" s="381"/>
      <c r="N19" s="384"/>
      <c r="O19" s="384"/>
      <c r="P19" s="384"/>
    </row>
    <row r="20" spans="1:16" s="383" customFormat="1">
      <c r="A20" s="374">
        <v>4</v>
      </c>
      <c r="B20" s="375">
        <f>'input data'!E12</f>
        <v>35.700000000000003</v>
      </c>
      <c r="C20" s="385" t="s">
        <v>10</v>
      </c>
      <c r="D20" s="377">
        <f t="shared" ref="D20" si="3">B20-K20</f>
        <v>35.700000000000003</v>
      </c>
      <c r="E20" s="378" t="s">
        <v>578</v>
      </c>
      <c r="F20" s="377">
        <f>'input data'!F12</f>
        <v>1032.5</v>
      </c>
      <c r="G20" s="379" t="s">
        <v>23</v>
      </c>
      <c r="H20" s="380">
        <f t="shared" ref="H20" si="4">ROUND(B20*F20,0)</f>
        <v>36860</v>
      </c>
      <c r="I20" s="380">
        <f t="shared" ref="I20" si="5">H20-L20</f>
        <v>36860</v>
      </c>
      <c r="J20" s="381"/>
      <c r="N20" s="384"/>
      <c r="O20" s="384"/>
      <c r="P20" s="384"/>
    </row>
    <row r="21" spans="1:16" s="383" customFormat="1">
      <c r="A21" s="374">
        <v>5</v>
      </c>
      <c r="B21" s="375">
        <f>'input data'!E13</f>
        <v>9.9600000000000009</v>
      </c>
      <c r="C21" s="385" t="s">
        <v>10</v>
      </c>
      <c r="D21" s="377">
        <f t="shared" si="0"/>
        <v>9.9600000000000009</v>
      </c>
      <c r="E21" s="378" t="s">
        <v>509</v>
      </c>
      <c r="F21" s="377">
        <f>'input data'!F13</f>
        <v>1676.25</v>
      </c>
      <c r="G21" s="379" t="s">
        <v>23</v>
      </c>
      <c r="H21" s="380">
        <f t="shared" si="2"/>
        <v>16695</v>
      </c>
      <c r="I21" s="380">
        <f t="shared" si="1"/>
        <v>16695</v>
      </c>
      <c r="J21" s="381"/>
      <c r="N21" s="384"/>
      <c r="O21" s="384"/>
      <c r="P21" s="384"/>
    </row>
    <row r="22" spans="1:16" s="383" customFormat="1">
      <c r="A22" s="374">
        <v>6</v>
      </c>
      <c r="B22" s="375">
        <f>'input data'!E14</f>
        <v>3.32</v>
      </c>
      <c r="C22" s="385" t="s">
        <v>10</v>
      </c>
      <c r="D22" s="377">
        <f t="shared" si="0"/>
        <v>3.32</v>
      </c>
      <c r="E22" s="378" t="s">
        <v>510</v>
      </c>
      <c r="F22" s="377">
        <f>'input data'!F14</f>
        <v>1350</v>
      </c>
      <c r="G22" s="379" t="s">
        <v>23</v>
      </c>
      <c r="H22" s="380">
        <f t="shared" si="2"/>
        <v>4482</v>
      </c>
      <c r="I22" s="380">
        <f t="shared" si="1"/>
        <v>4482</v>
      </c>
      <c r="J22" s="381"/>
      <c r="N22" s="384"/>
      <c r="O22" s="384"/>
      <c r="P22" s="384"/>
    </row>
    <row r="23" spans="1:16" s="383" customFormat="1">
      <c r="A23" s="374">
        <v>7</v>
      </c>
      <c r="B23" s="375">
        <f>'input data'!E16</f>
        <v>907.2</v>
      </c>
      <c r="C23" s="385" t="s">
        <v>10</v>
      </c>
      <c r="D23" s="377">
        <f>B23-K23</f>
        <v>907.2</v>
      </c>
      <c r="E23" s="762" t="s">
        <v>512</v>
      </c>
      <c r="F23" s="377">
        <f>'input data'!F16</f>
        <v>384.05</v>
      </c>
      <c r="G23" s="379" t="s">
        <v>23</v>
      </c>
      <c r="H23" s="380">
        <f>ROUND(B23*F23,0)</f>
        <v>348410</v>
      </c>
      <c r="I23" s="380">
        <f>H23-L23</f>
        <v>348410</v>
      </c>
      <c r="J23" s="381"/>
      <c r="N23" s="384"/>
      <c r="O23" s="384"/>
      <c r="P23" s="384"/>
    </row>
    <row r="24" spans="1:16" s="383" customFormat="1">
      <c r="A24" s="374">
        <v>7</v>
      </c>
      <c r="B24" s="375">
        <f>'input data'!E17</f>
        <v>22.5</v>
      </c>
      <c r="C24" s="385" t="s">
        <v>612</v>
      </c>
      <c r="D24" s="377">
        <f t="shared" ref="D24" si="6">B24-K24</f>
        <v>22.5</v>
      </c>
      <c r="E24" s="762" t="s">
        <v>1129</v>
      </c>
      <c r="F24" s="377">
        <f>'input data'!F17</f>
        <v>9006.27</v>
      </c>
      <c r="G24" s="379" t="s">
        <v>614</v>
      </c>
      <c r="H24" s="380">
        <f t="shared" ref="H24" si="7">ROUND(B24*F24,0)</f>
        <v>202641</v>
      </c>
      <c r="I24" s="380">
        <f t="shared" ref="I24" si="8">H24-L24</f>
        <v>202641</v>
      </c>
      <c r="J24" s="381"/>
      <c r="N24" s="384"/>
      <c r="O24" s="384"/>
      <c r="P24" s="384"/>
    </row>
    <row r="25" spans="1:16" s="383" customFormat="1">
      <c r="A25" s="374">
        <v>7</v>
      </c>
      <c r="B25" s="375">
        <f>'input data'!E18</f>
        <v>0</v>
      </c>
      <c r="C25" s="385" t="s">
        <v>612</v>
      </c>
      <c r="D25" s="377">
        <f t="shared" ref="D25" si="9">B25-K25</f>
        <v>0</v>
      </c>
      <c r="E25" s="762" t="s">
        <v>1130</v>
      </c>
      <c r="F25" s="377">
        <f>'input data'!F18</f>
        <v>3804.82</v>
      </c>
      <c r="G25" s="379" t="s">
        <v>614</v>
      </c>
      <c r="H25" s="380">
        <f t="shared" ref="H25" si="10">ROUND(B25*F25,0)</f>
        <v>0</v>
      </c>
      <c r="I25" s="380">
        <f t="shared" ref="I25" si="11">H25-L25</f>
        <v>0</v>
      </c>
      <c r="J25" s="381"/>
      <c r="N25" s="384"/>
      <c r="O25" s="384"/>
      <c r="P25" s="384"/>
    </row>
    <row r="26" spans="1:16" s="383" customFormat="1">
      <c r="A26" s="374">
        <v>7</v>
      </c>
      <c r="B26" s="375">
        <f>'input data'!E15</f>
        <v>672</v>
      </c>
      <c r="C26" s="385" t="s">
        <v>10</v>
      </c>
      <c r="D26" s="377">
        <f t="shared" si="0"/>
        <v>672</v>
      </c>
      <c r="E26" s="378" t="s">
        <v>511</v>
      </c>
      <c r="F26" s="377">
        <f>'input data'!F15</f>
        <v>2928.41</v>
      </c>
      <c r="G26" s="379" t="s">
        <v>23</v>
      </c>
      <c r="H26" s="380">
        <f t="shared" si="2"/>
        <v>1967892</v>
      </c>
      <c r="I26" s="380">
        <f t="shared" si="1"/>
        <v>1967892</v>
      </c>
      <c r="J26" s="381"/>
      <c r="N26" s="384"/>
      <c r="O26" s="384"/>
      <c r="P26" s="384"/>
    </row>
    <row r="27" spans="1:16" s="383" customFormat="1">
      <c r="A27" s="374">
        <v>8</v>
      </c>
      <c r="B27" s="375">
        <f>'input data'!E19</f>
        <v>27.810000000000002</v>
      </c>
      <c r="C27" s="385" t="s">
        <v>10</v>
      </c>
      <c r="D27" s="377">
        <f t="shared" si="0"/>
        <v>27.810000000000002</v>
      </c>
      <c r="E27" s="378" t="s">
        <v>513</v>
      </c>
      <c r="F27" s="377">
        <f>'input data'!F19</f>
        <v>1287.1899999999978</v>
      </c>
      <c r="G27" s="379" t="s">
        <v>23</v>
      </c>
      <c r="H27" s="380">
        <f t="shared" si="2"/>
        <v>35797</v>
      </c>
      <c r="I27" s="380">
        <f t="shared" si="1"/>
        <v>35797</v>
      </c>
      <c r="J27" s="381"/>
      <c r="N27" s="384"/>
      <c r="O27" s="384"/>
      <c r="P27" s="384"/>
    </row>
    <row r="28" spans="1:16" s="383" customFormat="1" ht="24">
      <c r="A28" s="374">
        <v>9</v>
      </c>
      <c r="B28" s="375">
        <v>1</v>
      </c>
      <c r="C28" s="385" t="s">
        <v>60</v>
      </c>
      <c r="D28" s="377">
        <f t="shared" si="0"/>
        <v>1</v>
      </c>
      <c r="E28" s="378" t="s">
        <v>514</v>
      </c>
      <c r="F28" s="387">
        <f>'input data'!G20</f>
        <v>1993028</v>
      </c>
      <c r="G28" s="379" t="s">
        <v>58</v>
      </c>
      <c r="H28" s="380">
        <f t="shared" si="2"/>
        <v>1993028</v>
      </c>
      <c r="I28" s="380">
        <f t="shared" si="1"/>
        <v>1993028</v>
      </c>
      <c r="J28" s="381"/>
      <c r="N28" s="384"/>
      <c r="O28" s="384"/>
      <c r="P28" s="384"/>
    </row>
    <row r="29" spans="1:16" s="383" customFormat="1">
      <c r="A29" s="374">
        <v>9</v>
      </c>
      <c r="B29" s="375">
        <v>1</v>
      </c>
      <c r="C29" s="385" t="s">
        <v>60</v>
      </c>
      <c r="D29" s="377">
        <f t="shared" ref="D29" si="12">B29-K29</f>
        <v>1</v>
      </c>
      <c r="E29" s="378" t="s">
        <v>1132</v>
      </c>
      <c r="F29" s="387">
        <f>'input data'!G22</f>
        <v>2004957</v>
      </c>
      <c r="G29" s="379" t="s">
        <v>58</v>
      </c>
      <c r="H29" s="380">
        <f t="shared" ref="H29" si="13">ROUND(B29*F29,0)</f>
        <v>2004957</v>
      </c>
      <c r="I29" s="380">
        <f t="shared" ref="I29" si="14">H29-L29</f>
        <v>2004957</v>
      </c>
      <c r="J29" s="381"/>
      <c r="N29" s="384"/>
      <c r="O29" s="384"/>
      <c r="P29" s="384"/>
    </row>
    <row r="30" spans="1:16" s="383" customFormat="1">
      <c r="A30" s="374">
        <v>9</v>
      </c>
      <c r="B30" s="375">
        <v>1</v>
      </c>
      <c r="C30" s="385" t="s">
        <v>60</v>
      </c>
      <c r="D30" s="377">
        <f t="shared" ref="D30" si="15">B30-K30</f>
        <v>1</v>
      </c>
      <c r="E30" s="378" t="s">
        <v>1131</v>
      </c>
      <c r="F30" s="387">
        <f>'input data'!G21</f>
        <v>0</v>
      </c>
      <c r="G30" s="379" t="s">
        <v>58</v>
      </c>
      <c r="H30" s="380">
        <f t="shared" ref="H30" si="16">ROUND(B30*F30,0)</f>
        <v>0</v>
      </c>
      <c r="I30" s="380">
        <f t="shared" ref="I30" si="17">H30-L30</f>
        <v>0</v>
      </c>
      <c r="J30" s="381"/>
      <c r="N30" s="384"/>
      <c r="O30" s="384"/>
      <c r="P30" s="384"/>
    </row>
    <row r="31" spans="1:16" s="383" customFormat="1">
      <c r="A31" s="374">
        <v>10</v>
      </c>
      <c r="B31" s="375">
        <v>1</v>
      </c>
      <c r="C31" s="385" t="s">
        <v>60</v>
      </c>
      <c r="D31" s="377">
        <f t="shared" si="0"/>
        <v>1</v>
      </c>
      <c r="E31" s="378" t="s">
        <v>515</v>
      </c>
      <c r="F31" s="387">
        <f>'input data'!G23</f>
        <v>0</v>
      </c>
      <c r="G31" s="379" t="s">
        <v>58</v>
      </c>
      <c r="H31" s="380">
        <f t="shared" si="2"/>
        <v>0</v>
      </c>
      <c r="I31" s="380">
        <f t="shared" si="1"/>
        <v>0</v>
      </c>
      <c r="J31" s="381"/>
      <c r="N31" s="384"/>
      <c r="O31" s="384"/>
      <c r="P31" s="384"/>
    </row>
    <row r="32" spans="1:16" s="383" customFormat="1">
      <c r="A32" s="374">
        <v>11</v>
      </c>
      <c r="B32" s="375">
        <f>H32/F32</f>
        <v>0.8724216462216613</v>
      </c>
      <c r="C32" s="385" t="s">
        <v>60</v>
      </c>
      <c r="D32" s="377">
        <f t="shared" si="0"/>
        <v>0.8724216462216613</v>
      </c>
      <c r="E32" s="378" t="s">
        <v>516</v>
      </c>
      <c r="F32" s="387">
        <f>'input data'!G26</f>
        <v>6313767</v>
      </c>
      <c r="G32" s="379" t="s">
        <v>58</v>
      </c>
      <c r="H32" s="380">
        <f>'R-2'!O65</f>
        <v>5508267</v>
      </c>
      <c r="I32" s="380">
        <f t="shared" si="1"/>
        <v>5508267</v>
      </c>
      <c r="J32" s="381"/>
      <c r="N32" s="384"/>
      <c r="O32" s="384"/>
      <c r="P32" s="384"/>
    </row>
    <row r="33" spans="1:16" s="383" customFormat="1">
      <c r="A33" s="374">
        <v>12</v>
      </c>
      <c r="B33" s="375">
        <v>1</v>
      </c>
      <c r="C33" s="385" t="s">
        <v>60</v>
      </c>
      <c r="D33" s="377">
        <f t="shared" si="0"/>
        <v>1</v>
      </c>
      <c r="E33" s="378" t="s">
        <v>517</v>
      </c>
      <c r="F33" s="387">
        <f>'input data'!G25</f>
        <v>50892</v>
      </c>
      <c r="G33" s="379" t="s">
        <v>58</v>
      </c>
      <c r="H33" s="380">
        <f t="shared" si="2"/>
        <v>50892</v>
      </c>
      <c r="I33" s="380">
        <f t="shared" si="1"/>
        <v>50892</v>
      </c>
      <c r="J33" s="381"/>
      <c r="N33" s="384"/>
      <c r="O33" s="384"/>
      <c r="P33" s="384"/>
    </row>
    <row r="34" spans="1:16" s="383" customFormat="1">
      <c r="A34" s="374">
        <v>13</v>
      </c>
      <c r="B34" s="375">
        <v>1</v>
      </c>
      <c r="C34" s="385" t="s">
        <v>60</v>
      </c>
      <c r="D34" s="377">
        <f t="shared" si="0"/>
        <v>1</v>
      </c>
      <c r="E34" s="378" t="s">
        <v>518</v>
      </c>
      <c r="F34" s="387">
        <f>'input data'!G24</f>
        <v>960158</v>
      </c>
      <c r="G34" s="379" t="s">
        <v>58</v>
      </c>
      <c r="H34" s="380">
        <f t="shared" si="2"/>
        <v>960158</v>
      </c>
      <c r="I34" s="380">
        <f t="shared" si="1"/>
        <v>960158</v>
      </c>
      <c r="J34" s="381"/>
      <c r="N34" s="384"/>
      <c r="O34" s="384"/>
      <c r="P34" s="384"/>
    </row>
    <row r="35" spans="1:16" s="383" customFormat="1">
      <c r="A35" s="374"/>
      <c r="B35" s="375"/>
      <c r="C35" s="388"/>
      <c r="D35" s="389"/>
      <c r="E35" s="378"/>
      <c r="F35" s="377"/>
      <c r="G35" s="379"/>
      <c r="H35" s="380"/>
      <c r="I35" s="380"/>
      <c r="J35" s="381"/>
      <c r="K35" s="390"/>
      <c r="N35" s="384"/>
      <c r="O35" s="384"/>
      <c r="P35" s="384"/>
    </row>
    <row r="36" spans="1:16" s="383" customFormat="1">
      <c r="A36" s="374"/>
      <c r="B36" s="375"/>
      <c r="C36" s="388"/>
      <c r="D36" s="389"/>
      <c r="E36" s="378"/>
      <c r="F36" s="377"/>
      <c r="G36" s="379"/>
      <c r="H36" s="380"/>
      <c r="I36" s="380"/>
      <c r="J36" s="381"/>
      <c r="K36" s="382"/>
      <c r="N36" s="384"/>
      <c r="O36" s="384"/>
      <c r="P36" s="384"/>
    </row>
    <row r="37" spans="1:16" s="401" customFormat="1" ht="12">
      <c r="A37" s="391"/>
      <c r="B37" s="392"/>
      <c r="C37" s="393"/>
      <c r="D37" s="394"/>
      <c r="E37" s="395"/>
      <c r="F37" s="396"/>
      <c r="G37" s="397"/>
      <c r="H37" s="398"/>
      <c r="I37" s="399"/>
      <c r="J37" s="400"/>
    </row>
    <row r="38" spans="1:16" s="409" customFormat="1" ht="18" customHeight="1">
      <c r="A38" s="402"/>
      <c r="B38" s="403"/>
      <c r="C38" s="404"/>
      <c r="D38" s="405"/>
      <c r="E38" s="1206" t="s">
        <v>188</v>
      </c>
      <c r="F38" s="1206"/>
      <c r="G38" s="406" t="s">
        <v>94</v>
      </c>
      <c r="H38" s="407">
        <f>SUM(H16:H37)</f>
        <v>13194500</v>
      </c>
      <c r="I38" s="407">
        <f>SUM(I16:I37)</f>
        <v>13194500</v>
      </c>
      <c r="J38" s="408"/>
      <c r="L38" s="407">
        <f>SUM(L18:L37)</f>
        <v>0</v>
      </c>
      <c r="M38" s="407"/>
    </row>
    <row r="39" spans="1:16" s="409" customFormat="1" ht="12" customHeight="1">
      <c r="A39" s="402"/>
      <c r="B39" s="403"/>
      <c r="C39" s="404"/>
      <c r="D39" s="405"/>
      <c r="E39" s="1206" t="s">
        <v>189</v>
      </c>
      <c r="F39" s="1206"/>
      <c r="G39" s="406" t="s">
        <v>94</v>
      </c>
      <c r="H39" s="407">
        <f>L38</f>
        <v>0</v>
      </c>
      <c r="I39" s="410"/>
      <c r="J39" s="408"/>
    </row>
    <row r="40" spans="1:16" s="409" customFormat="1" ht="15" customHeight="1">
      <c r="A40" s="411"/>
      <c r="B40" s="412"/>
      <c r="C40" s="413"/>
      <c r="D40" s="414"/>
      <c r="E40" s="1207" t="s">
        <v>190</v>
      </c>
      <c r="F40" s="1207"/>
      <c r="G40" s="415" t="s">
        <v>94</v>
      </c>
      <c r="H40" s="416">
        <f>H38-H39</f>
        <v>13194500</v>
      </c>
      <c r="I40" s="1208"/>
      <c r="J40" s="1209"/>
    </row>
    <row r="41" spans="1:16" s="367" customFormat="1" ht="30.75" customHeight="1">
      <c r="B41" s="1210" t="s">
        <v>191</v>
      </c>
      <c r="C41" s="1210"/>
      <c r="D41" s="1210"/>
      <c r="E41" s="1210"/>
      <c r="F41" s="417"/>
      <c r="G41" s="417"/>
      <c r="H41" s="1211" t="s">
        <v>519</v>
      </c>
      <c r="I41" s="1211"/>
      <c r="J41" s="1211"/>
      <c r="K41" s="366"/>
      <c r="L41" s="366"/>
      <c r="M41" s="366"/>
    </row>
    <row r="42" spans="1:16" s="367" customFormat="1" ht="81.75" customHeight="1">
      <c r="B42" s="418"/>
      <c r="C42" s="419"/>
      <c r="D42" s="1212" t="s">
        <v>673</v>
      </c>
      <c r="E42" s="1212"/>
      <c r="F42" s="1200" t="s">
        <v>194</v>
      </c>
      <c r="G42" s="1200"/>
      <c r="H42" s="1200"/>
      <c r="I42" s="1200"/>
      <c r="J42" s="1200"/>
      <c r="K42" s="366">
        <f>[3]WORK!B60</f>
        <v>0</v>
      </c>
      <c r="L42" s="366"/>
      <c r="M42" s="366"/>
    </row>
    <row r="43" spans="1:16" s="367" customFormat="1" ht="3" customHeight="1">
      <c r="B43" s="418"/>
      <c r="C43" s="419"/>
      <c r="D43" s="1199"/>
      <c r="E43" s="1199"/>
      <c r="F43" s="419"/>
      <c r="G43" s="419"/>
      <c r="H43" s="419"/>
      <c r="I43" s="419"/>
      <c r="J43" s="419"/>
      <c r="K43" s="366"/>
      <c r="L43" s="366"/>
      <c r="M43" s="366"/>
    </row>
    <row r="44" spans="1:16" s="367" customFormat="1" ht="37.5" customHeight="1">
      <c r="B44" s="418"/>
      <c r="C44" s="419"/>
      <c r="D44" s="1199" t="s">
        <v>195</v>
      </c>
      <c r="E44" s="1199"/>
      <c r="F44" s="1200" t="s">
        <v>196</v>
      </c>
      <c r="G44" s="1200"/>
      <c r="H44" s="1200"/>
      <c r="I44" s="1200"/>
      <c r="J44" s="1200"/>
      <c r="K44" s="366"/>
      <c r="L44" s="366"/>
      <c r="M44" s="366"/>
    </row>
    <row r="45" spans="1:16" s="367" customFormat="1" ht="21.75" customHeight="1">
      <c r="B45" s="418"/>
      <c r="C45" s="419"/>
      <c r="D45" s="1199" t="s">
        <v>197</v>
      </c>
      <c r="E45" s="1199"/>
      <c r="F45" s="1200" t="s">
        <v>520</v>
      </c>
      <c r="G45" s="1200"/>
      <c r="H45" s="1200"/>
      <c r="I45" s="1200" t="s">
        <v>199</v>
      </c>
      <c r="J45" s="1200"/>
      <c r="K45" s="366"/>
      <c r="L45" s="366"/>
      <c r="M45" s="366"/>
    </row>
    <row r="46" spans="1:16" ht="12.75" customHeight="1">
      <c r="B46" s="420"/>
      <c r="C46" s="421"/>
      <c r="D46" s="1201"/>
      <c r="E46" s="1201"/>
      <c r="F46" s="1202"/>
      <c r="G46" s="1202"/>
      <c r="H46" s="1202"/>
      <c r="I46" s="1203"/>
      <c r="J46" s="1203"/>
    </row>
    <row r="47" spans="1:16" ht="15" customHeight="1">
      <c r="B47" s="420"/>
      <c r="C47" s="421"/>
      <c r="D47" s="422"/>
      <c r="E47" s="423" t="str">
        <f>'lead 2025-26'!J37</f>
        <v>Assistant   Engineer</v>
      </c>
      <c r="F47" s="421"/>
      <c r="G47" s="421"/>
      <c r="H47" s="421"/>
      <c r="I47" s="424"/>
      <c r="J47" s="424"/>
    </row>
    <row r="48" spans="1:16" ht="12.75" customHeight="1">
      <c r="B48" s="420"/>
      <c r="C48" s="421"/>
      <c r="D48" s="422"/>
      <c r="E48" s="423" t="str">
        <f>'lead 2025-26'!J38</f>
        <v>Mandal Praja Parishad</v>
      </c>
      <c r="F48" s="421"/>
      <c r="G48" s="421"/>
      <c r="H48" s="421"/>
      <c r="I48" s="424"/>
      <c r="J48" s="424"/>
    </row>
    <row r="49" spans="1:16" ht="12.75" customHeight="1">
      <c r="B49" s="420"/>
      <c r="C49" s="421"/>
      <c r="D49" s="422"/>
      <c r="E49" s="423" t="str">
        <f>'lead 2025-26'!J39</f>
        <v>Pamuru</v>
      </c>
      <c r="F49" s="421"/>
      <c r="G49" s="421"/>
      <c r="H49" s="421"/>
      <c r="I49" s="424"/>
      <c r="J49" s="424"/>
    </row>
    <row r="50" spans="1:16" s="356" customFormat="1" ht="12.75" customHeight="1">
      <c r="A50" s="357"/>
      <c r="B50" s="420"/>
      <c r="C50" s="421"/>
      <c r="D50" s="422"/>
      <c r="E50" s="425"/>
      <c r="F50" s="421"/>
      <c r="G50" s="421"/>
      <c r="H50" s="421"/>
      <c r="I50" s="424"/>
      <c r="J50" s="424"/>
      <c r="N50" s="357"/>
      <c r="O50" s="357"/>
      <c r="P50" s="357"/>
    </row>
    <row r="51" spans="1:16" s="356" customFormat="1">
      <c r="A51" s="357"/>
      <c r="B51" s="426"/>
      <c r="C51" s="427"/>
      <c r="D51" s="428"/>
      <c r="E51" s="427"/>
      <c r="F51" s="427"/>
      <c r="G51" s="427"/>
      <c r="H51" s="427"/>
      <c r="I51" s="427"/>
      <c r="J51" s="427"/>
      <c r="N51" s="357"/>
      <c r="O51" s="357"/>
      <c r="P51" s="357"/>
    </row>
    <row r="52" spans="1:16" s="356" customFormat="1">
      <c r="A52" s="357"/>
      <c r="B52" s="426"/>
      <c r="C52" s="427"/>
      <c r="D52" s="428"/>
      <c r="E52" s="427"/>
      <c r="F52" s="427"/>
      <c r="G52" s="427"/>
      <c r="H52" s="427"/>
      <c r="I52" s="427"/>
      <c r="J52" s="427"/>
      <c r="N52" s="357"/>
      <c r="O52" s="357"/>
      <c r="P52" s="357"/>
    </row>
    <row r="53" spans="1:16" s="356" customFormat="1">
      <c r="A53" s="357"/>
      <c r="B53" s="426"/>
      <c r="C53" s="427"/>
      <c r="D53" s="428"/>
      <c r="E53" s="427"/>
      <c r="F53" s="427"/>
      <c r="G53" s="427"/>
      <c r="H53" s="427"/>
      <c r="I53" s="427"/>
      <c r="J53" s="427"/>
      <c r="N53" s="357"/>
      <c r="O53" s="357"/>
      <c r="P53" s="357"/>
    </row>
    <row r="54" spans="1:16" s="356" customFormat="1">
      <c r="A54" s="357"/>
      <c r="B54" s="426"/>
      <c r="C54" s="427"/>
      <c r="D54" s="428"/>
      <c r="E54" s="427"/>
      <c r="F54" s="427"/>
      <c r="G54" s="427"/>
      <c r="H54" s="427"/>
      <c r="I54" s="427"/>
      <c r="J54" s="427"/>
      <c r="N54" s="357"/>
      <c r="O54" s="357"/>
      <c r="P54" s="357"/>
    </row>
    <row r="55" spans="1:16" s="356" customFormat="1">
      <c r="A55" s="357"/>
      <c r="B55" s="426"/>
      <c r="C55" s="427"/>
      <c r="D55" s="428"/>
      <c r="E55" s="427"/>
      <c r="F55" s="427"/>
      <c r="G55" s="427"/>
      <c r="H55" s="427"/>
      <c r="I55" s="427"/>
      <c r="J55" s="427"/>
      <c r="N55" s="357"/>
      <c r="O55" s="357"/>
      <c r="P55" s="357"/>
    </row>
    <row r="56" spans="1:16" s="356" customFormat="1">
      <c r="A56" s="357"/>
      <c r="B56" s="426"/>
      <c r="C56" s="427"/>
      <c r="D56" s="428"/>
      <c r="E56" s="427"/>
      <c r="F56" s="427"/>
      <c r="G56" s="427"/>
      <c r="H56" s="427"/>
      <c r="I56" s="427"/>
      <c r="J56" s="427"/>
      <c r="N56" s="357"/>
      <c r="O56" s="357"/>
      <c r="P56" s="357"/>
    </row>
    <row r="57" spans="1:16" s="356" customFormat="1">
      <c r="A57" s="357"/>
      <c r="B57" s="426"/>
      <c r="C57" s="427"/>
      <c r="D57" s="428"/>
      <c r="E57" s="427"/>
      <c r="F57" s="427"/>
      <c r="G57" s="427"/>
      <c r="H57" s="427"/>
      <c r="I57" s="427"/>
      <c r="J57" s="427"/>
      <c r="N57" s="357"/>
      <c r="O57" s="357"/>
      <c r="P57" s="357"/>
    </row>
    <row r="58" spans="1:16" s="356" customFormat="1">
      <c r="A58" s="357"/>
      <c r="B58" s="426"/>
      <c r="C58" s="427"/>
      <c r="D58" s="428"/>
      <c r="E58" s="427"/>
      <c r="F58" s="427"/>
      <c r="G58" s="427"/>
      <c r="H58" s="427"/>
      <c r="I58" s="427"/>
      <c r="J58" s="427"/>
      <c r="N58" s="357"/>
      <c r="O58" s="357"/>
      <c r="P58" s="357"/>
    </row>
    <row r="59" spans="1:16" s="356" customFormat="1">
      <c r="A59" s="357"/>
      <c r="B59" s="426"/>
      <c r="C59" s="427"/>
      <c r="D59" s="428"/>
      <c r="E59" s="427"/>
      <c r="F59" s="427"/>
      <c r="G59" s="427"/>
      <c r="H59" s="427"/>
      <c r="I59" s="427"/>
      <c r="J59" s="427"/>
      <c r="N59" s="357"/>
      <c r="O59" s="357"/>
      <c r="P59" s="357"/>
    </row>
    <row r="60" spans="1:16" s="356" customFormat="1">
      <c r="A60" s="357"/>
      <c r="B60" s="426"/>
      <c r="C60" s="427"/>
      <c r="D60" s="428"/>
      <c r="E60" s="427"/>
      <c r="F60" s="427"/>
      <c r="G60" s="427"/>
      <c r="H60" s="427"/>
      <c r="I60" s="427"/>
      <c r="J60" s="427"/>
      <c r="N60" s="357"/>
      <c r="O60" s="357"/>
      <c r="P60" s="357"/>
    </row>
    <row r="61" spans="1:16" s="356" customFormat="1">
      <c r="A61" s="357"/>
      <c r="B61" s="426"/>
      <c r="C61" s="427"/>
      <c r="D61" s="428"/>
      <c r="E61" s="427"/>
      <c r="F61" s="427"/>
      <c r="G61" s="427"/>
      <c r="H61" s="427"/>
      <c r="I61" s="427"/>
      <c r="J61" s="427"/>
      <c r="N61" s="357"/>
      <c r="O61" s="357"/>
      <c r="P61" s="357"/>
    </row>
    <row r="62" spans="1:16" s="356" customFormat="1">
      <c r="A62" s="357"/>
      <c r="B62" s="426"/>
      <c r="C62" s="427"/>
      <c r="D62" s="428"/>
      <c r="E62" s="427"/>
      <c r="F62" s="427"/>
      <c r="G62" s="427"/>
      <c r="H62" s="427"/>
      <c r="I62" s="427"/>
      <c r="J62" s="427"/>
      <c r="N62" s="357"/>
      <c r="O62" s="357"/>
      <c r="P62" s="357"/>
    </row>
    <row r="63" spans="1:16" s="356" customFormat="1">
      <c r="A63" s="357"/>
      <c r="B63" s="426"/>
      <c r="C63" s="427"/>
      <c r="D63" s="428"/>
      <c r="E63" s="427"/>
      <c r="F63" s="427"/>
      <c r="G63" s="427"/>
      <c r="H63" s="427"/>
      <c r="I63" s="427"/>
      <c r="J63" s="427"/>
      <c r="N63" s="357"/>
      <c r="O63" s="357"/>
      <c r="P63" s="357"/>
    </row>
    <row r="64" spans="1:16" s="356" customFormat="1">
      <c r="A64" s="357"/>
      <c r="B64" s="426"/>
      <c r="C64" s="427"/>
      <c r="D64" s="428"/>
      <c r="E64" s="427"/>
      <c r="F64" s="427"/>
      <c r="G64" s="427"/>
      <c r="H64" s="427"/>
      <c r="I64" s="427"/>
      <c r="J64" s="427"/>
      <c r="N64" s="357"/>
      <c r="O64" s="357"/>
      <c r="P64" s="357"/>
    </row>
    <row r="65" spans="1:16" s="356" customFormat="1">
      <c r="A65" s="357"/>
      <c r="B65" s="426"/>
      <c r="C65" s="427"/>
      <c r="D65" s="428"/>
      <c r="E65" s="427"/>
      <c r="F65" s="427"/>
      <c r="G65" s="427"/>
      <c r="H65" s="427"/>
      <c r="I65" s="427"/>
      <c r="J65" s="427"/>
      <c r="N65" s="357"/>
      <c r="O65" s="357"/>
      <c r="P65" s="357"/>
    </row>
    <row r="66" spans="1:16" s="356" customFormat="1">
      <c r="A66" s="357"/>
      <c r="B66" s="426"/>
      <c r="C66" s="427"/>
      <c r="D66" s="428"/>
      <c r="E66" s="427"/>
      <c r="F66" s="427"/>
      <c r="G66" s="427"/>
      <c r="H66" s="427"/>
      <c r="I66" s="427"/>
      <c r="J66" s="427"/>
      <c r="N66" s="357"/>
      <c r="O66" s="357"/>
      <c r="P66" s="357"/>
    </row>
    <row r="67" spans="1:16" s="356" customFormat="1">
      <c r="A67" s="357"/>
      <c r="B67" s="426"/>
      <c r="C67" s="427"/>
      <c r="D67" s="428"/>
      <c r="E67" s="427"/>
      <c r="F67" s="427"/>
      <c r="G67" s="427"/>
      <c r="H67" s="427"/>
      <c r="I67" s="427"/>
      <c r="J67" s="427"/>
      <c r="N67" s="357"/>
      <c r="O67" s="357"/>
      <c r="P67" s="357"/>
    </row>
    <row r="68" spans="1:16" s="356" customFormat="1">
      <c r="A68" s="357"/>
      <c r="B68" s="426"/>
      <c r="C68" s="427"/>
      <c r="D68" s="428"/>
      <c r="E68" s="427"/>
      <c r="F68" s="427"/>
      <c r="G68" s="427"/>
      <c r="H68" s="427"/>
      <c r="I68" s="427"/>
      <c r="J68" s="427"/>
      <c r="N68" s="357"/>
      <c r="O68" s="357"/>
      <c r="P68" s="357"/>
    </row>
    <row r="69" spans="1:16" s="356" customFormat="1">
      <c r="A69" s="357"/>
      <c r="B69" s="426"/>
      <c r="C69" s="427"/>
      <c r="D69" s="428"/>
      <c r="E69" s="427"/>
      <c r="F69" s="427"/>
      <c r="G69" s="427"/>
      <c r="H69" s="427"/>
      <c r="I69" s="427"/>
      <c r="J69" s="427"/>
      <c r="N69" s="357"/>
      <c r="O69" s="357"/>
      <c r="P69" s="357"/>
    </row>
    <row r="70" spans="1:16" s="356" customFormat="1">
      <c r="A70" s="357"/>
      <c r="B70" s="426"/>
      <c r="C70" s="427"/>
      <c r="D70" s="428"/>
      <c r="E70" s="427"/>
      <c r="F70" s="427"/>
      <c r="G70" s="427"/>
      <c r="H70" s="427"/>
      <c r="I70" s="427"/>
      <c r="J70" s="427"/>
      <c r="N70" s="357"/>
      <c r="O70" s="357"/>
      <c r="P70" s="357"/>
    </row>
    <row r="71" spans="1:16" s="356" customFormat="1">
      <c r="A71" s="357"/>
      <c r="B71" s="426"/>
      <c r="C71" s="427"/>
      <c r="D71" s="428"/>
      <c r="E71" s="427"/>
      <c r="F71" s="427"/>
      <c r="G71" s="427"/>
      <c r="H71" s="427"/>
      <c r="I71" s="427"/>
      <c r="J71" s="427"/>
      <c r="N71" s="357"/>
      <c r="O71" s="357"/>
      <c r="P71" s="357"/>
    </row>
    <row r="72" spans="1:16" s="356" customFormat="1">
      <c r="A72" s="357"/>
      <c r="B72" s="426"/>
      <c r="C72" s="427"/>
      <c r="D72" s="428"/>
      <c r="E72" s="427"/>
      <c r="F72" s="427"/>
      <c r="G72" s="427"/>
      <c r="H72" s="427"/>
      <c r="I72" s="427"/>
      <c r="J72" s="427"/>
      <c r="N72" s="357"/>
      <c r="O72" s="357"/>
      <c r="P72" s="357"/>
    </row>
    <row r="73" spans="1:16" s="356" customFormat="1">
      <c r="A73" s="357"/>
      <c r="B73" s="426"/>
      <c r="C73" s="427"/>
      <c r="D73" s="428"/>
      <c r="E73" s="427"/>
      <c r="F73" s="427"/>
      <c r="G73" s="427"/>
      <c r="H73" s="427"/>
      <c r="I73" s="427"/>
      <c r="J73" s="427"/>
      <c r="N73" s="357"/>
      <c r="O73" s="357"/>
      <c r="P73" s="357"/>
    </row>
    <row r="74" spans="1:16" s="356" customFormat="1">
      <c r="A74" s="357"/>
      <c r="B74" s="426"/>
      <c r="C74" s="427"/>
      <c r="D74" s="428"/>
      <c r="E74" s="427"/>
      <c r="F74" s="427"/>
      <c r="G74" s="427"/>
      <c r="H74" s="427"/>
      <c r="I74" s="427"/>
      <c r="J74" s="427"/>
      <c r="N74" s="357"/>
      <c r="O74" s="357"/>
      <c r="P74" s="357"/>
    </row>
    <row r="75" spans="1:16" s="356" customFormat="1">
      <c r="A75" s="357"/>
      <c r="B75" s="426"/>
      <c r="C75" s="427"/>
      <c r="D75" s="428"/>
      <c r="E75" s="427"/>
      <c r="F75" s="427"/>
      <c r="G75" s="427"/>
      <c r="H75" s="427"/>
      <c r="I75" s="427"/>
      <c r="J75" s="427"/>
      <c r="N75" s="357"/>
      <c r="O75" s="357"/>
      <c r="P75" s="357"/>
    </row>
    <row r="76" spans="1:16" s="356" customFormat="1">
      <c r="A76" s="357"/>
      <c r="B76" s="426"/>
      <c r="C76" s="427"/>
      <c r="D76" s="428"/>
      <c r="E76" s="427"/>
      <c r="F76" s="427"/>
      <c r="G76" s="427"/>
      <c r="H76" s="427"/>
      <c r="I76" s="427"/>
      <c r="J76" s="427"/>
      <c r="N76" s="357"/>
      <c r="O76" s="357"/>
      <c r="P76" s="357"/>
    </row>
    <row r="77" spans="1:16" s="356" customFormat="1">
      <c r="A77" s="357"/>
      <c r="B77" s="426"/>
      <c r="C77" s="427"/>
      <c r="D77" s="428"/>
      <c r="E77" s="427"/>
      <c r="F77" s="427"/>
      <c r="G77" s="427"/>
      <c r="H77" s="427"/>
      <c r="I77" s="427"/>
      <c r="J77" s="427"/>
      <c r="N77" s="357"/>
      <c r="O77" s="357"/>
      <c r="P77" s="357"/>
    </row>
    <row r="78" spans="1:16" s="356" customFormat="1">
      <c r="A78" s="357"/>
      <c r="B78" s="426"/>
      <c r="C78" s="427"/>
      <c r="D78" s="428"/>
      <c r="E78" s="427"/>
      <c r="F78" s="427"/>
      <c r="G78" s="427"/>
      <c r="H78" s="427"/>
      <c r="I78" s="427"/>
      <c r="J78" s="427"/>
      <c r="N78" s="357"/>
      <c r="O78" s="357"/>
      <c r="P78" s="357"/>
    </row>
    <row r="79" spans="1:16" s="356" customFormat="1">
      <c r="A79" s="357"/>
      <c r="B79" s="426"/>
      <c r="C79" s="427"/>
      <c r="D79" s="428"/>
      <c r="E79" s="427"/>
      <c r="F79" s="427"/>
      <c r="G79" s="427"/>
      <c r="H79" s="427"/>
      <c r="I79" s="427"/>
      <c r="J79" s="427"/>
      <c r="N79" s="357"/>
      <c r="O79" s="357"/>
      <c r="P79" s="357"/>
    </row>
    <row r="80" spans="1:16" s="356" customFormat="1">
      <c r="A80" s="357"/>
      <c r="B80" s="426"/>
      <c r="C80" s="427"/>
      <c r="D80" s="428"/>
      <c r="E80" s="427"/>
      <c r="F80" s="427"/>
      <c r="G80" s="427"/>
      <c r="H80" s="427"/>
      <c r="I80" s="427"/>
      <c r="J80" s="427"/>
      <c r="N80" s="357"/>
      <c r="O80" s="357"/>
      <c r="P80" s="357"/>
    </row>
    <row r="81" spans="1:16" s="356" customFormat="1">
      <c r="A81" s="357"/>
      <c r="B81" s="426"/>
      <c r="C81" s="427"/>
      <c r="D81" s="428"/>
      <c r="E81" s="427"/>
      <c r="F81" s="427"/>
      <c r="G81" s="427"/>
      <c r="H81" s="427"/>
      <c r="I81" s="427"/>
      <c r="J81" s="427"/>
      <c r="N81" s="357"/>
      <c r="O81" s="357"/>
      <c r="P81" s="357"/>
    </row>
    <row r="82" spans="1:16" s="356" customFormat="1">
      <c r="A82" s="357"/>
      <c r="B82" s="426"/>
      <c r="C82" s="427"/>
      <c r="D82" s="428"/>
      <c r="E82" s="427"/>
      <c r="F82" s="427"/>
      <c r="G82" s="427"/>
      <c r="H82" s="427"/>
      <c r="I82" s="427"/>
      <c r="J82" s="427"/>
      <c r="N82" s="357"/>
      <c r="O82" s="357"/>
      <c r="P82" s="357"/>
    </row>
    <row r="83" spans="1:16" s="356" customFormat="1">
      <c r="A83" s="357"/>
      <c r="B83" s="426"/>
      <c r="C83" s="427"/>
      <c r="D83" s="428"/>
      <c r="E83" s="427"/>
      <c r="F83" s="427"/>
      <c r="G83" s="427"/>
      <c r="H83" s="427"/>
      <c r="I83" s="427"/>
      <c r="J83" s="427"/>
      <c r="N83" s="357"/>
      <c r="O83" s="357"/>
      <c r="P83" s="357"/>
    </row>
    <row r="84" spans="1:16" s="356" customFormat="1">
      <c r="A84" s="357"/>
      <c r="B84" s="426"/>
      <c r="C84" s="427"/>
      <c r="D84" s="428"/>
      <c r="E84" s="427"/>
      <c r="F84" s="427"/>
      <c r="G84" s="427"/>
      <c r="H84" s="427"/>
      <c r="I84" s="427"/>
      <c r="J84" s="427"/>
      <c r="N84" s="357"/>
      <c r="O84" s="357"/>
      <c r="P84" s="357"/>
    </row>
    <row r="85" spans="1:16" s="356" customFormat="1">
      <c r="A85" s="357"/>
      <c r="B85" s="426"/>
      <c r="C85" s="427"/>
      <c r="D85" s="428"/>
      <c r="E85" s="427"/>
      <c r="F85" s="427"/>
      <c r="G85" s="427"/>
      <c r="H85" s="427"/>
      <c r="I85" s="427"/>
      <c r="J85" s="427"/>
      <c r="N85" s="357"/>
      <c r="O85" s="357"/>
      <c r="P85" s="357"/>
    </row>
    <row r="86" spans="1:16" s="356" customFormat="1">
      <c r="A86" s="357"/>
      <c r="B86" s="426"/>
      <c r="C86" s="427"/>
      <c r="D86" s="428"/>
      <c r="E86" s="427"/>
      <c r="F86" s="427"/>
      <c r="G86" s="427"/>
      <c r="H86" s="427"/>
      <c r="I86" s="427"/>
      <c r="J86" s="427"/>
      <c r="N86" s="357"/>
      <c r="O86" s="357"/>
      <c r="P86" s="357"/>
    </row>
    <row r="87" spans="1:16" s="356" customFormat="1">
      <c r="A87" s="357"/>
      <c r="B87" s="426"/>
      <c r="C87" s="427"/>
      <c r="D87" s="428"/>
      <c r="E87" s="427"/>
      <c r="F87" s="427"/>
      <c r="G87" s="427"/>
      <c r="H87" s="427"/>
      <c r="I87" s="427"/>
      <c r="J87" s="427"/>
      <c r="N87" s="357"/>
      <c r="O87" s="357"/>
      <c r="P87" s="357"/>
    </row>
    <row r="88" spans="1:16" s="356" customFormat="1">
      <c r="A88" s="357"/>
      <c r="B88" s="426"/>
      <c r="C88" s="427"/>
      <c r="D88" s="428"/>
      <c r="E88" s="427"/>
      <c r="F88" s="427"/>
      <c r="G88" s="427"/>
      <c r="H88" s="427"/>
      <c r="I88" s="427"/>
      <c r="J88" s="427"/>
      <c r="N88" s="357"/>
      <c r="O88" s="357"/>
      <c r="P88" s="357"/>
    </row>
    <row r="89" spans="1:16" s="356" customFormat="1">
      <c r="A89" s="357"/>
      <c r="B89" s="426"/>
      <c r="C89" s="427"/>
      <c r="D89" s="428"/>
      <c r="E89" s="427"/>
      <c r="F89" s="427"/>
      <c r="G89" s="427"/>
      <c r="H89" s="427"/>
      <c r="I89" s="427"/>
      <c r="J89" s="427"/>
      <c r="N89" s="357"/>
      <c r="O89" s="357"/>
      <c r="P89" s="357"/>
    </row>
    <row r="90" spans="1:16" s="356" customFormat="1">
      <c r="A90" s="357"/>
      <c r="B90" s="426"/>
      <c r="C90" s="427"/>
      <c r="D90" s="428"/>
      <c r="E90" s="427"/>
      <c r="F90" s="427"/>
      <c r="G90" s="427"/>
      <c r="H90" s="427"/>
      <c r="I90" s="427"/>
      <c r="J90" s="427"/>
      <c r="N90" s="357"/>
      <c r="O90" s="357"/>
      <c r="P90" s="357"/>
    </row>
    <row r="91" spans="1:16" s="356" customFormat="1">
      <c r="A91" s="357"/>
      <c r="B91" s="426"/>
      <c r="C91" s="427"/>
      <c r="D91" s="428"/>
      <c r="E91" s="427"/>
      <c r="F91" s="427"/>
      <c r="G91" s="427"/>
      <c r="H91" s="427"/>
      <c r="I91" s="427"/>
      <c r="J91" s="427"/>
      <c r="N91" s="357"/>
      <c r="O91" s="357"/>
      <c r="P91" s="357"/>
    </row>
    <row r="92" spans="1:16" s="356" customFormat="1">
      <c r="A92" s="357"/>
      <c r="B92" s="426"/>
      <c r="C92" s="427"/>
      <c r="D92" s="428"/>
      <c r="E92" s="427"/>
      <c r="F92" s="427"/>
      <c r="G92" s="427"/>
      <c r="H92" s="427"/>
      <c r="I92" s="427"/>
      <c r="J92" s="427"/>
      <c r="N92" s="357"/>
      <c r="O92" s="357"/>
      <c r="P92" s="357"/>
    </row>
    <row r="93" spans="1:16" s="356" customFormat="1">
      <c r="A93" s="357"/>
      <c r="B93" s="426"/>
      <c r="C93" s="427"/>
      <c r="D93" s="428"/>
      <c r="E93" s="427"/>
      <c r="F93" s="427"/>
      <c r="G93" s="427"/>
      <c r="H93" s="427"/>
      <c r="I93" s="427"/>
      <c r="J93" s="427"/>
      <c r="N93" s="357"/>
      <c r="O93" s="357"/>
      <c r="P93" s="357"/>
    </row>
    <row r="94" spans="1:16" s="356" customFormat="1">
      <c r="A94" s="357"/>
      <c r="B94" s="426"/>
      <c r="C94" s="427"/>
      <c r="D94" s="428"/>
      <c r="E94" s="427"/>
      <c r="F94" s="427"/>
      <c r="G94" s="427"/>
      <c r="H94" s="427"/>
      <c r="I94" s="427"/>
      <c r="J94" s="427"/>
      <c r="N94" s="357"/>
      <c r="O94" s="357"/>
      <c r="P94" s="357"/>
    </row>
    <row r="95" spans="1:16" s="356" customFormat="1">
      <c r="A95" s="357"/>
      <c r="B95" s="426"/>
      <c r="C95" s="427"/>
      <c r="D95" s="428"/>
      <c r="E95" s="427"/>
      <c r="F95" s="427"/>
      <c r="G95" s="427"/>
      <c r="H95" s="427"/>
      <c r="I95" s="427"/>
      <c r="J95" s="427"/>
      <c r="N95" s="357"/>
      <c r="O95" s="357"/>
      <c r="P95" s="357"/>
    </row>
    <row r="96" spans="1:16" s="356" customFormat="1">
      <c r="A96" s="357"/>
      <c r="B96" s="426"/>
      <c r="C96" s="427"/>
      <c r="D96" s="428"/>
      <c r="E96" s="427"/>
      <c r="F96" s="427"/>
      <c r="G96" s="427"/>
      <c r="H96" s="427"/>
      <c r="I96" s="427"/>
      <c r="J96" s="427"/>
      <c r="N96" s="357"/>
      <c r="O96" s="357"/>
      <c r="P96" s="357"/>
    </row>
    <row r="97" spans="1:16" s="356" customFormat="1">
      <c r="A97" s="357"/>
      <c r="B97" s="426"/>
      <c r="C97" s="427"/>
      <c r="D97" s="428"/>
      <c r="E97" s="427"/>
      <c r="F97" s="427"/>
      <c r="G97" s="427"/>
      <c r="H97" s="427"/>
      <c r="I97" s="427"/>
      <c r="J97" s="427"/>
      <c r="N97" s="357"/>
      <c r="O97" s="357"/>
      <c r="P97" s="357"/>
    </row>
    <row r="98" spans="1:16" s="356" customFormat="1">
      <c r="A98" s="357"/>
      <c r="B98" s="426"/>
      <c r="C98" s="427"/>
      <c r="D98" s="428"/>
      <c r="E98" s="427"/>
      <c r="F98" s="427"/>
      <c r="G98" s="427"/>
      <c r="H98" s="427"/>
      <c r="I98" s="427"/>
      <c r="J98" s="427"/>
      <c r="N98" s="357"/>
      <c r="O98" s="357"/>
      <c r="P98" s="357"/>
    </row>
    <row r="99" spans="1:16" s="356" customFormat="1">
      <c r="A99" s="357"/>
      <c r="B99" s="426"/>
      <c r="C99" s="427"/>
      <c r="D99" s="428"/>
      <c r="E99" s="427"/>
      <c r="F99" s="427"/>
      <c r="G99" s="427"/>
      <c r="H99" s="427"/>
      <c r="I99" s="427"/>
      <c r="J99" s="427"/>
      <c r="N99" s="357"/>
      <c r="O99" s="357"/>
      <c r="P99" s="357"/>
    </row>
    <row r="100" spans="1:16" s="356" customFormat="1">
      <c r="A100" s="357"/>
      <c r="B100" s="426"/>
      <c r="C100" s="427"/>
      <c r="D100" s="428"/>
      <c r="E100" s="427"/>
      <c r="F100" s="427"/>
      <c r="G100" s="427"/>
      <c r="H100" s="427"/>
      <c r="I100" s="427"/>
      <c r="J100" s="427"/>
      <c r="N100" s="357"/>
      <c r="O100" s="357"/>
      <c r="P100" s="357"/>
    </row>
    <row r="101" spans="1:16" s="356" customFormat="1">
      <c r="A101" s="357"/>
      <c r="B101" s="426"/>
      <c r="C101" s="427"/>
      <c r="D101" s="428"/>
      <c r="E101" s="427"/>
      <c r="F101" s="427"/>
      <c r="G101" s="427"/>
      <c r="H101" s="427"/>
      <c r="I101" s="427"/>
      <c r="J101" s="427"/>
      <c r="N101" s="357"/>
      <c r="O101" s="357"/>
      <c r="P101" s="357"/>
    </row>
    <row r="102" spans="1:16" s="356" customFormat="1">
      <c r="A102" s="357"/>
      <c r="B102" s="426"/>
      <c r="C102" s="427"/>
      <c r="D102" s="428"/>
      <c r="E102" s="427"/>
      <c r="F102" s="427"/>
      <c r="G102" s="427"/>
      <c r="H102" s="427"/>
      <c r="I102" s="427"/>
      <c r="J102" s="427"/>
      <c r="N102" s="357"/>
      <c r="O102" s="357"/>
      <c r="P102" s="357"/>
    </row>
    <row r="103" spans="1:16" s="356" customFormat="1">
      <c r="A103" s="357"/>
      <c r="B103" s="426"/>
      <c r="C103" s="427"/>
      <c r="D103" s="428"/>
      <c r="E103" s="427"/>
      <c r="F103" s="427"/>
      <c r="G103" s="427"/>
      <c r="H103" s="427"/>
      <c r="I103" s="427"/>
      <c r="J103" s="427"/>
      <c r="N103" s="357"/>
      <c r="O103" s="357"/>
      <c r="P103" s="357"/>
    </row>
    <row r="104" spans="1:16" s="356" customFormat="1">
      <c r="A104" s="357"/>
      <c r="B104" s="426"/>
      <c r="C104" s="427"/>
      <c r="D104" s="428"/>
      <c r="E104" s="427"/>
      <c r="F104" s="427"/>
      <c r="G104" s="427"/>
      <c r="H104" s="427"/>
      <c r="I104" s="427"/>
      <c r="J104" s="427"/>
      <c r="N104" s="357"/>
      <c r="O104" s="357"/>
      <c r="P104" s="357"/>
    </row>
    <row r="105" spans="1:16" s="356" customFormat="1">
      <c r="A105" s="357"/>
      <c r="B105" s="426"/>
      <c r="C105" s="427"/>
      <c r="D105" s="428"/>
      <c r="E105" s="427"/>
      <c r="F105" s="427"/>
      <c r="G105" s="427"/>
      <c r="H105" s="427"/>
      <c r="I105" s="427"/>
      <c r="J105" s="427"/>
      <c r="N105" s="357"/>
      <c r="O105" s="357"/>
      <c r="P105" s="357"/>
    </row>
    <row r="106" spans="1:16" s="356" customFormat="1">
      <c r="A106" s="357"/>
      <c r="B106" s="426"/>
      <c r="C106" s="427"/>
      <c r="D106" s="428"/>
      <c r="E106" s="427"/>
      <c r="F106" s="427"/>
      <c r="G106" s="427"/>
      <c r="H106" s="427"/>
      <c r="I106" s="427"/>
      <c r="J106" s="427"/>
      <c r="N106" s="357"/>
      <c r="O106" s="357"/>
      <c r="P106" s="357"/>
    </row>
    <row r="107" spans="1:16" s="356" customFormat="1">
      <c r="A107" s="357"/>
      <c r="B107" s="426"/>
      <c r="C107" s="427"/>
      <c r="D107" s="428"/>
      <c r="E107" s="427"/>
      <c r="F107" s="427"/>
      <c r="G107" s="427"/>
      <c r="H107" s="427"/>
      <c r="I107" s="427"/>
      <c r="J107" s="427"/>
      <c r="N107" s="357"/>
      <c r="O107" s="357"/>
      <c r="P107" s="357"/>
    </row>
    <row r="108" spans="1:16" s="356" customFormat="1">
      <c r="A108" s="357"/>
      <c r="B108" s="426"/>
      <c r="C108" s="427"/>
      <c r="D108" s="428"/>
      <c r="E108" s="427"/>
      <c r="F108" s="427"/>
      <c r="G108" s="427"/>
      <c r="H108" s="427"/>
      <c r="I108" s="427"/>
      <c r="J108" s="427"/>
      <c r="N108" s="357"/>
      <c r="O108" s="357"/>
      <c r="P108" s="357"/>
    </row>
    <row r="109" spans="1:16" s="356" customFormat="1">
      <c r="A109" s="357"/>
      <c r="B109" s="426"/>
      <c r="C109" s="427"/>
      <c r="D109" s="428"/>
      <c r="E109" s="427"/>
      <c r="F109" s="427"/>
      <c r="G109" s="427"/>
      <c r="H109" s="427"/>
      <c r="I109" s="427"/>
      <c r="J109" s="427"/>
      <c r="N109" s="357"/>
      <c r="O109" s="357"/>
      <c r="P109" s="357"/>
    </row>
    <row r="110" spans="1:16" s="356" customFormat="1">
      <c r="A110" s="357"/>
      <c r="B110" s="426"/>
      <c r="C110" s="427"/>
      <c r="D110" s="428"/>
      <c r="E110" s="427"/>
      <c r="F110" s="427"/>
      <c r="G110" s="427"/>
      <c r="H110" s="427"/>
      <c r="I110" s="427"/>
      <c r="J110" s="427"/>
      <c r="N110" s="357"/>
      <c r="O110" s="357"/>
      <c r="P110" s="357"/>
    </row>
    <row r="111" spans="1:16" s="356" customFormat="1">
      <c r="A111" s="357"/>
      <c r="B111" s="426"/>
      <c r="C111" s="427"/>
      <c r="D111" s="428"/>
      <c r="E111" s="427"/>
      <c r="F111" s="427"/>
      <c r="G111" s="427"/>
      <c r="H111" s="427"/>
      <c r="I111" s="427"/>
      <c r="J111" s="427"/>
      <c r="N111" s="357"/>
      <c r="O111" s="357"/>
      <c r="P111" s="357"/>
    </row>
    <row r="112" spans="1:16" s="356" customFormat="1">
      <c r="A112" s="357"/>
      <c r="B112" s="426"/>
      <c r="C112" s="427"/>
      <c r="D112" s="428"/>
      <c r="E112" s="427"/>
      <c r="F112" s="427"/>
      <c r="G112" s="427"/>
      <c r="H112" s="427"/>
      <c r="I112" s="427"/>
      <c r="J112" s="427"/>
      <c r="N112" s="357"/>
      <c r="O112" s="357"/>
      <c r="P112" s="357"/>
    </row>
    <row r="113" spans="1:16" s="356" customFormat="1">
      <c r="A113" s="357"/>
      <c r="B113" s="426"/>
      <c r="C113" s="427"/>
      <c r="D113" s="428"/>
      <c r="E113" s="427"/>
      <c r="F113" s="427"/>
      <c r="G113" s="427"/>
      <c r="H113" s="427"/>
      <c r="I113" s="427"/>
      <c r="J113" s="427"/>
      <c r="N113" s="357"/>
      <c r="O113" s="357"/>
      <c r="P113" s="357"/>
    </row>
    <row r="114" spans="1:16" s="356" customFormat="1">
      <c r="A114" s="357"/>
      <c r="B114" s="426"/>
      <c r="C114" s="427"/>
      <c r="D114" s="428"/>
      <c r="E114" s="427"/>
      <c r="F114" s="427"/>
      <c r="G114" s="427"/>
      <c r="H114" s="427"/>
      <c r="I114" s="427"/>
      <c r="J114" s="427"/>
      <c r="N114" s="357"/>
      <c r="O114" s="357"/>
      <c r="P114" s="357"/>
    </row>
    <row r="115" spans="1:16" s="356" customFormat="1">
      <c r="A115" s="357"/>
      <c r="B115" s="426"/>
      <c r="C115" s="427"/>
      <c r="D115" s="428"/>
      <c r="E115" s="427"/>
      <c r="F115" s="427"/>
      <c r="G115" s="427"/>
      <c r="H115" s="427"/>
      <c r="I115" s="427"/>
      <c r="J115" s="427"/>
      <c r="N115" s="357"/>
      <c r="O115" s="357"/>
      <c r="P115" s="357"/>
    </row>
    <row r="116" spans="1:16" s="356" customFormat="1">
      <c r="A116" s="357"/>
      <c r="B116" s="426"/>
      <c r="C116" s="427"/>
      <c r="D116" s="428"/>
      <c r="E116" s="427"/>
      <c r="F116" s="427"/>
      <c r="G116" s="427"/>
      <c r="H116" s="427"/>
      <c r="I116" s="427"/>
      <c r="J116" s="427"/>
      <c r="N116" s="357"/>
      <c r="O116" s="357"/>
      <c r="P116" s="357"/>
    </row>
    <row r="117" spans="1:16" s="356" customFormat="1">
      <c r="A117" s="357"/>
      <c r="B117" s="426"/>
      <c r="C117" s="427"/>
      <c r="D117" s="428"/>
      <c r="E117" s="427"/>
      <c r="F117" s="427"/>
      <c r="G117" s="427"/>
      <c r="H117" s="427"/>
      <c r="I117" s="427"/>
      <c r="J117" s="427"/>
      <c r="N117" s="357"/>
      <c r="O117" s="357"/>
      <c r="P117" s="357"/>
    </row>
    <row r="118" spans="1:16" s="356" customFormat="1">
      <c r="A118" s="357"/>
      <c r="B118" s="426"/>
      <c r="C118" s="427"/>
      <c r="D118" s="428"/>
      <c r="E118" s="427"/>
      <c r="F118" s="427"/>
      <c r="G118" s="427"/>
      <c r="H118" s="427"/>
      <c r="I118" s="427"/>
      <c r="J118" s="427"/>
      <c r="N118" s="357"/>
      <c r="O118" s="357"/>
      <c r="P118" s="357"/>
    </row>
    <row r="119" spans="1:16" s="356" customFormat="1">
      <c r="A119" s="357"/>
      <c r="B119" s="426"/>
      <c r="C119" s="427"/>
      <c r="D119" s="428"/>
      <c r="E119" s="427"/>
      <c r="F119" s="427"/>
      <c r="G119" s="427"/>
      <c r="H119" s="427"/>
      <c r="I119" s="427"/>
      <c r="J119" s="427"/>
      <c r="N119" s="357"/>
      <c r="O119" s="357"/>
      <c r="P119" s="357"/>
    </row>
    <row r="120" spans="1:16" s="356" customFormat="1">
      <c r="A120" s="357"/>
      <c r="B120" s="426"/>
      <c r="C120" s="427"/>
      <c r="D120" s="428"/>
      <c r="E120" s="427"/>
      <c r="F120" s="427"/>
      <c r="G120" s="427"/>
      <c r="H120" s="427"/>
      <c r="I120" s="427"/>
      <c r="J120" s="427"/>
      <c r="N120" s="357"/>
      <c r="O120" s="357"/>
      <c r="P120" s="357"/>
    </row>
    <row r="121" spans="1:16" s="356" customFormat="1">
      <c r="A121" s="357"/>
      <c r="B121" s="426"/>
      <c r="C121" s="427"/>
      <c r="D121" s="428"/>
      <c r="E121" s="427"/>
      <c r="F121" s="427"/>
      <c r="G121" s="427"/>
      <c r="H121" s="427"/>
      <c r="I121" s="427"/>
      <c r="J121" s="427"/>
      <c r="N121" s="357"/>
      <c r="O121" s="357"/>
      <c r="P121" s="357"/>
    </row>
    <row r="122" spans="1:16" s="356" customFormat="1">
      <c r="A122" s="357"/>
      <c r="B122" s="426"/>
      <c r="C122" s="427"/>
      <c r="D122" s="428"/>
      <c r="E122" s="427"/>
      <c r="F122" s="427"/>
      <c r="G122" s="427"/>
      <c r="H122" s="427"/>
      <c r="I122" s="427"/>
      <c r="J122" s="427"/>
      <c r="N122" s="357"/>
      <c r="O122" s="357"/>
      <c r="P122" s="357"/>
    </row>
    <row r="123" spans="1:16" s="356" customFormat="1">
      <c r="A123" s="357"/>
      <c r="B123" s="426"/>
      <c r="C123" s="427"/>
      <c r="D123" s="428"/>
      <c r="E123" s="427"/>
      <c r="F123" s="427"/>
      <c r="G123" s="427"/>
      <c r="H123" s="427"/>
      <c r="I123" s="427"/>
      <c r="J123" s="427"/>
      <c r="N123" s="357"/>
      <c r="O123" s="357"/>
      <c r="P123" s="357"/>
    </row>
    <row r="124" spans="1:16" s="356" customFormat="1">
      <c r="A124" s="357"/>
      <c r="B124" s="426"/>
      <c r="C124" s="427"/>
      <c r="D124" s="428"/>
      <c r="E124" s="427"/>
      <c r="F124" s="427"/>
      <c r="G124" s="427"/>
      <c r="H124" s="427"/>
      <c r="I124" s="427"/>
      <c r="J124" s="427"/>
      <c r="N124" s="357"/>
      <c r="O124" s="357"/>
      <c r="P124" s="357"/>
    </row>
    <row r="125" spans="1:16" s="356" customFormat="1">
      <c r="A125" s="357"/>
      <c r="B125" s="426"/>
      <c r="C125" s="427"/>
      <c r="D125" s="428"/>
      <c r="E125" s="427"/>
      <c r="F125" s="427"/>
      <c r="G125" s="427"/>
      <c r="H125" s="427"/>
      <c r="I125" s="427"/>
      <c r="J125" s="427"/>
      <c r="N125" s="357"/>
      <c r="O125" s="357"/>
      <c r="P125" s="357"/>
    </row>
    <row r="126" spans="1:16" s="356" customFormat="1">
      <c r="A126" s="357"/>
      <c r="B126" s="426"/>
      <c r="C126" s="427"/>
      <c r="D126" s="428"/>
      <c r="E126" s="427"/>
      <c r="F126" s="427"/>
      <c r="G126" s="427"/>
      <c r="H126" s="427"/>
      <c r="I126" s="427"/>
      <c r="J126" s="427"/>
      <c r="N126" s="357"/>
      <c r="O126" s="357"/>
      <c r="P126" s="357"/>
    </row>
    <row r="127" spans="1:16" s="356" customFormat="1">
      <c r="A127" s="357"/>
      <c r="B127" s="426"/>
      <c r="C127" s="427"/>
      <c r="D127" s="428"/>
      <c r="E127" s="427"/>
      <c r="F127" s="427"/>
      <c r="G127" s="427"/>
      <c r="H127" s="427"/>
      <c r="I127" s="427"/>
      <c r="J127" s="427"/>
      <c r="N127" s="357"/>
      <c r="O127" s="357"/>
      <c r="P127" s="357"/>
    </row>
    <row r="128" spans="1:16" s="356" customFormat="1">
      <c r="A128" s="357"/>
      <c r="B128" s="426"/>
      <c r="C128" s="427"/>
      <c r="D128" s="428"/>
      <c r="E128" s="427"/>
      <c r="F128" s="427"/>
      <c r="G128" s="427"/>
      <c r="H128" s="427"/>
      <c r="I128" s="427"/>
      <c r="J128" s="427"/>
      <c r="N128" s="357"/>
      <c r="O128" s="357"/>
      <c r="P128" s="357"/>
    </row>
    <row r="129" spans="1:16" s="356" customFormat="1">
      <c r="A129" s="357"/>
      <c r="B129" s="426"/>
      <c r="C129" s="427"/>
      <c r="D129" s="428"/>
      <c r="E129" s="427"/>
      <c r="F129" s="427"/>
      <c r="G129" s="427"/>
      <c r="H129" s="427"/>
      <c r="I129" s="427"/>
      <c r="J129" s="427"/>
      <c r="N129" s="357"/>
      <c r="O129" s="357"/>
      <c r="P129" s="357"/>
    </row>
    <row r="130" spans="1:16" s="356" customFormat="1">
      <c r="A130" s="357"/>
      <c r="B130" s="426"/>
      <c r="C130" s="427"/>
      <c r="D130" s="428"/>
      <c r="E130" s="427"/>
      <c r="F130" s="427"/>
      <c r="G130" s="427"/>
      <c r="H130" s="427"/>
      <c r="I130" s="427"/>
      <c r="J130" s="427"/>
      <c r="N130" s="357"/>
      <c r="O130" s="357"/>
      <c r="P130" s="357"/>
    </row>
    <row r="131" spans="1:16" s="356" customFormat="1">
      <c r="A131" s="357"/>
      <c r="B131" s="426"/>
      <c r="C131" s="427"/>
      <c r="D131" s="428"/>
      <c r="E131" s="427"/>
      <c r="F131" s="427"/>
      <c r="G131" s="427"/>
      <c r="H131" s="427"/>
      <c r="I131" s="427"/>
      <c r="J131" s="427"/>
      <c r="N131" s="357"/>
      <c r="O131" s="357"/>
      <c r="P131" s="357"/>
    </row>
    <row r="132" spans="1:16" s="356" customFormat="1">
      <c r="A132" s="357"/>
      <c r="B132" s="426"/>
      <c r="C132" s="427"/>
      <c r="D132" s="428"/>
      <c r="E132" s="427"/>
      <c r="F132" s="427"/>
      <c r="G132" s="427"/>
      <c r="H132" s="427"/>
      <c r="I132" s="427"/>
      <c r="J132" s="427"/>
      <c r="N132" s="357"/>
      <c r="O132" s="357"/>
      <c r="P132" s="357"/>
    </row>
    <row r="133" spans="1:16" s="356" customFormat="1">
      <c r="A133" s="357"/>
      <c r="B133" s="426"/>
      <c r="C133" s="427"/>
      <c r="D133" s="428"/>
      <c r="E133" s="427"/>
      <c r="F133" s="427"/>
      <c r="G133" s="427"/>
      <c r="H133" s="427"/>
      <c r="I133" s="427"/>
      <c r="J133" s="427"/>
      <c r="N133" s="357"/>
      <c r="O133" s="357"/>
      <c r="P133" s="357"/>
    </row>
    <row r="134" spans="1:16" s="356" customFormat="1">
      <c r="A134" s="357"/>
      <c r="B134" s="426"/>
      <c r="C134" s="427"/>
      <c r="D134" s="428"/>
      <c r="E134" s="427"/>
      <c r="F134" s="427"/>
      <c r="G134" s="427"/>
      <c r="H134" s="427"/>
      <c r="I134" s="427"/>
      <c r="J134" s="427"/>
      <c r="N134" s="357"/>
      <c r="O134" s="357"/>
      <c r="P134" s="357"/>
    </row>
    <row r="135" spans="1:16" s="356" customFormat="1">
      <c r="A135" s="357"/>
      <c r="B135" s="426"/>
      <c r="C135" s="427"/>
      <c r="D135" s="428"/>
      <c r="E135" s="427"/>
      <c r="F135" s="427"/>
      <c r="G135" s="427"/>
      <c r="H135" s="427"/>
      <c r="I135" s="427"/>
      <c r="J135" s="427"/>
      <c r="N135" s="357"/>
      <c r="O135" s="357"/>
      <c r="P135" s="357"/>
    </row>
    <row r="136" spans="1:16" s="356" customFormat="1">
      <c r="A136" s="357"/>
      <c r="B136" s="426"/>
      <c r="C136" s="427"/>
      <c r="D136" s="428"/>
      <c r="E136" s="427"/>
      <c r="F136" s="427"/>
      <c r="G136" s="427"/>
      <c r="H136" s="427"/>
      <c r="I136" s="427"/>
      <c r="J136" s="427"/>
      <c r="N136" s="357"/>
      <c r="O136" s="357"/>
      <c r="P136" s="357"/>
    </row>
    <row r="137" spans="1:16" s="356" customFormat="1">
      <c r="A137" s="357"/>
      <c r="B137" s="426"/>
      <c r="C137" s="427"/>
      <c r="D137" s="428"/>
      <c r="E137" s="427"/>
      <c r="F137" s="427"/>
      <c r="G137" s="427"/>
      <c r="H137" s="427"/>
      <c r="I137" s="427"/>
      <c r="J137" s="427"/>
      <c r="N137" s="357"/>
      <c r="O137" s="357"/>
      <c r="P137" s="357"/>
    </row>
    <row r="138" spans="1:16" s="356" customFormat="1">
      <c r="A138" s="357"/>
      <c r="B138" s="426"/>
      <c r="C138" s="427"/>
      <c r="D138" s="428"/>
      <c r="E138" s="427"/>
      <c r="F138" s="427"/>
      <c r="G138" s="427"/>
      <c r="H138" s="427"/>
      <c r="I138" s="427"/>
      <c r="J138" s="427"/>
      <c r="N138" s="357"/>
      <c r="O138" s="357"/>
      <c r="P138" s="357"/>
    </row>
    <row r="139" spans="1:16" s="356" customFormat="1">
      <c r="A139" s="357"/>
      <c r="B139" s="426"/>
      <c r="C139" s="427"/>
      <c r="D139" s="428"/>
      <c r="E139" s="427"/>
      <c r="F139" s="427"/>
      <c r="G139" s="427"/>
      <c r="H139" s="427"/>
      <c r="I139" s="427"/>
      <c r="J139" s="427"/>
      <c r="N139" s="357"/>
      <c r="O139" s="357"/>
      <c r="P139" s="357"/>
    </row>
    <row r="140" spans="1:16" s="356" customFormat="1">
      <c r="A140" s="357"/>
      <c r="B140" s="426"/>
      <c r="C140" s="427"/>
      <c r="D140" s="428"/>
      <c r="E140" s="427"/>
      <c r="F140" s="427"/>
      <c r="G140" s="427"/>
      <c r="H140" s="427"/>
      <c r="I140" s="427"/>
      <c r="J140" s="427"/>
      <c r="N140" s="357"/>
      <c r="O140" s="357"/>
      <c r="P140" s="357"/>
    </row>
    <row r="141" spans="1:16" s="356" customFormat="1">
      <c r="A141" s="357"/>
      <c r="B141" s="426"/>
      <c r="C141" s="427"/>
      <c r="D141" s="428"/>
      <c r="E141" s="427"/>
      <c r="F141" s="427"/>
      <c r="G141" s="427"/>
      <c r="H141" s="427"/>
      <c r="I141" s="427"/>
      <c r="J141" s="427"/>
      <c r="N141" s="357"/>
      <c r="O141" s="357"/>
      <c r="P141" s="357"/>
    </row>
    <row r="142" spans="1:16" s="356" customFormat="1">
      <c r="A142" s="357"/>
      <c r="B142" s="426"/>
      <c r="C142" s="427"/>
      <c r="D142" s="428"/>
      <c r="E142" s="427"/>
      <c r="F142" s="427"/>
      <c r="G142" s="427"/>
      <c r="H142" s="427"/>
      <c r="I142" s="427"/>
      <c r="J142" s="427"/>
      <c r="N142" s="357"/>
      <c r="O142" s="357"/>
      <c r="P142" s="357"/>
    </row>
    <row r="143" spans="1:16" s="356" customFormat="1">
      <c r="A143" s="357"/>
      <c r="B143" s="426"/>
      <c r="C143" s="427"/>
      <c r="D143" s="428"/>
      <c r="E143" s="427"/>
      <c r="F143" s="427"/>
      <c r="G143" s="427"/>
      <c r="H143" s="427"/>
      <c r="I143" s="427"/>
      <c r="J143" s="427"/>
      <c r="N143" s="357"/>
      <c r="O143" s="357"/>
      <c r="P143" s="357"/>
    </row>
    <row r="144" spans="1:16" s="356" customFormat="1">
      <c r="A144" s="357"/>
      <c r="B144" s="426"/>
      <c r="C144" s="427"/>
      <c r="D144" s="428"/>
      <c r="E144" s="427"/>
      <c r="F144" s="427"/>
      <c r="G144" s="427"/>
      <c r="H144" s="427"/>
      <c r="I144" s="427"/>
      <c r="J144" s="427"/>
      <c r="N144" s="357"/>
      <c r="O144" s="357"/>
      <c r="P144" s="357"/>
    </row>
    <row r="145" spans="1:16" s="356" customFormat="1">
      <c r="A145" s="357"/>
      <c r="B145" s="426"/>
      <c r="C145" s="427"/>
      <c r="D145" s="428"/>
      <c r="E145" s="427"/>
      <c r="F145" s="427"/>
      <c r="G145" s="427"/>
      <c r="H145" s="427"/>
      <c r="I145" s="427"/>
      <c r="J145" s="427"/>
      <c r="N145" s="357"/>
      <c r="O145" s="357"/>
      <c r="P145" s="357"/>
    </row>
    <row r="146" spans="1:16" s="356" customFormat="1">
      <c r="A146" s="357"/>
      <c r="B146" s="426"/>
      <c r="C146" s="427"/>
      <c r="D146" s="428"/>
      <c r="E146" s="427"/>
      <c r="F146" s="427"/>
      <c r="G146" s="427"/>
      <c r="H146" s="427"/>
      <c r="I146" s="427"/>
      <c r="J146" s="427"/>
      <c r="N146" s="357"/>
      <c r="O146" s="357"/>
      <c r="P146" s="357"/>
    </row>
    <row r="147" spans="1:16" s="356" customFormat="1">
      <c r="A147" s="357"/>
      <c r="B147" s="426"/>
      <c r="C147" s="427"/>
      <c r="D147" s="428"/>
      <c r="E147" s="427"/>
      <c r="F147" s="427"/>
      <c r="G147" s="427"/>
      <c r="H147" s="427"/>
      <c r="I147" s="427"/>
      <c r="J147" s="427"/>
      <c r="N147" s="357"/>
      <c r="O147" s="357"/>
      <c r="P147" s="357"/>
    </row>
    <row r="148" spans="1:16" s="356" customFormat="1">
      <c r="A148" s="357"/>
      <c r="B148" s="426"/>
      <c r="C148" s="427"/>
      <c r="D148" s="428"/>
      <c r="E148" s="427"/>
      <c r="F148" s="427"/>
      <c r="G148" s="427"/>
      <c r="H148" s="427"/>
      <c r="I148" s="427"/>
      <c r="J148" s="427"/>
      <c r="N148" s="357"/>
      <c r="O148" s="357"/>
      <c r="P148" s="357"/>
    </row>
    <row r="149" spans="1:16" s="356" customFormat="1">
      <c r="A149" s="357"/>
      <c r="B149" s="426"/>
      <c r="C149" s="427"/>
      <c r="D149" s="428"/>
      <c r="E149" s="427"/>
      <c r="F149" s="427"/>
      <c r="G149" s="427"/>
      <c r="H149" s="427"/>
      <c r="I149" s="427"/>
      <c r="J149" s="427"/>
      <c r="N149" s="357"/>
      <c r="O149" s="357"/>
      <c r="P149" s="357"/>
    </row>
    <row r="150" spans="1:16" s="356" customFormat="1">
      <c r="A150" s="357"/>
      <c r="B150" s="426"/>
      <c r="C150" s="427"/>
      <c r="D150" s="428"/>
      <c r="E150" s="427"/>
      <c r="F150" s="427"/>
      <c r="G150" s="427"/>
      <c r="H150" s="427"/>
      <c r="I150" s="427"/>
      <c r="J150" s="427"/>
      <c r="N150" s="357"/>
      <c r="O150" s="357"/>
      <c r="P150" s="357"/>
    </row>
    <row r="151" spans="1:16" s="356" customFormat="1">
      <c r="A151" s="357"/>
      <c r="B151" s="426"/>
      <c r="C151" s="427"/>
      <c r="D151" s="428"/>
      <c r="E151" s="427"/>
      <c r="F151" s="427"/>
      <c r="G151" s="427"/>
      <c r="H151" s="427"/>
      <c r="I151" s="427"/>
      <c r="J151" s="427"/>
      <c r="N151" s="357"/>
      <c r="O151" s="357"/>
      <c r="P151" s="357"/>
    </row>
    <row r="152" spans="1:16" s="356" customFormat="1">
      <c r="A152" s="357"/>
      <c r="B152" s="426"/>
      <c r="C152" s="427"/>
      <c r="D152" s="428"/>
      <c r="E152" s="427"/>
      <c r="F152" s="427"/>
      <c r="G152" s="427"/>
      <c r="H152" s="427"/>
      <c r="I152" s="427"/>
      <c r="J152" s="427"/>
      <c r="N152" s="357"/>
      <c r="O152" s="357"/>
      <c r="P152" s="357"/>
    </row>
    <row r="153" spans="1:16" s="356" customFormat="1">
      <c r="A153" s="357"/>
      <c r="B153" s="426"/>
      <c r="C153" s="427"/>
      <c r="D153" s="428"/>
      <c r="E153" s="427"/>
      <c r="F153" s="427"/>
      <c r="G153" s="427"/>
      <c r="H153" s="427"/>
      <c r="I153" s="427"/>
      <c r="J153" s="427"/>
      <c r="N153" s="357"/>
      <c r="O153" s="357"/>
      <c r="P153" s="357"/>
    </row>
    <row r="154" spans="1:16" s="356" customFormat="1">
      <c r="A154" s="357"/>
      <c r="B154" s="426"/>
      <c r="C154" s="427"/>
      <c r="D154" s="428"/>
      <c r="E154" s="427"/>
      <c r="F154" s="427"/>
      <c r="G154" s="427"/>
      <c r="H154" s="427"/>
      <c r="I154" s="427"/>
      <c r="J154" s="427"/>
      <c r="N154" s="357"/>
      <c r="O154" s="357"/>
      <c r="P154" s="357"/>
    </row>
    <row r="155" spans="1:16" s="356" customFormat="1">
      <c r="A155" s="357"/>
      <c r="B155" s="426"/>
      <c r="C155" s="427"/>
      <c r="D155" s="428"/>
      <c r="E155" s="427"/>
      <c r="F155" s="427"/>
      <c r="G155" s="427"/>
      <c r="H155" s="427"/>
      <c r="I155" s="427"/>
      <c r="J155" s="427"/>
      <c r="N155" s="357"/>
      <c r="O155" s="357"/>
      <c r="P155" s="357"/>
    </row>
    <row r="156" spans="1:16" s="356" customFormat="1">
      <c r="A156" s="357"/>
      <c r="B156" s="426"/>
      <c r="C156" s="427"/>
      <c r="D156" s="428"/>
      <c r="E156" s="427"/>
      <c r="F156" s="427"/>
      <c r="G156" s="427"/>
      <c r="H156" s="427"/>
      <c r="I156" s="427"/>
      <c r="J156" s="427"/>
      <c r="N156" s="357"/>
      <c r="O156" s="357"/>
      <c r="P156" s="357"/>
    </row>
    <row r="157" spans="1:16" s="356" customFormat="1">
      <c r="A157" s="357"/>
      <c r="B157" s="426"/>
      <c r="C157" s="427"/>
      <c r="D157" s="428"/>
      <c r="E157" s="427"/>
      <c r="F157" s="427"/>
      <c r="G157" s="427"/>
      <c r="H157" s="427"/>
      <c r="I157" s="427"/>
      <c r="J157" s="427"/>
      <c r="N157" s="357"/>
      <c r="O157" s="357"/>
      <c r="P157" s="357"/>
    </row>
    <row r="158" spans="1:16" s="356" customFormat="1">
      <c r="A158" s="357"/>
      <c r="B158" s="426"/>
      <c r="C158" s="427"/>
      <c r="D158" s="428"/>
      <c r="E158" s="427"/>
      <c r="F158" s="427"/>
      <c r="G158" s="427"/>
      <c r="H158" s="427"/>
      <c r="I158" s="427"/>
      <c r="J158" s="427"/>
      <c r="N158" s="357"/>
      <c r="O158" s="357"/>
      <c r="P158" s="357"/>
    </row>
    <row r="159" spans="1:16" s="356" customFormat="1">
      <c r="A159" s="357"/>
      <c r="B159" s="426"/>
      <c r="C159" s="427"/>
      <c r="D159" s="428"/>
      <c r="E159" s="427"/>
      <c r="F159" s="427"/>
      <c r="G159" s="427"/>
      <c r="H159" s="427"/>
      <c r="I159" s="427"/>
      <c r="J159" s="427"/>
      <c r="N159" s="357"/>
      <c r="O159" s="357"/>
      <c r="P159" s="357"/>
    </row>
    <row r="160" spans="1:16" s="356" customFormat="1">
      <c r="A160" s="357"/>
      <c r="B160" s="426"/>
      <c r="C160" s="427"/>
      <c r="D160" s="428"/>
      <c r="E160" s="427"/>
      <c r="F160" s="427"/>
      <c r="G160" s="427"/>
      <c r="H160" s="427"/>
      <c r="I160" s="427"/>
      <c r="J160" s="427"/>
      <c r="N160" s="357"/>
      <c r="O160" s="357"/>
      <c r="P160" s="357"/>
    </row>
    <row r="161" spans="1:16" s="356" customFormat="1">
      <c r="A161" s="357"/>
      <c r="B161" s="426"/>
      <c r="C161" s="427"/>
      <c r="D161" s="428"/>
      <c r="E161" s="427"/>
      <c r="F161" s="427"/>
      <c r="G161" s="427"/>
      <c r="H161" s="427"/>
      <c r="I161" s="427"/>
      <c r="J161" s="427"/>
      <c r="N161" s="357"/>
      <c r="O161" s="357"/>
      <c r="P161" s="357"/>
    </row>
    <row r="162" spans="1:16" s="356" customFormat="1">
      <c r="A162" s="357"/>
      <c r="B162" s="426"/>
      <c r="C162" s="427"/>
      <c r="D162" s="428"/>
      <c r="E162" s="427"/>
      <c r="F162" s="427"/>
      <c r="G162" s="427"/>
      <c r="H162" s="427"/>
      <c r="I162" s="427"/>
      <c r="J162" s="427"/>
      <c r="N162" s="357"/>
      <c r="O162" s="357"/>
      <c r="P162" s="357"/>
    </row>
    <row r="163" spans="1:16" s="356" customFormat="1">
      <c r="A163" s="357"/>
      <c r="B163" s="426"/>
      <c r="C163" s="427"/>
      <c r="D163" s="428"/>
      <c r="E163" s="427"/>
      <c r="F163" s="427"/>
      <c r="G163" s="427"/>
      <c r="H163" s="427"/>
      <c r="I163" s="427"/>
      <c r="J163" s="427"/>
      <c r="N163" s="357"/>
      <c r="O163" s="357"/>
      <c r="P163" s="357"/>
    </row>
    <row r="164" spans="1:16" s="356" customFormat="1">
      <c r="A164" s="357"/>
      <c r="B164" s="426"/>
      <c r="C164" s="427"/>
      <c r="D164" s="428"/>
      <c r="E164" s="427"/>
      <c r="F164" s="427"/>
      <c r="G164" s="427"/>
      <c r="H164" s="427"/>
      <c r="I164" s="427"/>
      <c r="J164" s="427"/>
      <c r="N164" s="357"/>
      <c r="O164" s="357"/>
      <c r="P164" s="357"/>
    </row>
    <row r="165" spans="1:16" s="356" customFormat="1">
      <c r="A165" s="357"/>
      <c r="B165" s="426"/>
      <c r="C165" s="427"/>
      <c r="D165" s="428"/>
      <c r="E165" s="427"/>
      <c r="F165" s="427"/>
      <c r="G165" s="427"/>
      <c r="H165" s="427"/>
      <c r="I165" s="427"/>
      <c r="J165" s="427"/>
      <c r="N165" s="357"/>
      <c r="O165" s="357"/>
      <c r="P165" s="357"/>
    </row>
    <row r="166" spans="1:16" s="356" customFormat="1">
      <c r="A166" s="357"/>
      <c r="B166" s="426"/>
      <c r="C166" s="427"/>
      <c r="D166" s="428"/>
      <c r="E166" s="427"/>
      <c r="F166" s="427"/>
      <c r="G166" s="427"/>
      <c r="H166" s="427"/>
      <c r="I166" s="427"/>
      <c r="J166" s="427"/>
      <c r="N166" s="357"/>
      <c r="O166" s="357"/>
      <c r="P166" s="357"/>
    </row>
    <row r="167" spans="1:16" s="356" customFormat="1">
      <c r="A167" s="357"/>
      <c r="B167" s="426"/>
      <c r="C167" s="427"/>
      <c r="D167" s="428"/>
      <c r="E167" s="427"/>
      <c r="F167" s="427"/>
      <c r="G167" s="427"/>
      <c r="H167" s="427"/>
      <c r="I167" s="427"/>
      <c r="J167" s="427"/>
      <c r="N167" s="357"/>
      <c r="O167" s="357"/>
      <c r="P167" s="357"/>
    </row>
    <row r="168" spans="1:16" s="356" customFormat="1">
      <c r="A168" s="357"/>
      <c r="B168" s="426"/>
      <c r="C168" s="427"/>
      <c r="D168" s="428"/>
      <c r="E168" s="427"/>
      <c r="F168" s="427"/>
      <c r="G168" s="427"/>
      <c r="H168" s="427"/>
      <c r="I168" s="427"/>
      <c r="J168" s="427"/>
      <c r="N168" s="357"/>
      <c r="O168" s="357"/>
      <c r="P168" s="357"/>
    </row>
    <row r="169" spans="1:16" s="356" customFormat="1">
      <c r="A169" s="357"/>
      <c r="B169" s="426"/>
      <c r="C169" s="427"/>
      <c r="D169" s="428"/>
      <c r="E169" s="427"/>
      <c r="F169" s="427"/>
      <c r="G169" s="427"/>
      <c r="H169" s="427"/>
      <c r="I169" s="427"/>
      <c r="J169" s="427"/>
      <c r="N169" s="357"/>
      <c r="O169" s="357"/>
      <c r="P169" s="357"/>
    </row>
    <row r="170" spans="1:16" s="356" customFormat="1">
      <c r="A170" s="357"/>
      <c r="B170" s="426"/>
      <c r="C170" s="427"/>
      <c r="D170" s="428"/>
      <c r="E170" s="427"/>
      <c r="F170" s="427"/>
      <c r="G170" s="427"/>
      <c r="H170" s="427"/>
      <c r="I170" s="427"/>
      <c r="J170" s="427"/>
      <c r="N170" s="357"/>
      <c r="O170" s="357"/>
      <c r="P170" s="357"/>
    </row>
    <row r="171" spans="1:16" s="356" customFormat="1">
      <c r="A171" s="357"/>
      <c r="B171" s="426"/>
      <c r="C171" s="427"/>
      <c r="D171" s="428"/>
      <c r="E171" s="427"/>
      <c r="F171" s="427"/>
      <c r="G171" s="427"/>
      <c r="H171" s="427"/>
      <c r="I171" s="427"/>
      <c r="J171" s="427"/>
      <c r="N171" s="357"/>
      <c r="O171" s="357"/>
      <c r="P171" s="357"/>
    </row>
    <row r="172" spans="1:16" s="356" customFormat="1">
      <c r="A172" s="357"/>
      <c r="B172" s="426"/>
      <c r="C172" s="427"/>
      <c r="D172" s="428"/>
      <c r="E172" s="427"/>
      <c r="F172" s="427"/>
      <c r="G172" s="427"/>
      <c r="H172" s="427"/>
      <c r="I172" s="427"/>
      <c r="J172" s="427"/>
      <c r="N172" s="357"/>
      <c r="O172" s="357"/>
      <c r="P172" s="357"/>
    </row>
    <row r="173" spans="1:16" s="356" customFormat="1">
      <c r="A173" s="357"/>
      <c r="B173" s="426"/>
      <c r="C173" s="427"/>
      <c r="D173" s="428"/>
      <c r="E173" s="427"/>
      <c r="F173" s="427"/>
      <c r="G173" s="427"/>
      <c r="H173" s="427"/>
      <c r="I173" s="427"/>
      <c r="J173" s="427"/>
      <c r="N173" s="357"/>
      <c r="O173" s="357"/>
      <c r="P173" s="357"/>
    </row>
    <row r="174" spans="1:16" s="356" customFormat="1">
      <c r="A174" s="357"/>
      <c r="B174" s="426"/>
      <c r="C174" s="427"/>
      <c r="D174" s="428"/>
      <c r="E174" s="427"/>
      <c r="F174" s="427"/>
      <c r="G174" s="427"/>
      <c r="H174" s="427"/>
      <c r="I174" s="427"/>
      <c r="J174" s="427"/>
      <c r="N174" s="357"/>
      <c r="O174" s="357"/>
      <c r="P174" s="357"/>
    </row>
    <row r="175" spans="1:16" s="356" customFormat="1">
      <c r="A175" s="357"/>
      <c r="B175" s="426"/>
      <c r="C175" s="427"/>
      <c r="D175" s="428"/>
      <c r="E175" s="427"/>
      <c r="F175" s="427"/>
      <c r="G175" s="427"/>
      <c r="H175" s="427"/>
      <c r="I175" s="427"/>
      <c r="J175" s="427"/>
      <c r="N175" s="357"/>
      <c r="O175" s="357"/>
      <c r="P175" s="357"/>
    </row>
    <row r="176" spans="1:16" s="356" customFormat="1">
      <c r="A176" s="357"/>
      <c r="B176" s="426"/>
      <c r="C176" s="427"/>
      <c r="D176" s="428"/>
      <c r="E176" s="427"/>
      <c r="F176" s="427"/>
      <c r="G176" s="427"/>
      <c r="H176" s="427"/>
      <c r="I176" s="427"/>
      <c r="J176" s="427"/>
      <c r="N176" s="357"/>
      <c r="O176" s="357"/>
      <c r="P176" s="357"/>
    </row>
    <row r="177" spans="1:16" s="356" customFormat="1">
      <c r="A177" s="357"/>
      <c r="B177" s="426"/>
      <c r="C177" s="427"/>
      <c r="D177" s="428"/>
      <c r="E177" s="427"/>
      <c r="F177" s="427"/>
      <c r="G177" s="427"/>
      <c r="H177" s="427"/>
      <c r="I177" s="427"/>
      <c r="J177" s="427"/>
      <c r="N177" s="357"/>
      <c r="O177" s="357"/>
      <c r="P177" s="357"/>
    </row>
    <row r="178" spans="1:16" s="356" customFormat="1">
      <c r="A178" s="357"/>
      <c r="B178" s="426"/>
      <c r="C178" s="427"/>
      <c r="D178" s="428"/>
      <c r="E178" s="427"/>
      <c r="F178" s="427"/>
      <c r="G178" s="427"/>
      <c r="H178" s="427"/>
      <c r="I178" s="427"/>
      <c r="J178" s="427"/>
      <c r="N178" s="357"/>
      <c r="O178" s="357"/>
      <c r="P178" s="357"/>
    </row>
    <row r="179" spans="1:16" s="356" customFormat="1">
      <c r="A179" s="357"/>
      <c r="B179" s="426"/>
      <c r="C179" s="427"/>
      <c r="D179" s="428"/>
      <c r="E179" s="427"/>
      <c r="F179" s="427"/>
      <c r="G179" s="427"/>
      <c r="H179" s="427"/>
      <c r="I179" s="427"/>
      <c r="J179" s="427"/>
      <c r="N179" s="357"/>
      <c r="O179" s="357"/>
      <c r="P179" s="357"/>
    </row>
    <row r="180" spans="1:16" s="356" customFormat="1">
      <c r="A180" s="357"/>
      <c r="B180" s="426"/>
      <c r="C180" s="427"/>
      <c r="D180" s="428"/>
      <c r="E180" s="427"/>
      <c r="F180" s="427"/>
      <c r="G180" s="427"/>
      <c r="H180" s="427"/>
      <c r="I180" s="427"/>
      <c r="J180" s="427"/>
      <c r="N180" s="357"/>
      <c r="O180" s="357"/>
      <c r="P180" s="357"/>
    </row>
    <row r="181" spans="1:16" s="356" customFormat="1">
      <c r="A181" s="357"/>
      <c r="B181" s="426"/>
      <c r="C181" s="427"/>
      <c r="D181" s="428"/>
      <c r="E181" s="427"/>
      <c r="F181" s="427"/>
      <c r="G181" s="427"/>
      <c r="H181" s="427"/>
      <c r="I181" s="427"/>
      <c r="J181" s="427"/>
      <c r="N181" s="357"/>
      <c r="O181" s="357"/>
      <c r="P181" s="357"/>
    </row>
    <row r="182" spans="1:16" s="356" customFormat="1">
      <c r="A182" s="357"/>
      <c r="B182" s="426"/>
      <c r="C182" s="427"/>
      <c r="D182" s="428"/>
      <c r="E182" s="427"/>
      <c r="F182" s="427"/>
      <c r="G182" s="427"/>
      <c r="H182" s="427"/>
      <c r="I182" s="427"/>
      <c r="J182" s="427"/>
      <c r="N182" s="357"/>
      <c r="O182" s="357"/>
      <c r="P182" s="357"/>
    </row>
    <row r="183" spans="1:16" s="356" customFormat="1">
      <c r="A183" s="357"/>
      <c r="B183" s="426"/>
      <c r="C183" s="427"/>
      <c r="D183" s="428"/>
      <c r="E183" s="427"/>
      <c r="F183" s="427"/>
      <c r="G183" s="427"/>
      <c r="H183" s="427"/>
      <c r="I183" s="427"/>
      <c r="J183" s="427"/>
      <c r="N183" s="357"/>
      <c r="O183" s="357"/>
      <c r="P183" s="357"/>
    </row>
    <row r="184" spans="1:16" s="356" customFormat="1">
      <c r="A184" s="357"/>
      <c r="B184" s="426"/>
      <c r="C184" s="427"/>
      <c r="D184" s="428"/>
      <c r="E184" s="427"/>
      <c r="F184" s="427"/>
      <c r="G184" s="427"/>
      <c r="H184" s="427"/>
      <c r="I184" s="427"/>
      <c r="J184" s="427"/>
      <c r="N184" s="357"/>
      <c r="O184" s="357"/>
      <c r="P184" s="357"/>
    </row>
    <row r="185" spans="1:16" s="356" customFormat="1">
      <c r="A185" s="357"/>
      <c r="B185" s="426"/>
      <c r="C185" s="427"/>
      <c r="D185" s="428"/>
      <c r="E185" s="427"/>
      <c r="F185" s="427"/>
      <c r="G185" s="427"/>
      <c r="H185" s="427"/>
      <c r="I185" s="427"/>
      <c r="J185" s="427"/>
      <c r="N185" s="357"/>
      <c r="O185" s="357"/>
      <c r="P185" s="357"/>
    </row>
    <row r="186" spans="1:16" s="356" customFormat="1">
      <c r="A186" s="357"/>
      <c r="B186" s="426"/>
      <c r="C186" s="427"/>
      <c r="D186" s="428"/>
      <c r="E186" s="427"/>
      <c r="F186" s="427"/>
      <c r="G186" s="427"/>
      <c r="H186" s="427"/>
      <c r="I186" s="427"/>
      <c r="J186" s="427"/>
      <c r="N186" s="357"/>
      <c r="O186" s="357"/>
      <c r="P186" s="357"/>
    </row>
    <row r="187" spans="1:16" s="356" customFormat="1">
      <c r="A187" s="357"/>
      <c r="B187" s="426"/>
      <c r="C187" s="427"/>
      <c r="D187" s="428"/>
      <c r="E187" s="427"/>
      <c r="F187" s="427"/>
      <c r="G187" s="427"/>
      <c r="H187" s="427"/>
      <c r="I187" s="427"/>
      <c r="J187" s="427"/>
      <c r="N187" s="357"/>
      <c r="O187" s="357"/>
      <c r="P187" s="357"/>
    </row>
    <row r="188" spans="1:16" s="356" customFormat="1">
      <c r="A188" s="357"/>
      <c r="B188" s="426"/>
      <c r="C188" s="427"/>
      <c r="D188" s="428"/>
      <c r="E188" s="427"/>
      <c r="F188" s="427"/>
      <c r="G188" s="427"/>
      <c r="H188" s="427"/>
      <c r="I188" s="427"/>
      <c r="J188" s="427"/>
      <c r="N188" s="357"/>
      <c r="O188" s="357"/>
      <c r="P188" s="357"/>
    </row>
    <row r="189" spans="1:16" s="356" customFormat="1">
      <c r="A189" s="357"/>
      <c r="B189" s="426"/>
      <c r="C189" s="427"/>
      <c r="D189" s="428"/>
      <c r="E189" s="427"/>
      <c r="F189" s="427"/>
      <c r="G189" s="427"/>
      <c r="H189" s="427"/>
      <c r="I189" s="427"/>
      <c r="J189" s="427"/>
      <c r="N189" s="357"/>
      <c r="O189" s="357"/>
      <c r="P189" s="357"/>
    </row>
    <row r="190" spans="1:16" s="356" customFormat="1">
      <c r="A190" s="357"/>
      <c r="B190" s="426"/>
      <c r="C190" s="427"/>
      <c r="D190" s="428"/>
      <c r="E190" s="427"/>
      <c r="F190" s="427"/>
      <c r="G190" s="427"/>
      <c r="H190" s="427"/>
      <c r="I190" s="427"/>
      <c r="J190" s="427"/>
      <c r="N190" s="357"/>
      <c r="O190" s="357"/>
      <c r="P190" s="357"/>
    </row>
    <row r="191" spans="1:16" s="356" customFormat="1">
      <c r="A191" s="357"/>
      <c r="B191" s="426"/>
      <c r="C191" s="427"/>
      <c r="D191" s="428"/>
      <c r="E191" s="427"/>
      <c r="F191" s="427"/>
      <c r="G191" s="427"/>
      <c r="H191" s="427"/>
      <c r="I191" s="427"/>
      <c r="J191" s="427"/>
      <c r="N191" s="357"/>
      <c r="O191" s="357"/>
      <c r="P191" s="357"/>
    </row>
    <row r="192" spans="1:16" s="356" customFormat="1">
      <c r="A192" s="357"/>
      <c r="B192" s="426"/>
      <c r="C192" s="427"/>
      <c r="D192" s="428"/>
      <c r="E192" s="427"/>
      <c r="F192" s="427"/>
      <c r="G192" s="427"/>
      <c r="H192" s="427"/>
      <c r="I192" s="427"/>
      <c r="J192" s="427"/>
      <c r="N192" s="357"/>
      <c r="O192" s="357"/>
      <c r="P192" s="357"/>
    </row>
    <row r="193" spans="1:16" s="356" customFormat="1">
      <c r="A193" s="357"/>
      <c r="B193" s="426"/>
      <c r="C193" s="427"/>
      <c r="D193" s="428"/>
      <c r="E193" s="427"/>
      <c r="F193" s="427"/>
      <c r="G193" s="427"/>
      <c r="H193" s="427"/>
      <c r="I193" s="427"/>
      <c r="J193" s="427"/>
      <c r="N193" s="357"/>
      <c r="O193" s="357"/>
      <c r="P193" s="357"/>
    </row>
    <row r="194" spans="1:16" s="356" customFormat="1">
      <c r="A194" s="357"/>
      <c r="B194" s="426"/>
      <c r="C194" s="427"/>
      <c r="D194" s="428"/>
      <c r="E194" s="427"/>
      <c r="F194" s="427"/>
      <c r="G194" s="427"/>
      <c r="H194" s="427"/>
      <c r="I194" s="427"/>
      <c r="J194" s="427"/>
      <c r="N194" s="357"/>
      <c r="O194" s="357"/>
      <c r="P194" s="357"/>
    </row>
    <row r="195" spans="1:16" s="356" customFormat="1">
      <c r="A195" s="357"/>
      <c r="B195" s="426"/>
      <c r="C195" s="427"/>
      <c r="D195" s="428"/>
      <c r="E195" s="427"/>
      <c r="F195" s="427"/>
      <c r="G195" s="427"/>
      <c r="H195" s="427"/>
      <c r="I195" s="427"/>
      <c r="J195" s="427"/>
      <c r="N195" s="357"/>
      <c r="O195" s="357"/>
      <c r="P195" s="357"/>
    </row>
    <row r="196" spans="1:16" s="356" customFormat="1">
      <c r="A196" s="357"/>
      <c r="B196" s="426"/>
      <c r="C196" s="427"/>
      <c r="D196" s="428"/>
      <c r="E196" s="427"/>
      <c r="F196" s="427"/>
      <c r="G196" s="427"/>
      <c r="H196" s="427"/>
      <c r="I196" s="427"/>
      <c r="J196" s="427"/>
      <c r="N196" s="357"/>
      <c r="O196" s="357"/>
      <c r="P196" s="357"/>
    </row>
    <row r="197" spans="1:16" s="356" customFormat="1">
      <c r="A197" s="357"/>
      <c r="B197" s="426"/>
      <c r="C197" s="427"/>
      <c r="D197" s="428"/>
      <c r="E197" s="427"/>
      <c r="F197" s="427"/>
      <c r="G197" s="427"/>
      <c r="H197" s="427"/>
      <c r="I197" s="427"/>
      <c r="J197" s="427"/>
      <c r="N197" s="357"/>
      <c r="O197" s="357"/>
      <c r="P197" s="357"/>
    </row>
    <row r="198" spans="1:16" s="356" customFormat="1">
      <c r="A198" s="357"/>
      <c r="B198" s="426"/>
      <c r="C198" s="427"/>
      <c r="D198" s="428"/>
      <c r="E198" s="427"/>
      <c r="F198" s="427"/>
      <c r="G198" s="427"/>
      <c r="H198" s="427"/>
      <c r="I198" s="427"/>
      <c r="J198" s="427"/>
      <c r="N198" s="357"/>
      <c r="O198" s="357"/>
      <c r="P198" s="357"/>
    </row>
    <row r="199" spans="1:16" s="356" customFormat="1">
      <c r="A199" s="357"/>
      <c r="B199" s="426"/>
      <c r="C199" s="427"/>
      <c r="D199" s="428"/>
      <c r="E199" s="427"/>
      <c r="F199" s="427"/>
      <c r="G199" s="427"/>
      <c r="H199" s="427"/>
      <c r="I199" s="427"/>
      <c r="J199" s="427"/>
      <c r="N199" s="357"/>
      <c r="O199" s="357"/>
      <c r="P199" s="357"/>
    </row>
    <row r="200" spans="1:16" s="356" customFormat="1">
      <c r="A200" s="357"/>
      <c r="B200" s="426"/>
      <c r="C200" s="427"/>
      <c r="D200" s="428"/>
      <c r="E200" s="427"/>
      <c r="F200" s="427"/>
      <c r="G200" s="427"/>
      <c r="H200" s="427"/>
      <c r="I200" s="427"/>
      <c r="J200" s="427"/>
      <c r="N200" s="357"/>
      <c r="O200" s="357"/>
      <c r="P200" s="357"/>
    </row>
    <row r="201" spans="1:16" s="356" customFormat="1">
      <c r="A201" s="357"/>
      <c r="B201" s="426"/>
      <c r="C201" s="427"/>
      <c r="D201" s="428"/>
      <c r="E201" s="427"/>
      <c r="F201" s="427"/>
      <c r="G201" s="427"/>
      <c r="H201" s="427"/>
      <c r="I201" s="427"/>
      <c r="J201" s="427"/>
      <c r="N201" s="357"/>
      <c r="O201" s="357"/>
      <c r="P201" s="357"/>
    </row>
    <row r="202" spans="1:16" s="356" customFormat="1">
      <c r="A202" s="357"/>
      <c r="B202" s="426"/>
      <c r="C202" s="427"/>
      <c r="D202" s="428"/>
      <c r="E202" s="427"/>
      <c r="F202" s="427"/>
      <c r="G202" s="427"/>
      <c r="H202" s="427"/>
      <c r="I202" s="427"/>
      <c r="J202" s="427"/>
      <c r="N202" s="357"/>
      <c r="O202" s="357"/>
      <c r="P202" s="357"/>
    </row>
    <row r="203" spans="1:16" s="356" customFormat="1">
      <c r="A203" s="357"/>
      <c r="B203" s="426"/>
      <c r="C203" s="427"/>
      <c r="D203" s="428"/>
      <c r="E203" s="427"/>
      <c r="F203" s="427"/>
      <c r="G203" s="427"/>
      <c r="H203" s="427"/>
      <c r="I203" s="427"/>
      <c r="J203" s="427"/>
      <c r="N203" s="357"/>
      <c r="O203" s="357"/>
      <c r="P203" s="357"/>
    </row>
    <row r="204" spans="1:16" s="356" customFormat="1">
      <c r="A204" s="357"/>
      <c r="B204" s="426"/>
      <c r="C204" s="427"/>
      <c r="D204" s="428"/>
      <c r="E204" s="427"/>
      <c r="F204" s="427"/>
      <c r="G204" s="427"/>
      <c r="H204" s="427"/>
      <c r="I204" s="427"/>
      <c r="J204" s="427"/>
      <c r="N204" s="357"/>
      <c r="O204" s="357"/>
      <c r="P204" s="357"/>
    </row>
    <row r="205" spans="1:16" s="356" customFormat="1">
      <c r="A205" s="357"/>
      <c r="B205" s="426"/>
      <c r="C205" s="427"/>
      <c r="D205" s="428"/>
      <c r="E205" s="427"/>
      <c r="F205" s="427"/>
      <c r="G205" s="427"/>
      <c r="H205" s="427"/>
      <c r="I205" s="427"/>
      <c r="J205" s="427"/>
      <c r="N205" s="357"/>
      <c r="O205" s="357"/>
      <c r="P205" s="357"/>
    </row>
    <row r="206" spans="1:16" s="356" customFormat="1">
      <c r="A206" s="357"/>
      <c r="B206" s="426"/>
      <c r="C206" s="427"/>
      <c r="D206" s="428"/>
      <c r="E206" s="427"/>
      <c r="F206" s="427"/>
      <c r="G206" s="427"/>
      <c r="H206" s="427"/>
      <c r="I206" s="427"/>
      <c r="J206" s="427"/>
      <c r="N206" s="357"/>
      <c r="O206" s="357"/>
      <c r="P206" s="357"/>
    </row>
    <row r="207" spans="1:16" s="356" customFormat="1">
      <c r="A207" s="357"/>
      <c r="B207" s="426"/>
      <c r="C207" s="427"/>
      <c r="D207" s="428"/>
      <c r="E207" s="427"/>
      <c r="F207" s="427"/>
      <c r="G207" s="427"/>
      <c r="H207" s="427"/>
      <c r="I207" s="427"/>
      <c r="J207" s="427"/>
      <c r="N207" s="357"/>
      <c r="O207" s="357"/>
      <c r="P207" s="357"/>
    </row>
    <row r="208" spans="1:16" s="356" customFormat="1">
      <c r="A208" s="357"/>
      <c r="B208" s="426"/>
      <c r="C208" s="427"/>
      <c r="D208" s="428"/>
      <c r="E208" s="427"/>
      <c r="F208" s="427"/>
      <c r="G208" s="427"/>
      <c r="H208" s="427"/>
      <c r="I208" s="427"/>
      <c r="J208" s="427"/>
      <c r="N208" s="357"/>
      <c r="O208" s="357"/>
      <c r="P208" s="357"/>
    </row>
    <row r="209" spans="1:16" s="356" customFormat="1">
      <c r="A209" s="357"/>
      <c r="B209" s="426"/>
      <c r="C209" s="427"/>
      <c r="D209" s="428"/>
      <c r="E209" s="427"/>
      <c r="F209" s="427"/>
      <c r="G209" s="427"/>
      <c r="H209" s="427"/>
      <c r="I209" s="427"/>
      <c r="J209" s="427"/>
      <c r="N209" s="357"/>
      <c r="O209" s="357"/>
      <c r="P209" s="357"/>
    </row>
    <row r="210" spans="1:16" s="356" customFormat="1">
      <c r="A210" s="357"/>
      <c r="B210" s="426"/>
      <c r="C210" s="427"/>
      <c r="D210" s="428"/>
      <c r="E210" s="427"/>
      <c r="F210" s="427"/>
      <c r="G210" s="427"/>
      <c r="H210" s="427"/>
      <c r="I210" s="427"/>
      <c r="J210" s="427"/>
      <c r="N210" s="357"/>
      <c r="O210" s="357"/>
      <c r="P210" s="357"/>
    </row>
    <row r="211" spans="1:16" s="356" customFormat="1">
      <c r="A211" s="357"/>
      <c r="B211" s="426"/>
      <c r="C211" s="427"/>
      <c r="D211" s="428"/>
      <c r="E211" s="427"/>
      <c r="F211" s="427"/>
      <c r="G211" s="427"/>
      <c r="H211" s="427"/>
      <c r="I211" s="427"/>
      <c r="J211" s="427"/>
      <c r="N211" s="357"/>
      <c r="O211" s="357"/>
      <c r="P211" s="357"/>
    </row>
    <row r="212" spans="1:16" s="356" customFormat="1">
      <c r="A212" s="357"/>
      <c r="B212" s="426"/>
      <c r="C212" s="427"/>
      <c r="D212" s="428"/>
      <c r="E212" s="427"/>
      <c r="F212" s="427"/>
      <c r="G212" s="427"/>
      <c r="H212" s="427"/>
      <c r="I212" s="427"/>
      <c r="J212" s="427"/>
      <c r="N212" s="357"/>
      <c r="O212" s="357"/>
      <c r="P212" s="357"/>
    </row>
    <row r="213" spans="1:16" s="356" customFormat="1">
      <c r="A213" s="357"/>
      <c r="B213" s="426"/>
      <c r="C213" s="427"/>
      <c r="D213" s="428"/>
      <c r="E213" s="427"/>
      <c r="F213" s="427"/>
      <c r="G213" s="427"/>
      <c r="H213" s="427"/>
      <c r="I213" s="427"/>
      <c r="J213" s="427"/>
      <c r="N213" s="357"/>
      <c r="O213" s="357"/>
      <c r="P213" s="357"/>
    </row>
    <row r="214" spans="1:16" s="356" customFormat="1">
      <c r="A214" s="357"/>
      <c r="B214" s="426"/>
      <c r="C214" s="427"/>
      <c r="D214" s="428"/>
      <c r="E214" s="427"/>
      <c r="F214" s="427"/>
      <c r="G214" s="427"/>
      <c r="H214" s="427"/>
      <c r="I214" s="427"/>
      <c r="J214" s="427"/>
      <c r="N214" s="357"/>
      <c r="O214" s="357"/>
      <c r="P214" s="357"/>
    </row>
    <row r="215" spans="1:16" s="356" customFormat="1">
      <c r="A215" s="357"/>
      <c r="B215" s="426"/>
      <c r="C215" s="427"/>
      <c r="D215" s="428"/>
      <c r="E215" s="427"/>
      <c r="F215" s="427"/>
      <c r="G215" s="427"/>
      <c r="H215" s="427"/>
      <c r="I215" s="427"/>
      <c r="J215" s="427"/>
      <c r="N215" s="357"/>
      <c r="O215" s="357"/>
      <c r="P215" s="357"/>
    </row>
    <row r="216" spans="1:16" s="356" customFormat="1">
      <c r="A216" s="357"/>
      <c r="B216" s="426"/>
      <c r="C216" s="427"/>
      <c r="D216" s="428"/>
      <c r="E216" s="427"/>
      <c r="F216" s="427"/>
      <c r="G216" s="427"/>
      <c r="H216" s="427"/>
      <c r="I216" s="427"/>
      <c r="J216" s="427"/>
      <c r="N216" s="357"/>
      <c r="O216" s="357"/>
      <c r="P216" s="357"/>
    </row>
    <row r="217" spans="1:16" s="356" customFormat="1">
      <c r="A217" s="357"/>
      <c r="B217" s="426"/>
      <c r="C217" s="427"/>
      <c r="D217" s="428"/>
      <c r="E217" s="427"/>
      <c r="F217" s="427"/>
      <c r="G217" s="427"/>
      <c r="H217" s="427"/>
      <c r="I217" s="427"/>
      <c r="J217" s="427"/>
      <c r="N217" s="357"/>
      <c r="O217" s="357"/>
      <c r="P217" s="357"/>
    </row>
    <row r="218" spans="1:16" s="356" customFormat="1">
      <c r="A218" s="357"/>
      <c r="B218" s="426"/>
      <c r="C218" s="427"/>
      <c r="D218" s="428"/>
      <c r="E218" s="427"/>
      <c r="F218" s="427"/>
      <c r="G218" s="427"/>
      <c r="H218" s="427"/>
      <c r="I218" s="427"/>
      <c r="J218" s="427"/>
      <c r="N218" s="357"/>
      <c r="O218" s="357"/>
      <c r="P218" s="357"/>
    </row>
    <row r="219" spans="1:16" s="356" customFormat="1">
      <c r="A219" s="357"/>
      <c r="B219" s="426"/>
      <c r="C219" s="427"/>
      <c r="D219" s="428"/>
      <c r="E219" s="427"/>
      <c r="F219" s="427"/>
      <c r="G219" s="427"/>
      <c r="H219" s="427"/>
      <c r="I219" s="427"/>
      <c r="J219" s="427"/>
      <c r="N219" s="357"/>
      <c r="O219" s="357"/>
      <c r="P219" s="357"/>
    </row>
    <row r="220" spans="1:16" s="356" customFormat="1">
      <c r="A220" s="357"/>
      <c r="B220" s="426"/>
      <c r="C220" s="427"/>
      <c r="D220" s="428"/>
      <c r="E220" s="427"/>
      <c r="F220" s="427"/>
      <c r="G220" s="427"/>
      <c r="H220" s="427"/>
      <c r="I220" s="427"/>
      <c r="J220" s="427"/>
      <c r="N220" s="357"/>
      <c r="O220" s="357"/>
      <c r="P220" s="357"/>
    </row>
    <row r="221" spans="1:16" s="356" customFormat="1">
      <c r="A221" s="357"/>
      <c r="B221" s="426"/>
      <c r="C221" s="427"/>
      <c r="D221" s="428"/>
      <c r="E221" s="427"/>
      <c r="F221" s="427"/>
      <c r="G221" s="427"/>
      <c r="H221" s="427"/>
      <c r="I221" s="427"/>
      <c r="J221" s="427"/>
      <c r="N221" s="357"/>
      <c r="O221" s="357"/>
      <c r="P221" s="357"/>
    </row>
    <row r="222" spans="1:16" s="356" customFormat="1">
      <c r="A222" s="357"/>
      <c r="B222" s="426"/>
      <c r="C222" s="427"/>
      <c r="D222" s="428"/>
      <c r="E222" s="427"/>
      <c r="F222" s="427"/>
      <c r="G222" s="427"/>
      <c r="H222" s="427"/>
      <c r="I222" s="427"/>
      <c r="J222" s="427"/>
      <c r="N222" s="357"/>
      <c r="O222" s="357"/>
      <c r="P222" s="357"/>
    </row>
    <row r="223" spans="1:16" s="356" customFormat="1">
      <c r="A223" s="357"/>
      <c r="B223" s="426"/>
      <c r="C223" s="427"/>
      <c r="D223" s="428"/>
      <c r="E223" s="427"/>
      <c r="F223" s="427"/>
      <c r="G223" s="427"/>
      <c r="H223" s="427"/>
      <c r="I223" s="427"/>
      <c r="J223" s="427"/>
      <c r="N223" s="357"/>
      <c r="O223" s="357"/>
      <c r="P223" s="357"/>
    </row>
    <row r="224" spans="1:16" s="356" customFormat="1">
      <c r="A224" s="357"/>
      <c r="B224" s="426"/>
      <c r="C224" s="427"/>
      <c r="D224" s="428"/>
      <c r="E224" s="427"/>
      <c r="F224" s="427"/>
      <c r="G224" s="427"/>
      <c r="H224" s="427"/>
      <c r="I224" s="427"/>
      <c r="J224" s="427"/>
      <c r="N224" s="357"/>
      <c r="O224" s="357"/>
      <c r="P224" s="357"/>
    </row>
    <row r="225" spans="1:16" s="356" customFormat="1">
      <c r="A225" s="357"/>
      <c r="B225" s="426"/>
      <c r="C225" s="427"/>
      <c r="D225" s="428"/>
      <c r="E225" s="427"/>
      <c r="F225" s="427"/>
      <c r="G225" s="427"/>
      <c r="H225" s="427"/>
      <c r="I225" s="427"/>
      <c r="J225" s="427"/>
      <c r="N225" s="357"/>
      <c r="O225" s="357"/>
      <c r="P225" s="357"/>
    </row>
    <row r="226" spans="1:16" s="356" customFormat="1">
      <c r="A226" s="357"/>
      <c r="B226" s="426"/>
      <c r="C226" s="427"/>
      <c r="D226" s="428"/>
      <c r="E226" s="427"/>
      <c r="F226" s="427"/>
      <c r="G226" s="427"/>
      <c r="H226" s="427"/>
      <c r="I226" s="427"/>
      <c r="J226" s="427"/>
      <c r="N226" s="357"/>
      <c r="O226" s="357"/>
      <c r="P226" s="357"/>
    </row>
    <row r="227" spans="1:16" s="356" customFormat="1">
      <c r="A227" s="357"/>
      <c r="B227" s="426"/>
      <c r="C227" s="427"/>
      <c r="D227" s="428"/>
      <c r="E227" s="427"/>
      <c r="F227" s="427"/>
      <c r="G227" s="427"/>
      <c r="H227" s="427"/>
      <c r="I227" s="427"/>
      <c r="J227" s="427"/>
      <c r="N227" s="357"/>
      <c r="O227" s="357"/>
      <c r="P227" s="357"/>
    </row>
    <row r="228" spans="1:16" s="356" customFormat="1">
      <c r="A228" s="357"/>
      <c r="B228" s="426"/>
      <c r="C228" s="427"/>
      <c r="D228" s="428"/>
      <c r="E228" s="427"/>
      <c r="F228" s="427"/>
      <c r="G228" s="427"/>
      <c r="H228" s="427"/>
      <c r="I228" s="427"/>
      <c r="J228" s="427"/>
      <c r="N228" s="357"/>
      <c r="O228" s="357"/>
      <c r="P228" s="357"/>
    </row>
    <row r="229" spans="1:16" s="356" customFormat="1">
      <c r="A229" s="357"/>
      <c r="B229" s="426"/>
      <c r="C229" s="427"/>
      <c r="D229" s="428"/>
      <c r="E229" s="427"/>
      <c r="F229" s="427"/>
      <c r="G229" s="427"/>
      <c r="H229" s="427"/>
      <c r="I229" s="427"/>
      <c r="J229" s="427"/>
      <c r="N229" s="357"/>
      <c r="O229" s="357"/>
      <c r="P229" s="357"/>
    </row>
    <row r="230" spans="1:16" s="356" customFormat="1">
      <c r="A230" s="357"/>
      <c r="B230" s="426"/>
      <c r="C230" s="427"/>
      <c r="D230" s="428"/>
      <c r="E230" s="427"/>
      <c r="F230" s="427"/>
      <c r="G230" s="427"/>
      <c r="H230" s="427"/>
      <c r="I230" s="427"/>
      <c r="J230" s="427"/>
      <c r="N230" s="357"/>
      <c r="O230" s="357"/>
      <c r="P230" s="357"/>
    </row>
    <row r="231" spans="1:16" s="356" customFormat="1">
      <c r="A231" s="357"/>
      <c r="B231" s="426"/>
      <c r="C231" s="427"/>
      <c r="D231" s="428"/>
      <c r="E231" s="427"/>
      <c r="F231" s="427"/>
      <c r="G231" s="427"/>
      <c r="H231" s="427"/>
      <c r="I231" s="427"/>
      <c r="J231" s="427"/>
      <c r="N231" s="357"/>
      <c r="O231" s="357"/>
      <c r="P231" s="357"/>
    </row>
    <row r="232" spans="1:16" s="356" customFormat="1">
      <c r="A232" s="357"/>
      <c r="B232" s="426"/>
      <c r="C232" s="427"/>
      <c r="D232" s="428"/>
      <c r="E232" s="427"/>
      <c r="F232" s="427"/>
      <c r="G232" s="427"/>
      <c r="H232" s="427"/>
      <c r="I232" s="427"/>
      <c r="J232" s="427"/>
      <c r="N232" s="357"/>
      <c r="O232" s="357"/>
      <c r="P232" s="357"/>
    </row>
    <row r="233" spans="1:16" s="356" customFormat="1">
      <c r="A233" s="357"/>
      <c r="B233" s="426"/>
      <c r="C233" s="427"/>
      <c r="D233" s="428"/>
      <c r="E233" s="427"/>
      <c r="F233" s="427"/>
      <c r="G233" s="427"/>
      <c r="H233" s="427"/>
      <c r="I233" s="427"/>
      <c r="J233" s="427"/>
      <c r="N233" s="357"/>
      <c r="O233" s="357"/>
      <c r="P233" s="357"/>
    </row>
    <row r="234" spans="1:16" s="356" customFormat="1">
      <c r="A234" s="357"/>
      <c r="B234" s="426"/>
      <c r="C234" s="427"/>
      <c r="D234" s="428"/>
      <c r="E234" s="427"/>
      <c r="F234" s="427"/>
      <c r="G234" s="427"/>
      <c r="H234" s="427"/>
      <c r="I234" s="427"/>
      <c r="J234" s="427"/>
      <c r="N234" s="357"/>
      <c r="O234" s="357"/>
      <c r="P234" s="357"/>
    </row>
    <row r="235" spans="1:16" s="356" customFormat="1">
      <c r="A235" s="357"/>
      <c r="B235" s="426"/>
      <c r="C235" s="427"/>
      <c r="D235" s="428"/>
      <c r="E235" s="427"/>
      <c r="F235" s="427"/>
      <c r="G235" s="427"/>
      <c r="H235" s="427"/>
      <c r="I235" s="427"/>
      <c r="J235" s="427"/>
      <c r="N235" s="357"/>
      <c r="O235" s="357"/>
      <c r="P235" s="357"/>
    </row>
    <row r="236" spans="1:16" s="356" customFormat="1">
      <c r="A236" s="357"/>
      <c r="B236" s="426"/>
      <c r="C236" s="427"/>
      <c r="D236" s="428"/>
      <c r="E236" s="427"/>
      <c r="F236" s="427"/>
      <c r="G236" s="427"/>
      <c r="H236" s="427"/>
      <c r="I236" s="427"/>
      <c r="J236" s="427"/>
      <c r="N236" s="357"/>
      <c r="O236" s="357"/>
      <c r="P236" s="357"/>
    </row>
    <row r="237" spans="1:16" s="356" customFormat="1">
      <c r="A237" s="357"/>
      <c r="B237" s="426"/>
      <c r="C237" s="427"/>
      <c r="D237" s="428"/>
      <c r="E237" s="427"/>
      <c r="F237" s="427"/>
      <c r="G237" s="427"/>
      <c r="H237" s="427"/>
      <c r="I237" s="427"/>
      <c r="J237" s="427"/>
      <c r="N237" s="357"/>
      <c r="O237" s="357"/>
      <c r="P237" s="357"/>
    </row>
    <row r="238" spans="1:16" s="356" customFormat="1">
      <c r="A238" s="357"/>
      <c r="B238" s="426"/>
      <c r="C238" s="427"/>
      <c r="D238" s="428"/>
      <c r="E238" s="427"/>
      <c r="F238" s="427"/>
      <c r="G238" s="427"/>
      <c r="H238" s="427"/>
      <c r="I238" s="427"/>
      <c r="J238" s="427"/>
      <c r="N238" s="357"/>
      <c r="O238" s="357"/>
      <c r="P238" s="357"/>
    </row>
    <row r="239" spans="1:16" s="356" customFormat="1">
      <c r="A239" s="357"/>
      <c r="B239" s="426"/>
      <c r="C239" s="427"/>
      <c r="D239" s="428"/>
      <c r="E239" s="427"/>
      <c r="F239" s="427"/>
      <c r="G239" s="427"/>
      <c r="H239" s="427"/>
      <c r="I239" s="427"/>
      <c r="J239" s="427"/>
      <c r="N239" s="357"/>
      <c r="O239" s="357"/>
      <c r="P239" s="357"/>
    </row>
    <row r="240" spans="1:16" s="356" customFormat="1">
      <c r="A240" s="357"/>
      <c r="B240" s="426"/>
      <c r="C240" s="427"/>
      <c r="D240" s="428"/>
      <c r="E240" s="427"/>
      <c r="F240" s="427"/>
      <c r="G240" s="427"/>
      <c r="H240" s="427"/>
      <c r="I240" s="427"/>
      <c r="J240" s="427"/>
      <c r="N240" s="357"/>
      <c r="O240" s="357"/>
      <c r="P240" s="357"/>
    </row>
    <row r="241" spans="1:16" s="356" customFormat="1">
      <c r="A241" s="357"/>
      <c r="B241" s="426"/>
      <c r="C241" s="427"/>
      <c r="D241" s="428"/>
      <c r="E241" s="427"/>
      <c r="F241" s="427"/>
      <c r="G241" s="427"/>
      <c r="H241" s="427"/>
      <c r="I241" s="427"/>
      <c r="J241" s="427"/>
      <c r="N241" s="357"/>
      <c r="O241" s="357"/>
      <c r="P241" s="357"/>
    </row>
    <row r="242" spans="1:16" s="356" customFormat="1">
      <c r="A242" s="357"/>
      <c r="B242" s="426"/>
      <c r="C242" s="427"/>
      <c r="D242" s="428"/>
      <c r="E242" s="427"/>
      <c r="F242" s="427"/>
      <c r="G242" s="427"/>
      <c r="H242" s="427"/>
      <c r="I242" s="427"/>
      <c r="J242" s="427"/>
      <c r="N242" s="357"/>
      <c r="O242" s="357"/>
      <c r="P242" s="357"/>
    </row>
    <row r="243" spans="1:16" s="356" customFormat="1">
      <c r="A243" s="357"/>
      <c r="B243" s="426"/>
      <c r="C243" s="427"/>
      <c r="D243" s="428"/>
      <c r="E243" s="427"/>
      <c r="F243" s="427"/>
      <c r="G243" s="427"/>
      <c r="H243" s="427"/>
      <c r="I243" s="427"/>
      <c r="J243" s="427"/>
      <c r="N243" s="357"/>
      <c r="O243" s="357"/>
      <c r="P243" s="357"/>
    </row>
    <row r="244" spans="1:16" s="356" customFormat="1">
      <c r="A244" s="357"/>
      <c r="B244" s="426"/>
      <c r="C244" s="427"/>
      <c r="D244" s="428"/>
      <c r="E244" s="427"/>
      <c r="F244" s="427"/>
      <c r="G244" s="427"/>
      <c r="H244" s="427"/>
      <c r="I244" s="427"/>
      <c r="J244" s="427"/>
      <c r="N244" s="357"/>
      <c r="O244" s="357"/>
      <c r="P244" s="357"/>
    </row>
    <row r="245" spans="1:16" s="356" customFormat="1">
      <c r="A245" s="357"/>
      <c r="B245" s="426"/>
      <c r="C245" s="427"/>
      <c r="D245" s="428"/>
      <c r="E245" s="427"/>
      <c r="F245" s="427"/>
      <c r="G245" s="427"/>
      <c r="H245" s="427"/>
      <c r="I245" s="427"/>
      <c r="J245" s="427"/>
      <c r="N245" s="357"/>
      <c r="O245" s="357"/>
      <c r="P245" s="357"/>
    </row>
    <row r="246" spans="1:16" s="356" customFormat="1">
      <c r="A246" s="357"/>
      <c r="B246" s="426"/>
      <c r="C246" s="427"/>
      <c r="D246" s="428"/>
      <c r="E246" s="427"/>
      <c r="F246" s="427"/>
      <c r="G246" s="427"/>
      <c r="H246" s="427"/>
      <c r="I246" s="427"/>
      <c r="J246" s="427"/>
      <c r="N246" s="357"/>
      <c r="O246" s="357"/>
      <c r="P246" s="357"/>
    </row>
    <row r="247" spans="1:16" s="356" customFormat="1">
      <c r="A247" s="357"/>
      <c r="B247" s="426"/>
      <c r="C247" s="427"/>
      <c r="D247" s="428"/>
      <c r="E247" s="427"/>
      <c r="F247" s="427"/>
      <c r="G247" s="427"/>
      <c r="H247" s="427"/>
      <c r="I247" s="427"/>
      <c r="J247" s="427"/>
      <c r="N247" s="357"/>
      <c r="O247" s="357"/>
      <c r="P247" s="357"/>
    </row>
    <row r="248" spans="1:16" s="356" customFormat="1">
      <c r="A248" s="357"/>
      <c r="B248" s="426"/>
      <c r="C248" s="427"/>
      <c r="D248" s="428"/>
      <c r="E248" s="427"/>
      <c r="F248" s="427"/>
      <c r="G248" s="427"/>
      <c r="H248" s="427"/>
      <c r="I248" s="427"/>
      <c r="J248" s="427"/>
      <c r="N248" s="357"/>
      <c r="O248" s="357"/>
      <c r="P248" s="357"/>
    </row>
    <row r="249" spans="1:16" s="356" customFormat="1">
      <c r="A249" s="357"/>
      <c r="B249" s="426"/>
      <c r="C249" s="427"/>
      <c r="D249" s="428"/>
      <c r="E249" s="427"/>
      <c r="F249" s="427"/>
      <c r="G249" s="427"/>
      <c r="H249" s="427"/>
      <c r="I249" s="427"/>
      <c r="J249" s="427"/>
      <c r="N249" s="357"/>
      <c r="O249" s="357"/>
      <c r="P249" s="357"/>
    </row>
    <row r="250" spans="1:16" s="356" customFormat="1">
      <c r="A250" s="357"/>
      <c r="B250" s="426"/>
      <c r="C250" s="427"/>
      <c r="D250" s="428"/>
      <c r="E250" s="427"/>
      <c r="F250" s="427"/>
      <c r="G250" s="427"/>
      <c r="H250" s="427"/>
      <c r="I250" s="427"/>
      <c r="J250" s="427"/>
      <c r="N250" s="357"/>
      <c r="O250" s="357"/>
      <c r="P250" s="357"/>
    </row>
    <row r="251" spans="1:16" s="356" customFormat="1">
      <c r="A251" s="357"/>
      <c r="B251" s="426"/>
      <c r="C251" s="427"/>
      <c r="D251" s="428"/>
      <c r="E251" s="427"/>
      <c r="F251" s="427"/>
      <c r="G251" s="427"/>
      <c r="H251" s="427"/>
      <c r="I251" s="427"/>
      <c r="J251" s="427"/>
      <c r="N251" s="357"/>
      <c r="O251" s="357"/>
      <c r="P251" s="357"/>
    </row>
    <row r="252" spans="1:16" s="356" customFormat="1">
      <c r="A252" s="357"/>
      <c r="B252" s="426"/>
      <c r="C252" s="427"/>
      <c r="D252" s="428"/>
      <c r="E252" s="427"/>
      <c r="F252" s="427"/>
      <c r="G252" s="427"/>
      <c r="H252" s="427"/>
      <c r="I252" s="427"/>
      <c r="J252" s="427"/>
      <c r="N252" s="357"/>
      <c r="O252" s="357"/>
      <c r="P252" s="357"/>
    </row>
    <row r="253" spans="1:16" s="356" customFormat="1">
      <c r="A253" s="357"/>
      <c r="B253" s="426"/>
      <c r="C253" s="427"/>
      <c r="D253" s="428"/>
      <c r="E253" s="427"/>
      <c r="F253" s="427"/>
      <c r="G253" s="427"/>
      <c r="H253" s="427"/>
      <c r="I253" s="427"/>
      <c r="J253" s="427"/>
      <c r="N253" s="357"/>
      <c r="O253" s="357"/>
      <c r="P253" s="357"/>
    </row>
    <row r="254" spans="1:16" s="356" customFormat="1">
      <c r="A254" s="357"/>
      <c r="B254" s="426"/>
      <c r="C254" s="427"/>
      <c r="D254" s="428"/>
      <c r="E254" s="427"/>
      <c r="F254" s="427"/>
      <c r="G254" s="427"/>
      <c r="H254" s="427"/>
      <c r="I254" s="427"/>
      <c r="J254" s="427"/>
      <c r="N254" s="357"/>
      <c r="O254" s="357"/>
      <c r="P254" s="357"/>
    </row>
    <row r="255" spans="1:16" s="356" customFormat="1">
      <c r="A255" s="357"/>
      <c r="B255" s="426"/>
      <c r="C255" s="427"/>
      <c r="D255" s="428"/>
      <c r="E255" s="427"/>
      <c r="F255" s="427"/>
      <c r="G255" s="427"/>
      <c r="H255" s="427"/>
      <c r="I255" s="427"/>
      <c r="J255" s="427"/>
      <c r="N255" s="357"/>
      <c r="O255" s="357"/>
      <c r="P255" s="357"/>
    </row>
    <row r="256" spans="1:16" s="356" customFormat="1">
      <c r="A256" s="357"/>
      <c r="B256" s="426"/>
      <c r="C256" s="427"/>
      <c r="D256" s="428"/>
      <c r="E256" s="427"/>
      <c r="F256" s="427"/>
      <c r="G256" s="427"/>
      <c r="H256" s="427"/>
      <c r="I256" s="427"/>
      <c r="J256" s="427"/>
      <c r="N256" s="357"/>
      <c r="O256" s="357"/>
      <c r="P256" s="357"/>
    </row>
    <row r="257" spans="1:16" s="356" customFormat="1">
      <c r="A257" s="357"/>
      <c r="B257" s="426"/>
      <c r="C257" s="427"/>
      <c r="D257" s="428"/>
      <c r="E257" s="427"/>
      <c r="F257" s="427"/>
      <c r="G257" s="427"/>
      <c r="H257" s="427"/>
      <c r="I257" s="427"/>
      <c r="J257" s="427"/>
      <c r="N257" s="357"/>
      <c r="O257" s="357"/>
      <c r="P257" s="357"/>
    </row>
    <row r="258" spans="1:16" s="356" customFormat="1">
      <c r="A258" s="357"/>
      <c r="B258" s="426"/>
      <c r="C258" s="427"/>
      <c r="D258" s="428"/>
      <c r="E258" s="427"/>
      <c r="F258" s="427"/>
      <c r="G258" s="427"/>
      <c r="H258" s="427"/>
      <c r="I258" s="427"/>
      <c r="J258" s="427"/>
      <c r="N258" s="357"/>
      <c r="O258" s="357"/>
      <c r="P258" s="357"/>
    </row>
    <row r="259" spans="1:16" s="356" customFormat="1">
      <c r="A259" s="357"/>
      <c r="B259" s="426"/>
      <c r="C259" s="427"/>
      <c r="D259" s="428"/>
      <c r="E259" s="427"/>
      <c r="F259" s="427"/>
      <c r="G259" s="427"/>
      <c r="H259" s="427"/>
      <c r="I259" s="427"/>
      <c r="J259" s="427"/>
      <c r="N259" s="357"/>
      <c r="O259" s="357"/>
      <c r="P259" s="357"/>
    </row>
    <row r="260" spans="1:16" s="356" customFormat="1">
      <c r="A260" s="357"/>
      <c r="B260" s="426"/>
      <c r="C260" s="427"/>
      <c r="D260" s="428"/>
      <c r="E260" s="427"/>
      <c r="F260" s="427"/>
      <c r="G260" s="427"/>
      <c r="H260" s="427"/>
      <c r="I260" s="427"/>
      <c r="J260" s="427"/>
      <c r="N260" s="357"/>
      <c r="O260" s="357"/>
      <c r="P260" s="357"/>
    </row>
    <row r="261" spans="1:16" s="356" customFormat="1">
      <c r="A261" s="357"/>
      <c r="B261" s="426"/>
      <c r="C261" s="427"/>
      <c r="D261" s="428"/>
      <c r="E261" s="427"/>
      <c r="F261" s="427"/>
      <c r="G261" s="427"/>
      <c r="H261" s="427"/>
      <c r="I261" s="427"/>
      <c r="J261" s="427"/>
      <c r="N261" s="357"/>
      <c r="O261" s="357"/>
      <c r="P261" s="357"/>
    </row>
    <row r="262" spans="1:16" s="356" customFormat="1">
      <c r="A262" s="357"/>
      <c r="B262" s="426"/>
      <c r="C262" s="427"/>
      <c r="D262" s="428"/>
      <c r="E262" s="427"/>
      <c r="F262" s="427"/>
      <c r="G262" s="427"/>
      <c r="H262" s="427"/>
      <c r="I262" s="427"/>
      <c r="J262" s="427"/>
      <c r="N262" s="357"/>
      <c r="O262" s="357"/>
      <c r="P262" s="357"/>
    </row>
    <row r="263" spans="1:16" s="356" customFormat="1">
      <c r="A263" s="357"/>
      <c r="B263" s="426"/>
      <c r="C263" s="427"/>
      <c r="D263" s="428"/>
      <c r="E263" s="427"/>
      <c r="F263" s="427"/>
      <c r="G263" s="427"/>
      <c r="H263" s="427"/>
      <c r="I263" s="427"/>
      <c r="J263" s="427"/>
      <c r="N263" s="357"/>
      <c r="O263" s="357"/>
      <c r="P263" s="357"/>
    </row>
    <row r="264" spans="1:16" s="356" customFormat="1">
      <c r="A264" s="357"/>
      <c r="B264" s="426"/>
      <c r="C264" s="427"/>
      <c r="D264" s="428"/>
      <c r="E264" s="427"/>
      <c r="F264" s="427"/>
      <c r="G264" s="427"/>
      <c r="H264" s="427"/>
      <c r="I264" s="427"/>
      <c r="J264" s="427"/>
      <c r="N264" s="357"/>
      <c r="O264" s="357"/>
      <c r="P264" s="357"/>
    </row>
    <row r="265" spans="1:16" s="356" customFormat="1">
      <c r="A265" s="357"/>
      <c r="B265" s="426"/>
      <c r="C265" s="427"/>
      <c r="D265" s="428"/>
      <c r="E265" s="427"/>
      <c r="F265" s="427"/>
      <c r="G265" s="427"/>
      <c r="H265" s="427"/>
      <c r="I265" s="427"/>
      <c r="J265" s="427"/>
      <c r="N265" s="357"/>
      <c r="O265" s="357"/>
      <c r="P265" s="357"/>
    </row>
    <row r="266" spans="1:16" s="356" customFormat="1">
      <c r="A266" s="357"/>
      <c r="B266" s="426"/>
      <c r="C266" s="427"/>
      <c r="D266" s="428"/>
      <c r="E266" s="427"/>
      <c r="F266" s="427"/>
      <c r="G266" s="427"/>
      <c r="H266" s="427"/>
      <c r="I266" s="427"/>
      <c r="J266" s="427"/>
      <c r="N266" s="357"/>
      <c r="O266" s="357"/>
      <c r="P266" s="357"/>
    </row>
    <row r="267" spans="1:16" s="356" customFormat="1">
      <c r="A267" s="357"/>
      <c r="B267" s="420"/>
      <c r="C267" s="421"/>
      <c r="D267" s="429"/>
      <c r="E267" s="421"/>
      <c r="F267" s="421"/>
      <c r="G267" s="421"/>
      <c r="H267" s="421"/>
      <c r="I267" s="421"/>
      <c r="J267" s="421"/>
      <c r="N267" s="357"/>
      <c r="O267" s="357"/>
      <c r="P267" s="357"/>
    </row>
    <row r="268" spans="1:16" s="356" customFormat="1">
      <c r="A268" s="357"/>
      <c r="B268" s="420"/>
      <c r="C268" s="421"/>
      <c r="D268" s="429"/>
      <c r="E268" s="421"/>
      <c r="F268" s="421"/>
      <c r="G268" s="421"/>
      <c r="H268" s="421"/>
      <c r="I268" s="421"/>
      <c r="J268" s="421"/>
      <c r="N268" s="357"/>
      <c r="O268" s="357"/>
      <c r="P268" s="357"/>
    </row>
    <row r="269" spans="1:16" s="356" customFormat="1">
      <c r="A269" s="357"/>
      <c r="B269" s="420"/>
      <c r="C269" s="421"/>
      <c r="D269" s="429"/>
      <c r="E269" s="421"/>
      <c r="F269" s="421"/>
      <c r="G269" s="421"/>
      <c r="H269" s="421"/>
      <c r="I269" s="421"/>
      <c r="J269" s="421"/>
      <c r="N269" s="357"/>
      <c r="O269" s="357"/>
      <c r="P269" s="357"/>
    </row>
    <row r="270" spans="1:16" s="356" customFormat="1">
      <c r="A270" s="357"/>
      <c r="B270" s="420"/>
      <c r="C270" s="421"/>
      <c r="D270" s="429"/>
      <c r="E270" s="421"/>
      <c r="F270" s="421"/>
      <c r="G270" s="421"/>
      <c r="H270" s="421"/>
      <c r="I270" s="421"/>
      <c r="J270" s="421"/>
      <c r="N270" s="357"/>
      <c r="O270" s="357"/>
      <c r="P270" s="357"/>
    </row>
    <row r="271" spans="1:16" s="356" customFormat="1">
      <c r="A271" s="357"/>
      <c r="B271" s="420"/>
      <c r="C271" s="421"/>
      <c r="D271" s="429"/>
      <c r="E271" s="421"/>
      <c r="F271" s="421"/>
      <c r="G271" s="421"/>
      <c r="H271" s="421"/>
      <c r="I271" s="421"/>
      <c r="J271" s="421"/>
      <c r="N271" s="357"/>
      <c r="O271" s="357"/>
      <c r="P271" s="357"/>
    </row>
    <row r="272" spans="1:16" s="356" customFormat="1">
      <c r="A272" s="357"/>
      <c r="B272" s="420"/>
      <c r="C272" s="421"/>
      <c r="D272" s="429"/>
      <c r="E272" s="421"/>
      <c r="F272" s="421"/>
      <c r="G272" s="421"/>
      <c r="H272" s="421"/>
      <c r="I272" s="421"/>
      <c r="J272" s="421"/>
      <c r="N272" s="357"/>
      <c r="O272" s="357"/>
      <c r="P272" s="357"/>
    </row>
    <row r="273" spans="1:16" s="356" customFormat="1">
      <c r="A273" s="357"/>
      <c r="B273" s="420"/>
      <c r="C273" s="421"/>
      <c r="D273" s="429"/>
      <c r="E273" s="421"/>
      <c r="F273" s="421"/>
      <c r="G273" s="421"/>
      <c r="H273" s="421"/>
      <c r="I273" s="421"/>
      <c r="J273" s="421"/>
      <c r="N273" s="357"/>
      <c r="O273" s="357"/>
      <c r="P273" s="357"/>
    </row>
    <row r="274" spans="1:16" s="356" customFormat="1">
      <c r="A274" s="357"/>
      <c r="B274" s="420"/>
      <c r="C274" s="421"/>
      <c r="D274" s="429"/>
      <c r="E274" s="421"/>
      <c r="F274" s="421"/>
      <c r="G274" s="421"/>
      <c r="H274" s="421"/>
      <c r="I274" s="421"/>
      <c r="J274" s="421"/>
      <c r="N274" s="357"/>
      <c r="O274" s="357"/>
      <c r="P274" s="357"/>
    </row>
    <row r="275" spans="1:16" s="356" customFormat="1">
      <c r="A275" s="357"/>
      <c r="B275" s="420"/>
      <c r="C275" s="421"/>
      <c r="D275" s="429"/>
      <c r="E275" s="421"/>
      <c r="F275" s="421"/>
      <c r="G275" s="421"/>
      <c r="H275" s="421"/>
      <c r="I275" s="421"/>
      <c r="J275" s="421"/>
      <c r="N275" s="357"/>
      <c r="O275" s="357"/>
      <c r="P275" s="357"/>
    </row>
    <row r="276" spans="1:16" s="356" customFormat="1">
      <c r="A276" s="357"/>
      <c r="B276" s="420"/>
      <c r="C276" s="421"/>
      <c r="D276" s="429"/>
      <c r="E276" s="421"/>
      <c r="F276" s="421"/>
      <c r="G276" s="421"/>
      <c r="H276" s="421"/>
      <c r="I276" s="421"/>
      <c r="J276" s="421"/>
      <c r="N276" s="357"/>
      <c r="O276" s="357"/>
      <c r="P276" s="357"/>
    </row>
    <row r="277" spans="1:16" s="356" customFormat="1">
      <c r="A277" s="357"/>
      <c r="B277" s="420"/>
      <c r="C277" s="421"/>
      <c r="D277" s="429"/>
      <c r="E277" s="421"/>
      <c r="F277" s="421"/>
      <c r="G277" s="421"/>
      <c r="H277" s="421"/>
      <c r="I277" s="421"/>
      <c r="J277" s="421"/>
      <c r="N277" s="357"/>
      <c r="O277" s="357"/>
      <c r="P277" s="357"/>
    </row>
    <row r="278" spans="1:16" s="356" customFormat="1">
      <c r="A278" s="357"/>
      <c r="B278" s="420"/>
      <c r="C278" s="421"/>
      <c r="D278" s="429"/>
      <c r="E278" s="421"/>
      <c r="F278" s="421"/>
      <c r="G278" s="421"/>
      <c r="H278" s="421"/>
      <c r="I278" s="421"/>
      <c r="J278" s="421"/>
      <c r="N278" s="357"/>
      <c r="O278" s="357"/>
      <c r="P278" s="357"/>
    </row>
    <row r="279" spans="1:16" s="356" customFormat="1">
      <c r="A279" s="357"/>
      <c r="B279" s="420"/>
      <c r="C279" s="421"/>
      <c r="D279" s="429"/>
      <c r="E279" s="421"/>
      <c r="F279" s="421"/>
      <c r="G279" s="421"/>
      <c r="H279" s="421"/>
      <c r="I279" s="421"/>
      <c r="J279" s="421"/>
      <c r="N279" s="357"/>
      <c r="O279" s="357"/>
      <c r="P279" s="357"/>
    </row>
    <row r="280" spans="1:16" s="356" customFormat="1">
      <c r="A280" s="357"/>
      <c r="B280" s="420"/>
      <c r="C280" s="421"/>
      <c r="D280" s="429"/>
      <c r="E280" s="421"/>
      <c r="F280" s="421"/>
      <c r="G280" s="421"/>
      <c r="H280" s="421"/>
      <c r="I280" s="421"/>
      <c r="J280" s="421"/>
      <c r="N280" s="357"/>
      <c r="O280" s="357"/>
      <c r="P280" s="357"/>
    </row>
    <row r="281" spans="1:16" s="356" customFormat="1">
      <c r="A281" s="357"/>
      <c r="B281" s="420"/>
      <c r="C281" s="421"/>
      <c r="D281" s="429"/>
      <c r="E281" s="421"/>
      <c r="F281" s="421"/>
      <c r="G281" s="421"/>
      <c r="H281" s="421"/>
      <c r="I281" s="421"/>
      <c r="J281" s="421"/>
      <c r="N281" s="357"/>
      <c r="O281" s="357"/>
      <c r="P281" s="357"/>
    </row>
    <row r="282" spans="1:16" s="356" customFormat="1">
      <c r="A282" s="357"/>
      <c r="B282" s="420"/>
      <c r="C282" s="421"/>
      <c r="D282" s="429"/>
      <c r="E282" s="421"/>
      <c r="F282" s="421"/>
      <c r="G282" s="421"/>
      <c r="H282" s="421"/>
      <c r="I282" s="421"/>
      <c r="J282" s="421"/>
      <c r="N282" s="357"/>
      <c r="O282" s="357"/>
      <c r="P282" s="357"/>
    </row>
    <row r="283" spans="1:16" s="356" customFormat="1">
      <c r="A283" s="357"/>
      <c r="B283" s="420"/>
      <c r="C283" s="421"/>
      <c r="D283" s="429"/>
      <c r="E283" s="421"/>
      <c r="F283" s="421"/>
      <c r="G283" s="421"/>
      <c r="H283" s="421"/>
      <c r="I283" s="421"/>
      <c r="J283" s="421"/>
      <c r="N283" s="357"/>
      <c r="O283" s="357"/>
      <c r="P283" s="357"/>
    </row>
    <row r="284" spans="1:16" s="356" customFormat="1">
      <c r="A284" s="357"/>
      <c r="B284" s="420"/>
      <c r="C284" s="421"/>
      <c r="D284" s="429"/>
      <c r="E284" s="421"/>
      <c r="F284" s="421"/>
      <c r="G284" s="421"/>
      <c r="H284" s="421"/>
      <c r="I284" s="421"/>
      <c r="J284" s="421"/>
      <c r="N284" s="357"/>
      <c r="O284" s="357"/>
      <c r="P284" s="357"/>
    </row>
    <row r="285" spans="1:16" s="356" customFormat="1">
      <c r="A285" s="357"/>
      <c r="B285" s="420"/>
      <c r="C285" s="421"/>
      <c r="D285" s="429"/>
      <c r="E285" s="421"/>
      <c r="F285" s="421"/>
      <c r="G285" s="421"/>
      <c r="H285" s="421"/>
      <c r="I285" s="421"/>
      <c r="J285" s="421"/>
      <c r="N285" s="357"/>
      <c r="O285" s="357"/>
      <c r="P285" s="357"/>
    </row>
    <row r="286" spans="1:16" s="356" customFormat="1">
      <c r="A286" s="357"/>
      <c r="B286" s="420"/>
      <c r="C286" s="421"/>
      <c r="D286" s="429"/>
      <c r="E286" s="421"/>
      <c r="F286" s="421"/>
      <c r="G286" s="421"/>
      <c r="H286" s="421"/>
      <c r="I286" s="421"/>
      <c r="J286" s="421"/>
      <c r="N286" s="357"/>
      <c r="O286" s="357"/>
      <c r="P286" s="357"/>
    </row>
    <row r="287" spans="1:16" s="356" customFormat="1">
      <c r="A287" s="357"/>
      <c r="B287" s="420"/>
      <c r="C287" s="421"/>
      <c r="D287" s="429"/>
      <c r="E287" s="421"/>
      <c r="F287" s="421"/>
      <c r="G287" s="421"/>
      <c r="H287" s="421"/>
      <c r="I287" s="421"/>
      <c r="J287" s="421"/>
      <c r="N287" s="357"/>
      <c r="O287" s="357"/>
      <c r="P287" s="357"/>
    </row>
    <row r="288" spans="1:16" s="356" customFormat="1">
      <c r="A288" s="357"/>
      <c r="B288" s="420"/>
      <c r="C288" s="421"/>
      <c r="D288" s="429"/>
      <c r="E288" s="421"/>
      <c r="F288" s="421"/>
      <c r="G288" s="421"/>
      <c r="H288" s="421"/>
      <c r="I288" s="421"/>
      <c r="J288" s="421"/>
      <c r="N288" s="357"/>
      <c r="O288" s="357"/>
      <c r="P288" s="357"/>
    </row>
    <row r="289" spans="1:16" s="356" customFormat="1">
      <c r="A289" s="357"/>
      <c r="B289" s="420"/>
      <c r="C289" s="421"/>
      <c r="D289" s="429"/>
      <c r="E289" s="421"/>
      <c r="F289" s="421"/>
      <c r="G289" s="421"/>
      <c r="H289" s="421"/>
      <c r="I289" s="421"/>
      <c r="J289" s="421"/>
      <c r="N289" s="357"/>
      <c r="O289" s="357"/>
      <c r="P289" s="357"/>
    </row>
    <row r="290" spans="1:16" s="356" customFormat="1">
      <c r="A290" s="357"/>
      <c r="B290" s="420"/>
      <c r="C290" s="421"/>
      <c r="D290" s="429"/>
      <c r="E290" s="421"/>
      <c r="F290" s="421"/>
      <c r="G290" s="421"/>
      <c r="H290" s="421"/>
      <c r="I290" s="421"/>
      <c r="J290" s="421"/>
      <c r="N290" s="357"/>
      <c r="O290" s="357"/>
      <c r="P290" s="357"/>
    </row>
    <row r="291" spans="1:16" s="356" customFormat="1">
      <c r="A291" s="357"/>
      <c r="B291" s="420"/>
      <c r="C291" s="421"/>
      <c r="D291" s="429"/>
      <c r="E291" s="421"/>
      <c r="F291" s="421"/>
      <c r="G291" s="421"/>
      <c r="H291" s="421"/>
      <c r="I291" s="421"/>
      <c r="J291" s="421"/>
      <c r="N291" s="357"/>
      <c r="O291" s="357"/>
      <c r="P291" s="357"/>
    </row>
    <row r="292" spans="1:16" s="356" customFormat="1">
      <c r="A292" s="357"/>
      <c r="B292" s="420"/>
      <c r="C292" s="421"/>
      <c r="D292" s="429"/>
      <c r="E292" s="421"/>
      <c r="F292" s="421"/>
      <c r="G292" s="421"/>
      <c r="H292" s="421"/>
      <c r="I292" s="421"/>
      <c r="J292" s="421"/>
      <c r="N292" s="357"/>
      <c r="O292" s="357"/>
      <c r="P292" s="357"/>
    </row>
    <row r="293" spans="1:16" s="356" customFormat="1">
      <c r="A293" s="357"/>
      <c r="B293" s="420"/>
      <c r="C293" s="421"/>
      <c r="D293" s="429"/>
      <c r="E293" s="421"/>
      <c r="F293" s="421"/>
      <c r="G293" s="421"/>
      <c r="H293" s="421"/>
      <c r="I293" s="421"/>
      <c r="J293" s="421"/>
      <c r="N293" s="357"/>
      <c r="O293" s="357"/>
      <c r="P293" s="357"/>
    </row>
    <row r="294" spans="1:16" s="356" customFormat="1">
      <c r="A294" s="357"/>
      <c r="B294" s="420"/>
      <c r="C294" s="421"/>
      <c r="D294" s="429"/>
      <c r="E294" s="421"/>
      <c r="F294" s="421"/>
      <c r="G294" s="421"/>
      <c r="H294" s="421"/>
      <c r="I294" s="421"/>
      <c r="J294" s="421"/>
      <c r="N294" s="357"/>
      <c r="O294" s="357"/>
      <c r="P294" s="357"/>
    </row>
    <row r="295" spans="1:16" s="356" customFormat="1">
      <c r="A295" s="357"/>
      <c r="B295" s="420"/>
      <c r="C295" s="421"/>
      <c r="D295" s="429"/>
      <c r="E295" s="421"/>
      <c r="F295" s="421"/>
      <c r="G295" s="421"/>
      <c r="H295" s="421"/>
      <c r="I295" s="421"/>
      <c r="J295" s="421"/>
      <c r="N295" s="357"/>
      <c r="O295" s="357"/>
      <c r="P295" s="357"/>
    </row>
    <row r="296" spans="1:16" s="356" customFormat="1">
      <c r="A296" s="357"/>
      <c r="B296" s="420"/>
      <c r="C296" s="421"/>
      <c r="D296" s="429"/>
      <c r="E296" s="421"/>
      <c r="F296" s="421"/>
      <c r="G296" s="421"/>
      <c r="H296" s="421"/>
      <c r="I296" s="421"/>
      <c r="J296" s="421"/>
      <c r="N296" s="357"/>
      <c r="O296" s="357"/>
      <c r="P296" s="357"/>
    </row>
    <row r="297" spans="1:16" s="356" customFormat="1">
      <c r="A297" s="357"/>
      <c r="B297" s="420"/>
      <c r="C297" s="421"/>
      <c r="D297" s="429"/>
      <c r="E297" s="421"/>
      <c r="F297" s="421"/>
      <c r="G297" s="421"/>
      <c r="H297" s="421"/>
      <c r="I297" s="421"/>
      <c r="J297" s="421"/>
      <c r="N297" s="357"/>
      <c r="O297" s="357"/>
      <c r="P297" s="357"/>
    </row>
    <row r="298" spans="1:16" s="356" customFormat="1">
      <c r="A298" s="357"/>
      <c r="B298" s="420"/>
      <c r="C298" s="421"/>
      <c r="D298" s="429"/>
      <c r="E298" s="421"/>
      <c r="F298" s="421"/>
      <c r="G298" s="421"/>
      <c r="H298" s="421"/>
      <c r="I298" s="421"/>
      <c r="J298" s="421"/>
      <c r="N298" s="357"/>
      <c r="O298" s="357"/>
      <c r="P298" s="357"/>
    </row>
    <row r="299" spans="1:16" s="356" customFormat="1">
      <c r="A299" s="357"/>
      <c r="B299" s="420"/>
      <c r="C299" s="421"/>
      <c r="D299" s="429"/>
      <c r="E299" s="421"/>
      <c r="F299" s="421"/>
      <c r="G299" s="421"/>
      <c r="H299" s="421"/>
      <c r="I299" s="421"/>
      <c r="J299" s="421"/>
      <c r="N299" s="357"/>
      <c r="O299" s="357"/>
      <c r="P299" s="357"/>
    </row>
    <row r="300" spans="1:16" s="356" customFormat="1">
      <c r="A300" s="357"/>
      <c r="B300" s="420"/>
      <c r="C300" s="421"/>
      <c r="D300" s="429"/>
      <c r="E300" s="421"/>
      <c r="F300" s="421"/>
      <c r="G300" s="421"/>
      <c r="H300" s="421"/>
      <c r="I300" s="421"/>
      <c r="J300" s="421"/>
      <c r="N300" s="357"/>
      <c r="O300" s="357"/>
      <c r="P300" s="357"/>
    </row>
    <row r="301" spans="1:16" s="356" customFormat="1">
      <c r="A301" s="357"/>
      <c r="B301" s="420"/>
      <c r="C301" s="421"/>
      <c r="D301" s="429"/>
      <c r="E301" s="421"/>
      <c r="F301" s="421"/>
      <c r="G301" s="421"/>
      <c r="H301" s="421"/>
      <c r="I301" s="421"/>
      <c r="J301" s="421"/>
      <c r="N301" s="357"/>
      <c r="O301" s="357"/>
      <c r="P301" s="357"/>
    </row>
    <row r="302" spans="1:16" s="356" customFormat="1">
      <c r="A302" s="357"/>
      <c r="B302" s="420"/>
      <c r="C302" s="421"/>
      <c r="D302" s="429"/>
      <c r="E302" s="421"/>
      <c r="F302" s="421"/>
      <c r="G302" s="421"/>
      <c r="H302" s="421"/>
      <c r="I302" s="421"/>
      <c r="J302" s="421"/>
      <c r="N302" s="357"/>
      <c r="O302" s="357"/>
      <c r="P302" s="357"/>
    </row>
    <row r="303" spans="1:16" s="356" customFormat="1">
      <c r="A303" s="357"/>
      <c r="B303" s="420"/>
      <c r="C303" s="421"/>
      <c r="D303" s="429"/>
      <c r="E303" s="421"/>
      <c r="F303" s="421"/>
      <c r="G303" s="421"/>
      <c r="H303" s="421"/>
      <c r="I303" s="421"/>
      <c r="J303" s="421"/>
      <c r="N303" s="357"/>
      <c r="O303" s="357"/>
      <c r="P303" s="357"/>
    </row>
    <row r="304" spans="1:16" s="356" customFormat="1">
      <c r="A304" s="357"/>
      <c r="B304" s="420"/>
      <c r="C304" s="421"/>
      <c r="D304" s="429"/>
      <c r="E304" s="421"/>
      <c r="F304" s="421"/>
      <c r="G304" s="421"/>
      <c r="H304" s="421"/>
      <c r="I304" s="421"/>
      <c r="J304" s="421"/>
      <c r="N304" s="357"/>
      <c r="O304" s="357"/>
      <c r="P304" s="357"/>
    </row>
    <row r="305" spans="1:16" s="356" customFormat="1">
      <c r="A305" s="357"/>
      <c r="B305" s="420"/>
      <c r="C305" s="421"/>
      <c r="D305" s="429"/>
      <c r="E305" s="421"/>
      <c r="F305" s="421"/>
      <c r="G305" s="421"/>
      <c r="H305" s="421"/>
      <c r="I305" s="421"/>
      <c r="J305" s="421"/>
      <c r="N305" s="357"/>
      <c r="O305" s="357"/>
      <c r="P305" s="357"/>
    </row>
    <row r="306" spans="1:16" s="356" customFormat="1">
      <c r="A306" s="357"/>
      <c r="B306" s="420"/>
      <c r="C306" s="421"/>
      <c r="D306" s="429"/>
      <c r="E306" s="421"/>
      <c r="F306" s="421"/>
      <c r="G306" s="421"/>
      <c r="H306" s="421"/>
      <c r="I306" s="421"/>
      <c r="J306" s="421"/>
      <c r="N306" s="357"/>
      <c r="O306" s="357"/>
      <c r="P306" s="357"/>
    </row>
  </sheetData>
  <mergeCells count="43">
    <mergeCell ref="B10:D10"/>
    <mergeCell ref="E10:F10"/>
    <mergeCell ref="H10:I10"/>
    <mergeCell ref="A1:J1"/>
    <mergeCell ref="B2:D2"/>
    <mergeCell ref="G2:J2"/>
    <mergeCell ref="B3:D3"/>
    <mergeCell ref="G3:J3"/>
    <mergeCell ref="B4:J4"/>
    <mergeCell ref="B5:J5"/>
    <mergeCell ref="B6:J6"/>
    <mergeCell ref="B7:J7"/>
    <mergeCell ref="B8:J8"/>
    <mergeCell ref="B9:J9"/>
    <mergeCell ref="B11:D11"/>
    <mergeCell ref="E11:F11"/>
    <mergeCell ref="H11:I11"/>
    <mergeCell ref="A13:A14"/>
    <mergeCell ref="B13:D13"/>
    <mergeCell ref="E13:E14"/>
    <mergeCell ref="F13:F14"/>
    <mergeCell ref="G13:G14"/>
    <mergeCell ref="H13:I13"/>
    <mergeCell ref="D44:E44"/>
    <mergeCell ref="F44:J44"/>
    <mergeCell ref="J13:J14"/>
    <mergeCell ref="B14:C14"/>
    <mergeCell ref="B15:C15"/>
    <mergeCell ref="E38:F38"/>
    <mergeCell ref="E39:F39"/>
    <mergeCell ref="E40:F40"/>
    <mergeCell ref="I40:J40"/>
    <mergeCell ref="B41:E41"/>
    <mergeCell ref="H41:J41"/>
    <mergeCell ref="D42:E42"/>
    <mergeCell ref="F42:J42"/>
    <mergeCell ref="D43:E43"/>
    <mergeCell ref="D45:E45"/>
    <mergeCell ref="F45:H45"/>
    <mergeCell ref="I45:J45"/>
    <mergeCell ref="D46:E46"/>
    <mergeCell ref="F46:G46"/>
    <mergeCell ref="H46:J46"/>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0000"/>
  </sheetPr>
  <dimension ref="A1:K315"/>
  <sheetViews>
    <sheetView workbookViewId="0">
      <selection activeCell="E7" sqref="E7:G7"/>
    </sheetView>
  </sheetViews>
  <sheetFormatPr defaultRowHeight="12.75"/>
  <cols>
    <col min="1" max="1" width="2.85546875" style="437" customWidth="1"/>
    <col min="2" max="2" width="9.7109375" style="437" customWidth="1"/>
    <col min="3" max="3" width="9.5703125" style="437" customWidth="1"/>
    <col min="4" max="4" width="25.5703125" style="437" customWidth="1"/>
    <col min="5" max="5" width="4.42578125" style="437" hidden="1" customWidth="1"/>
    <col min="6" max="6" width="5.5703125" style="437" hidden="1" customWidth="1"/>
    <col min="7" max="7" width="7.42578125" style="437" customWidth="1"/>
    <col min="8" max="8" width="4.85546875" style="437" customWidth="1"/>
    <col min="9" max="9" width="8.5703125" style="437" customWidth="1"/>
    <col min="10" max="10" width="10.140625" style="437" customWidth="1"/>
    <col min="11" max="11" width="7.5703125" style="437" customWidth="1"/>
    <col min="12" max="16384" width="9.140625" style="437"/>
  </cols>
  <sheetData>
    <row r="1" spans="1:11" ht="18" customHeight="1">
      <c r="A1" s="1237" t="s">
        <v>200</v>
      </c>
      <c r="B1" s="1237"/>
      <c r="C1" s="1237"/>
      <c r="D1" s="1237"/>
      <c r="E1" s="432"/>
      <c r="F1" s="432"/>
      <c r="G1" s="433" t="s">
        <v>201</v>
      </c>
      <c r="H1" s="434" t="s">
        <v>202</v>
      </c>
      <c r="I1" s="435" t="s">
        <v>201</v>
      </c>
      <c r="J1" s="436" t="s">
        <v>202</v>
      </c>
      <c r="K1" s="436"/>
    </row>
    <row r="2" spans="1:11">
      <c r="B2" s="1228" t="s">
        <v>203</v>
      </c>
      <c r="C2" s="1228"/>
      <c r="D2" s="1228"/>
      <c r="E2" s="438"/>
      <c r="F2" s="438"/>
      <c r="G2" s="433"/>
      <c r="H2" s="439"/>
      <c r="I2" s="436"/>
      <c r="J2" s="436"/>
      <c r="K2" s="436"/>
    </row>
    <row r="3" spans="1:11" ht="21" customHeight="1">
      <c r="B3" s="1228" t="s">
        <v>204</v>
      </c>
      <c r="C3" s="1228"/>
      <c r="D3" s="1228"/>
      <c r="E3" s="1228"/>
      <c r="F3" s="1228"/>
      <c r="G3" s="1238"/>
      <c r="H3" s="439"/>
      <c r="I3" s="436"/>
      <c r="J3" s="436"/>
      <c r="K3" s="436"/>
    </row>
    <row r="4" spans="1:11">
      <c r="B4" s="436"/>
      <c r="C4" s="436" t="s">
        <v>205</v>
      </c>
      <c r="D4" s="436" t="s">
        <v>206</v>
      </c>
      <c r="E4" s="436"/>
      <c r="F4" s="436"/>
      <c r="G4" s="433"/>
      <c r="H4" s="439"/>
      <c r="I4" s="436"/>
      <c r="J4" s="436"/>
      <c r="K4" s="436"/>
    </row>
    <row r="5" spans="1:11" ht="15" customHeight="1">
      <c r="B5" s="436"/>
      <c r="C5" s="1228" t="s">
        <v>207</v>
      </c>
      <c r="D5" s="1228"/>
      <c r="E5" s="438"/>
      <c r="F5" s="438"/>
      <c r="G5" s="433"/>
      <c r="H5" s="439"/>
      <c r="I5" s="436"/>
      <c r="J5" s="436"/>
      <c r="K5" s="436"/>
    </row>
    <row r="6" spans="1:11" ht="15.75" customHeight="1">
      <c r="B6" s="436"/>
      <c r="C6" s="1228" t="s">
        <v>208</v>
      </c>
      <c r="D6" s="1228"/>
      <c r="E6" s="438"/>
      <c r="F6" s="438"/>
      <c r="G6" s="433"/>
      <c r="H6" s="439"/>
      <c r="I6" s="436"/>
      <c r="J6" s="436"/>
      <c r="K6" s="436"/>
    </row>
    <row r="7" spans="1:11">
      <c r="B7" s="436"/>
      <c r="C7" s="436"/>
      <c r="D7" s="436"/>
      <c r="E7" s="436"/>
      <c r="F7" s="436"/>
      <c r="G7" s="433"/>
      <c r="H7" s="439"/>
      <c r="I7" s="436"/>
      <c r="J7" s="436"/>
      <c r="K7" s="436"/>
    </row>
    <row r="8" spans="1:11" ht="18" customHeight="1">
      <c r="A8" s="1239" t="s">
        <v>209</v>
      </c>
      <c r="B8" s="1239"/>
      <c r="C8" s="440" t="s">
        <v>210</v>
      </c>
      <c r="D8" s="440"/>
      <c r="E8" s="436"/>
      <c r="F8" s="436"/>
      <c r="G8" s="436"/>
      <c r="H8" s="439"/>
      <c r="I8" s="436"/>
      <c r="J8" s="436"/>
      <c r="K8" s="436"/>
    </row>
    <row r="9" spans="1:11" ht="13.5" customHeight="1">
      <c r="A9" s="1239"/>
      <c r="B9" s="1239"/>
      <c r="C9" s="1227" t="s">
        <v>211</v>
      </c>
      <c r="D9" s="1227"/>
      <c r="E9" s="438"/>
      <c r="F9" s="438"/>
      <c r="G9" s="436"/>
      <c r="H9" s="439"/>
      <c r="I9" s="436"/>
      <c r="J9" s="436"/>
      <c r="K9" s="436"/>
    </row>
    <row r="10" spans="1:11" ht="12.75" customHeight="1">
      <c r="A10" s="1239"/>
      <c r="B10" s="1239"/>
      <c r="C10" s="1227" t="s">
        <v>212</v>
      </c>
      <c r="D10" s="1227"/>
      <c r="E10" s="438"/>
      <c r="F10" s="438"/>
      <c r="G10" s="436"/>
      <c r="H10" s="439"/>
      <c r="I10" s="436"/>
      <c r="J10" s="436"/>
      <c r="K10" s="436"/>
    </row>
    <row r="11" spans="1:11">
      <c r="A11" s="441"/>
      <c r="B11" s="442"/>
      <c r="C11" s="443" t="s">
        <v>213</v>
      </c>
      <c r="D11" s="443"/>
      <c r="E11" s="435"/>
      <c r="F11" s="435"/>
      <c r="G11" s="435"/>
      <c r="H11" s="434"/>
      <c r="I11" s="435"/>
      <c r="J11" s="435"/>
      <c r="K11" s="435"/>
    </row>
    <row r="12" spans="1:11" ht="14.25" customHeight="1">
      <c r="A12" s="444" t="s">
        <v>214</v>
      </c>
      <c r="B12" s="436"/>
      <c r="C12" s="436"/>
      <c r="D12" s="436" t="s">
        <v>215</v>
      </c>
      <c r="E12" s="436"/>
      <c r="F12" s="436"/>
      <c r="G12" s="436"/>
      <c r="H12" s="436"/>
      <c r="I12" s="436"/>
      <c r="J12" s="436"/>
      <c r="K12" s="436"/>
    </row>
    <row r="13" spans="1:11" ht="12" customHeight="1">
      <c r="A13" s="444" t="s">
        <v>216</v>
      </c>
      <c r="B13" s="436"/>
      <c r="C13" s="436"/>
      <c r="D13" s="436"/>
      <c r="E13" s="436"/>
      <c r="F13" s="436"/>
      <c r="G13" s="436"/>
      <c r="H13" s="436"/>
      <c r="I13" s="436"/>
      <c r="J13" s="436"/>
      <c r="K13" s="436"/>
    </row>
    <row r="14" spans="1:11">
      <c r="B14" s="436"/>
      <c r="C14" s="436"/>
      <c r="D14" s="436"/>
      <c r="E14" s="436"/>
      <c r="F14" s="436"/>
      <c r="G14" s="436"/>
      <c r="H14" s="436"/>
      <c r="I14" s="436"/>
      <c r="J14" s="436"/>
      <c r="K14" s="436"/>
    </row>
    <row r="15" spans="1:11" ht="22.5" customHeight="1">
      <c r="B15" s="436"/>
      <c r="C15" s="1228" t="s">
        <v>217</v>
      </c>
      <c r="D15" s="1228"/>
      <c r="E15" s="438"/>
      <c r="F15" s="438"/>
      <c r="G15" s="436"/>
      <c r="H15" s="436"/>
      <c r="I15" s="436"/>
      <c r="J15" s="436"/>
      <c r="K15" s="436"/>
    </row>
    <row r="16" spans="1:11">
      <c r="B16" s="436"/>
      <c r="C16" s="436"/>
      <c r="D16" s="436"/>
      <c r="E16" s="436"/>
      <c r="F16" s="436"/>
      <c r="G16" s="436"/>
      <c r="H16" s="436"/>
      <c r="I16" s="436"/>
      <c r="J16" s="436"/>
      <c r="K16" s="436"/>
    </row>
    <row r="17" spans="1:11">
      <c r="A17" s="437" t="s">
        <v>218</v>
      </c>
      <c r="B17" s="436"/>
      <c r="C17" s="436"/>
      <c r="D17" s="436"/>
      <c r="E17" s="436"/>
      <c r="F17" s="436"/>
      <c r="G17" s="436"/>
      <c r="H17" s="436"/>
      <c r="I17" s="436"/>
      <c r="J17" s="436"/>
      <c r="K17" s="436"/>
    </row>
    <row r="18" spans="1:11" ht="27" customHeight="1">
      <c r="B18" s="436"/>
      <c r="C18" s="436"/>
      <c r="E18" s="1228" t="s">
        <v>219</v>
      </c>
      <c r="F18" s="1228"/>
      <c r="G18" s="1228"/>
      <c r="H18" s="1228"/>
      <c r="I18" s="1228"/>
      <c r="J18" s="1228"/>
      <c r="K18" s="436"/>
    </row>
    <row r="19" spans="1:11" ht="12" customHeight="1">
      <c r="B19" s="436"/>
      <c r="C19" s="436"/>
      <c r="D19" s="436"/>
      <c r="E19" s="1228" t="s">
        <v>220</v>
      </c>
      <c r="F19" s="1228"/>
      <c r="G19" s="1228"/>
      <c r="H19" s="1228"/>
      <c r="I19" s="1228"/>
      <c r="J19" s="1228"/>
      <c r="K19" s="1228"/>
    </row>
    <row r="20" spans="1:11" ht="6.75" customHeight="1">
      <c r="B20" s="436"/>
      <c r="C20" s="436"/>
      <c r="E20" s="445"/>
      <c r="F20" s="445"/>
      <c r="G20" s="445"/>
      <c r="H20" s="445"/>
      <c r="I20" s="445"/>
      <c r="J20" s="445"/>
      <c r="K20" s="438"/>
    </row>
    <row r="21" spans="1:11" ht="16.5" customHeight="1">
      <c r="B21" s="436"/>
      <c r="C21" s="436"/>
      <c r="D21" s="438"/>
      <c r="E21" s="1228" t="s">
        <v>220</v>
      </c>
      <c r="F21" s="1228"/>
      <c r="G21" s="1228"/>
      <c r="H21" s="1228"/>
      <c r="I21" s="1228"/>
      <c r="J21" s="1228"/>
      <c r="K21" s="1228"/>
    </row>
    <row r="22" spans="1:11">
      <c r="A22" s="1240"/>
      <c r="B22" s="1240"/>
      <c r="C22" s="436"/>
      <c r="D22" s="436"/>
      <c r="E22" s="436"/>
      <c r="F22" s="436"/>
      <c r="G22" s="436"/>
      <c r="H22" s="436"/>
      <c r="I22" s="436"/>
      <c r="J22" s="436"/>
      <c r="K22" s="436"/>
    </row>
    <row r="23" spans="1:11" ht="15" customHeight="1">
      <c r="A23" s="446"/>
      <c r="B23" s="446"/>
      <c r="C23" s="436"/>
      <c r="D23" s="436"/>
      <c r="E23" s="1228" t="s">
        <v>221</v>
      </c>
      <c r="F23" s="1228"/>
      <c r="G23" s="436"/>
      <c r="H23" s="436"/>
      <c r="I23" s="436"/>
      <c r="J23" s="436"/>
      <c r="K23" s="436"/>
    </row>
    <row r="24" spans="1:11">
      <c r="A24" s="446"/>
      <c r="B24" s="446"/>
      <c r="C24" s="436"/>
      <c r="D24" s="436"/>
      <c r="E24" s="436"/>
      <c r="F24" s="436"/>
      <c r="G24" s="436"/>
      <c r="H24" s="436"/>
      <c r="I24" s="436"/>
      <c r="J24" s="436"/>
      <c r="K24" s="436"/>
    </row>
    <row r="25" spans="1:11">
      <c r="A25" s="1234" t="s">
        <v>222</v>
      </c>
      <c r="B25" s="1234"/>
      <c r="C25" s="436"/>
      <c r="D25" s="438" t="s">
        <v>223</v>
      </c>
      <c r="E25" s="1228" t="s">
        <v>220</v>
      </c>
      <c r="F25" s="1228"/>
      <c r="G25" s="1228"/>
      <c r="H25" s="1228"/>
      <c r="I25" s="1228"/>
      <c r="J25" s="1228"/>
      <c r="K25" s="1228"/>
    </row>
    <row r="26" spans="1:11" ht="8.25" customHeight="1">
      <c r="A26" s="446"/>
      <c r="B26" s="446"/>
      <c r="C26" s="436"/>
      <c r="D26" s="436"/>
      <c r="E26" s="436"/>
      <c r="F26" s="436"/>
      <c r="G26" s="436"/>
      <c r="H26" s="436"/>
      <c r="I26" s="436"/>
      <c r="J26" s="436"/>
      <c r="K26" s="436"/>
    </row>
    <row r="27" spans="1:11">
      <c r="A27" s="446"/>
      <c r="B27" s="446"/>
      <c r="C27" s="436"/>
      <c r="D27" s="436"/>
      <c r="E27" s="1228" t="s">
        <v>220</v>
      </c>
      <c r="F27" s="1228"/>
      <c r="G27" s="1228"/>
      <c r="H27" s="1228"/>
      <c r="I27" s="1228"/>
      <c r="J27" s="1228"/>
      <c r="K27" s="1228"/>
    </row>
    <row r="28" spans="1:11">
      <c r="A28" s="446"/>
      <c r="B28" s="446"/>
      <c r="C28" s="436"/>
      <c r="D28" s="436"/>
      <c r="E28" s="436"/>
      <c r="F28" s="436"/>
      <c r="G28" s="436"/>
      <c r="H28" s="436"/>
      <c r="I28" s="436"/>
      <c r="J28" s="436"/>
      <c r="K28" s="436"/>
    </row>
    <row r="29" spans="1:11">
      <c r="A29" s="1234" t="s">
        <v>224</v>
      </c>
      <c r="B29" s="1234"/>
      <c r="C29" s="436"/>
      <c r="D29" s="438" t="s">
        <v>225</v>
      </c>
      <c r="E29" s="1228" t="s">
        <v>220</v>
      </c>
      <c r="F29" s="1228"/>
      <c r="G29" s="1228"/>
      <c r="H29" s="1228"/>
      <c r="I29" s="1228"/>
      <c r="J29" s="1228"/>
      <c r="K29" s="1228"/>
    </row>
    <row r="30" spans="1:11" ht="6.75" customHeight="1">
      <c r="B30" s="436"/>
      <c r="C30" s="436"/>
      <c r="D30" s="436"/>
      <c r="E30" s="436"/>
      <c r="F30" s="436"/>
      <c r="G30" s="436"/>
      <c r="H30" s="436"/>
      <c r="I30" s="436"/>
      <c r="J30" s="436"/>
      <c r="K30" s="436"/>
    </row>
    <row r="31" spans="1:11">
      <c r="B31" s="436"/>
      <c r="C31" s="436"/>
      <c r="D31" s="438"/>
      <c r="E31" s="1228" t="s">
        <v>220</v>
      </c>
      <c r="F31" s="1228"/>
      <c r="G31" s="1228"/>
      <c r="H31" s="1228"/>
      <c r="I31" s="1228"/>
      <c r="J31" s="1228"/>
      <c r="K31" s="1228"/>
    </row>
    <row r="32" spans="1:11" ht="23.25" customHeight="1">
      <c r="B32" s="436"/>
      <c r="C32" s="436"/>
      <c r="D32" s="436"/>
      <c r="E32" s="438"/>
      <c r="F32" s="438"/>
      <c r="G32" s="1228" t="s">
        <v>226</v>
      </c>
      <c r="H32" s="1228"/>
      <c r="I32" s="1228"/>
      <c r="J32" s="1228" t="s">
        <v>227</v>
      </c>
      <c r="K32" s="1228"/>
    </row>
    <row r="33" spans="1:11" ht="11.25" customHeight="1">
      <c r="A33" s="441"/>
      <c r="B33" s="1235"/>
      <c r="C33" s="1236"/>
      <c r="D33" s="1236"/>
      <c r="E33" s="1236"/>
      <c r="F33" s="1236"/>
      <c r="G33" s="1236"/>
      <c r="H33" s="1236"/>
      <c r="I33" s="1236"/>
      <c r="J33" s="1236"/>
      <c r="K33" s="435"/>
    </row>
    <row r="34" spans="1:11" ht="17.25" customHeight="1">
      <c r="B34" s="436"/>
      <c r="C34" s="436"/>
      <c r="D34" s="436"/>
      <c r="E34" s="436"/>
      <c r="F34" s="436"/>
      <c r="G34" s="436"/>
      <c r="H34" s="436"/>
      <c r="I34" s="1228" t="s">
        <v>228</v>
      </c>
      <c r="J34" s="1228"/>
      <c r="K34" s="438"/>
    </row>
    <row r="35" spans="1:11">
      <c r="B35" s="436"/>
      <c r="C35" s="436"/>
      <c r="D35" s="436"/>
      <c r="E35" s="436"/>
      <c r="F35" s="436"/>
      <c r="G35" s="436"/>
      <c r="H35" s="436"/>
      <c r="I35" s="1228" t="s">
        <v>229</v>
      </c>
      <c r="J35" s="1228"/>
      <c r="K35" s="1228"/>
    </row>
    <row r="36" spans="1:11">
      <c r="B36" s="436"/>
      <c r="C36" s="436"/>
      <c r="D36" s="436"/>
      <c r="E36" s="436"/>
      <c r="F36" s="436"/>
      <c r="G36" s="436"/>
      <c r="H36" s="436"/>
      <c r="I36" s="1228" t="s">
        <v>230</v>
      </c>
      <c r="J36" s="1228"/>
      <c r="K36" s="1228"/>
    </row>
    <row r="37" spans="1:11">
      <c r="B37" s="436"/>
      <c r="C37" s="436"/>
      <c r="D37" s="436"/>
      <c r="E37" s="436"/>
      <c r="F37" s="436"/>
      <c r="G37" s="436"/>
      <c r="H37" s="436"/>
      <c r="I37" s="1228" t="s">
        <v>231</v>
      </c>
      <c r="J37" s="1228"/>
      <c r="K37" s="1228"/>
    </row>
    <row r="38" spans="1:11" ht="23.25" customHeight="1">
      <c r="B38" s="436"/>
      <c r="C38" s="436"/>
      <c r="D38" s="1228" t="s">
        <v>232</v>
      </c>
      <c r="E38" s="1228"/>
      <c r="F38" s="440"/>
      <c r="G38" s="438" t="s">
        <v>233</v>
      </c>
      <c r="H38" s="436"/>
      <c r="I38" s="436"/>
      <c r="J38" s="1229" t="s">
        <v>234</v>
      </c>
      <c r="K38" s="1229"/>
    </row>
    <row r="39" spans="1:11" ht="13.5" customHeight="1">
      <c r="A39" s="441"/>
      <c r="B39" s="435"/>
      <c r="C39" s="435"/>
      <c r="D39" s="1230" t="s">
        <v>235</v>
      </c>
      <c r="E39" s="1230"/>
      <c r="F39" s="1230"/>
      <c r="G39" s="1230"/>
      <c r="H39" s="1230"/>
      <c r="I39" s="1230"/>
      <c r="J39" s="435"/>
      <c r="K39" s="435"/>
    </row>
    <row r="40" spans="1:11" ht="22.5" customHeight="1">
      <c r="A40" s="447"/>
      <c r="B40" s="1231" t="s">
        <v>236</v>
      </c>
      <c r="C40" s="1231"/>
      <c r="D40" s="1231"/>
      <c r="E40" s="1231"/>
      <c r="F40" s="1231"/>
      <c r="G40" s="1231"/>
      <c r="H40" s="1231"/>
      <c r="I40" s="1231"/>
      <c r="J40" s="1231"/>
      <c r="K40" s="448"/>
    </row>
    <row r="41" spans="1:11" ht="18" customHeight="1">
      <c r="B41" s="436"/>
      <c r="C41" s="1232" t="s">
        <v>237</v>
      </c>
      <c r="D41" s="1232"/>
      <c r="E41" s="1232"/>
      <c r="F41" s="1232"/>
      <c r="G41" s="1232"/>
      <c r="H41" s="436"/>
      <c r="I41" s="436"/>
      <c r="J41" s="436"/>
      <c r="K41" s="436"/>
    </row>
    <row r="42" spans="1:11" ht="14.25" customHeight="1">
      <c r="B42" s="438"/>
      <c r="C42" s="1228" t="s">
        <v>238</v>
      </c>
      <c r="D42" s="1228"/>
      <c r="E42" s="1228"/>
      <c r="F42" s="1228"/>
      <c r="G42" s="1228"/>
      <c r="H42" s="1228"/>
      <c r="I42" s="1228"/>
      <c r="J42" s="1228"/>
      <c r="K42" s="436"/>
    </row>
    <row r="43" spans="1:11" ht="12.75" customHeight="1">
      <c r="B43" s="1228" t="s">
        <v>239</v>
      </c>
      <c r="C43" s="1228"/>
      <c r="D43" s="1228"/>
      <c r="E43" s="1228"/>
      <c r="F43" s="1228"/>
      <c r="G43" s="1228"/>
      <c r="H43" s="1228"/>
      <c r="I43" s="1228"/>
      <c r="J43" s="1228"/>
      <c r="K43" s="436"/>
    </row>
    <row r="44" spans="1:11" ht="20.25" customHeight="1">
      <c r="B44" s="438"/>
      <c r="C44" s="1228" t="s">
        <v>240</v>
      </c>
      <c r="D44" s="1228"/>
      <c r="E44" s="1228"/>
      <c r="F44" s="1228"/>
      <c r="G44" s="1228"/>
      <c r="H44" s="1228"/>
      <c r="I44" s="1228"/>
      <c r="J44" s="1228"/>
      <c r="K44" s="436"/>
    </row>
    <row r="45" spans="1:11" ht="23.25" customHeight="1">
      <c r="B45" s="1233" t="s">
        <v>241</v>
      </c>
      <c r="C45" s="1233"/>
      <c r="D45" s="1233"/>
      <c r="E45" s="1233"/>
      <c r="F45" s="1233"/>
      <c r="G45" s="1233"/>
      <c r="H45" s="1233"/>
      <c r="I45" s="1233"/>
      <c r="J45" s="1233"/>
      <c r="K45" s="436"/>
    </row>
    <row r="46" spans="1:11" ht="12.75" customHeight="1">
      <c r="B46" s="1228" t="s">
        <v>242</v>
      </c>
      <c r="C46" s="1228"/>
      <c r="D46" s="1228"/>
      <c r="E46" s="1228"/>
      <c r="F46" s="1228"/>
      <c r="G46" s="1228"/>
      <c r="H46" s="1228"/>
      <c r="I46" s="1228"/>
      <c r="J46" s="1228"/>
      <c r="K46" s="436"/>
    </row>
    <row r="47" spans="1:11" ht="18" customHeight="1">
      <c r="B47" s="438"/>
      <c r="C47" s="1228" t="s">
        <v>243</v>
      </c>
      <c r="D47" s="1228"/>
      <c r="E47" s="1228"/>
      <c r="F47" s="1228"/>
      <c r="G47" s="1228"/>
      <c r="H47" s="1228"/>
      <c r="I47" s="1228"/>
      <c r="J47" s="1228"/>
      <c r="K47" s="436"/>
    </row>
    <row r="48" spans="1:11">
      <c r="B48" s="1228" t="s">
        <v>244</v>
      </c>
      <c r="C48" s="1228"/>
      <c r="D48" s="1228"/>
      <c r="E48" s="1228"/>
      <c r="F48" s="1228"/>
      <c r="G48" s="1228"/>
      <c r="H48" s="1228"/>
      <c r="I48" s="1228"/>
      <c r="J48" s="1228"/>
      <c r="K48" s="436"/>
    </row>
    <row r="49" spans="2:11" ht="18.75" customHeight="1">
      <c r="B49" s="438"/>
      <c r="C49" s="1228" t="s">
        <v>245</v>
      </c>
      <c r="D49" s="1228"/>
      <c r="E49" s="1228"/>
      <c r="F49" s="1228"/>
      <c r="G49" s="1228"/>
      <c r="H49" s="1228"/>
      <c r="I49" s="1228"/>
      <c r="J49" s="1228"/>
      <c r="K49" s="436"/>
    </row>
    <row r="50" spans="2:11">
      <c r="B50" s="1228" t="s">
        <v>246</v>
      </c>
      <c r="C50" s="1228"/>
      <c r="D50" s="1228"/>
      <c r="E50" s="1228"/>
      <c r="F50" s="1228"/>
      <c r="G50" s="1228"/>
      <c r="H50" s="1228"/>
      <c r="I50" s="1228"/>
      <c r="J50" s="1228"/>
      <c r="K50" s="436"/>
    </row>
    <row r="51" spans="2:11" ht="19.5" customHeight="1">
      <c r="B51" s="438"/>
      <c r="C51" s="1228" t="s">
        <v>247</v>
      </c>
      <c r="D51" s="1228"/>
      <c r="E51" s="1228"/>
      <c r="F51" s="1228"/>
      <c r="G51" s="1228"/>
      <c r="H51" s="1228"/>
      <c r="I51" s="1228"/>
      <c r="J51" s="1228"/>
      <c r="K51" s="436"/>
    </row>
    <row r="52" spans="2:11">
      <c r="B52" s="1228" t="s">
        <v>248</v>
      </c>
      <c r="C52" s="1228"/>
      <c r="D52" s="1228"/>
      <c r="E52" s="1228"/>
      <c r="F52" s="1228"/>
      <c r="G52" s="1228"/>
      <c r="H52" s="1228"/>
      <c r="I52" s="1228"/>
      <c r="J52" s="1228"/>
      <c r="K52" s="436"/>
    </row>
    <row r="53" spans="2:11" ht="19.5" customHeight="1">
      <c r="B53" s="438"/>
      <c r="C53" s="1228" t="s">
        <v>249</v>
      </c>
      <c r="D53" s="1228"/>
      <c r="E53" s="1228"/>
      <c r="F53" s="1228"/>
      <c r="G53" s="1228"/>
      <c r="H53" s="1228"/>
      <c r="I53" s="1228"/>
      <c r="J53" s="1228"/>
      <c r="K53" s="436"/>
    </row>
    <row r="54" spans="2:11" ht="19.5" customHeight="1">
      <c r="B54" s="1228" t="s">
        <v>250</v>
      </c>
      <c r="C54" s="1228"/>
      <c r="D54" s="1228"/>
      <c r="E54" s="1228"/>
      <c r="F54" s="1228"/>
      <c r="G54" s="1228"/>
      <c r="H54" s="1228"/>
      <c r="I54" s="1228"/>
      <c r="J54" s="1228"/>
      <c r="K54" s="436"/>
    </row>
    <row r="55" spans="2:11" ht="14.25" customHeight="1">
      <c r="B55" s="438"/>
      <c r="C55" s="1228" t="s">
        <v>251</v>
      </c>
      <c r="D55" s="1228"/>
      <c r="E55" s="1228"/>
      <c r="F55" s="1228"/>
      <c r="G55" s="1228"/>
      <c r="H55" s="1228"/>
      <c r="I55" s="1228"/>
      <c r="J55" s="1228"/>
      <c r="K55" s="436"/>
    </row>
    <row r="56" spans="2:11" ht="21" customHeight="1">
      <c r="B56" s="1227" t="s">
        <v>252</v>
      </c>
      <c r="C56" s="1227"/>
      <c r="D56" s="1227"/>
      <c r="E56" s="1227"/>
      <c r="F56" s="1227"/>
      <c r="G56" s="1227"/>
      <c r="H56" s="1227"/>
      <c r="I56" s="1227"/>
      <c r="J56" s="1227"/>
      <c r="K56" s="436"/>
    </row>
    <row r="57" spans="2:11" ht="21.75" customHeight="1">
      <c r="B57" s="1228" t="s">
        <v>253</v>
      </c>
      <c r="C57" s="1228"/>
      <c r="D57" s="1228"/>
      <c r="E57" s="1228"/>
      <c r="F57" s="1228"/>
      <c r="G57" s="1228"/>
      <c r="H57" s="1228"/>
      <c r="I57" s="1228"/>
      <c r="J57" s="1228"/>
      <c r="K57" s="436"/>
    </row>
    <row r="58" spans="2:11">
      <c r="B58" s="438"/>
      <c r="C58" s="1228" t="s">
        <v>254</v>
      </c>
      <c r="D58" s="1228"/>
      <c r="E58" s="1228"/>
      <c r="F58" s="1228"/>
      <c r="G58" s="1228"/>
      <c r="H58" s="1228"/>
      <c r="I58" s="1228"/>
      <c r="J58" s="1228"/>
      <c r="K58" s="436"/>
    </row>
    <row r="59" spans="2:11" ht="21.75" customHeight="1">
      <c r="B59" s="1227" t="s">
        <v>255</v>
      </c>
      <c r="C59" s="1227"/>
      <c r="D59" s="1227"/>
      <c r="E59" s="1227"/>
      <c r="F59" s="1227"/>
      <c r="G59" s="1227"/>
      <c r="H59" s="1227"/>
      <c r="I59" s="1227"/>
      <c r="J59" s="1227"/>
      <c r="K59" s="436"/>
    </row>
    <row r="60" spans="2:11">
      <c r="B60" s="436"/>
      <c r="C60" s="436"/>
      <c r="D60" s="436"/>
      <c r="E60" s="436"/>
      <c r="F60" s="436"/>
      <c r="G60" s="436"/>
      <c r="H60" s="436"/>
      <c r="I60" s="436"/>
      <c r="J60" s="436"/>
      <c r="K60" s="436"/>
    </row>
    <row r="61" spans="2:11">
      <c r="B61" s="436"/>
      <c r="C61" s="436"/>
      <c r="D61" s="436"/>
      <c r="E61" s="436"/>
      <c r="F61" s="436"/>
      <c r="G61" s="436"/>
      <c r="H61" s="436"/>
      <c r="I61" s="436"/>
      <c r="J61" s="436"/>
      <c r="K61" s="436"/>
    </row>
    <row r="62" spans="2:11">
      <c r="B62" s="436"/>
      <c r="C62" s="436"/>
      <c r="D62" s="436"/>
      <c r="E62" s="436"/>
      <c r="F62" s="436"/>
      <c r="G62" s="436"/>
      <c r="H62" s="436"/>
      <c r="I62" s="436"/>
      <c r="J62" s="436"/>
      <c r="K62" s="436"/>
    </row>
    <row r="63" spans="2:11">
      <c r="B63" s="436"/>
      <c r="C63" s="436"/>
      <c r="D63" s="436"/>
      <c r="E63" s="436"/>
      <c r="F63" s="436"/>
      <c r="G63" s="436"/>
      <c r="H63" s="436"/>
      <c r="I63" s="436"/>
      <c r="J63" s="436"/>
      <c r="K63" s="436"/>
    </row>
    <row r="64" spans="2:11">
      <c r="B64" s="436"/>
      <c r="C64" s="436"/>
      <c r="D64" s="436"/>
      <c r="E64" s="436"/>
      <c r="F64" s="436"/>
      <c r="G64" s="436"/>
      <c r="H64" s="436"/>
      <c r="I64" s="436"/>
      <c r="J64" s="436"/>
      <c r="K64" s="436"/>
    </row>
    <row r="65" spans="2:11">
      <c r="B65" s="436"/>
      <c r="C65" s="436"/>
      <c r="D65" s="436"/>
      <c r="E65" s="436"/>
      <c r="F65" s="436"/>
      <c r="G65" s="436"/>
      <c r="H65" s="436"/>
      <c r="I65" s="436"/>
      <c r="J65" s="436"/>
      <c r="K65" s="436"/>
    </row>
    <row r="66" spans="2:11">
      <c r="B66" s="436"/>
      <c r="C66" s="436"/>
      <c r="D66" s="436"/>
      <c r="E66" s="436"/>
      <c r="F66" s="436"/>
      <c r="G66" s="436"/>
      <c r="H66" s="436"/>
      <c r="I66" s="436"/>
      <c r="J66" s="436"/>
      <c r="K66" s="436"/>
    </row>
    <row r="67" spans="2:11">
      <c r="B67" s="436"/>
      <c r="C67" s="436"/>
      <c r="D67" s="436"/>
      <c r="E67" s="436"/>
      <c r="F67" s="436"/>
      <c r="G67" s="436"/>
      <c r="H67" s="436"/>
      <c r="I67" s="436"/>
      <c r="J67" s="436"/>
      <c r="K67" s="436"/>
    </row>
    <row r="68" spans="2:11">
      <c r="B68" s="436"/>
      <c r="C68" s="436"/>
      <c r="D68" s="436"/>
      <c r="E68" s="436"/>
      <c r="F68" s="436"/>
      <c r="G68" s="436"/>
      <c r="H68" s="436"/>
      <c r="I68" s="436"/>
      <c r="J68" s="436"/>
      <c r="K68" s="436"/>
    </row>
    <row r="69" spans="2:11">
      <c r="B69" s="436"/>
      <c r="C69" s="436"/>
      <c r="D69" s="436"/>
      <c r="E69" s="436"/>
      <c r="F69" s="436"/>
      <c r="G69" s="436"/>
      <c r="H69" s="436"/>
      <c r="I69" s="436"/>
      <c r="J69" s="436"/>
      <c r="K69" s="436"/>
    </row>
    <row r="70" spans="2:11">
      <c r="B70" s="436"/>
      <c r="C70" s="436"/>
      <c r="D70" s="436"/>
      <c r="E70" s="436"/>
      <c r="F70" s="436"/>
      <c r="G70" s="436"/>
      <c r="H70" s="436"/>
      <c r="I70" s="436"/>
      <c r="J70" s="436"/>
      <c r="K70" s="436"/>
    </row>
    <row r="71" spans="2:11">
      <c r="B71" s="436"/>
      <c r="C71" s="436"/>
      <c r="D71" s="436"/>
      <c r="E71" s="436"/>
      <c r="F71" s="436"/>
      <c r="G71" s="436"/>
      <c r="H71" s="436"/>
      <c r="I71" s="436"/>
      <c r="J71" s="436"/>
      <c r="K71" s="436"/>
    </row>
    <row r="72" spans="2:11">
      <c r="B72" s="436"/>
      <c r="C72" s="436"/>
      <c r="D72" s="436"/>
      <c r="E72" s="436"/>
      <c r="F72" s="436"/>
      <c r="G72" s="436"/>
      <c r="H72" s="436"/>
      <c r="I72" s="436"/>
      <c r="J72" s="436"/>
      <c r="K72" s="436"/>
    </row>
    <row r="73" spans="2:11">
      <c r="B73" s="436"/>
      <c r="C73" s="436"/>
      <c r="D73" s="436"/>
      <c r="E73" s="436"/>
      <c r="F73" s="436"/>
      <c r="G73" s="436"/>
      <c r="H73" s="436"/>
      <c r="I73" s="436"/>
      <c r="J73" s="436"/>
      <c r="K73" s="436"/>
    </row>
    <row r="74" spans="2:11">
      <c r="B74" s="436"/>
      <c r="C74" s="436"/>
      <c r="D74" s="436"/>
      <c r="E74" s="436"/>
      <c r="F74" s="436"/>
      <c r="G74" s="436"/>
      <c r="H74" s="436"/>
      <c r="I74" s="436"/>
      <c r="J74" s="436"/>
      <c r="K74" s="436"/>
    </row>
    <row r="75" spans="2:11">
      <c r="B75" s="436"/>
      <c r="C75" s="436"/>
      <c r="D75" s="436"/>
      <c r="E75" s="436"/>
      <c r="F75" s="436"/>
      <c r="G75" s="436"/>
      <c r="H75" s="436"/>
      <c r="I75" s="436"/>
      <c r="J75" s="436"/>
      <c r="K75" s="436"/>
    </row>
    <row r="76" spans="2:11">
      <c r="B76" s="436"/>
      <c r="C76" s="436"/>
      <c r="D76" s="436"/>
      <c r="E76" s="436"/>
      <c r="F76" s="436"/>
      <c r="G76" s="436"/>
      <c r="H76" s="436"/>
      <c r="I76" s="436"/>
      <c r="J76" s="436"/>
      <c r="K76" s="436"/>
    </row>
    <row r="77" spans="2:11">
      <c r="B77" s="436"/>
      <c r="C77" s="436"/>
      <c r="D77" s="436"/>
      <c r="E77" s="436"/>
      <c r="F77" s="436"/>
      <c r="G77" s="436"/>
      <c r="H77" s="436"/>
      <c r="I77" s="436"/>
      <c r="J77" s="436"/>
      <c r="K77" s="436"/>
    </row>
    <row r="78" spans="2:11">
      <c r="B78" s="436"/>
      <c r="C78" s="436"/>
      <c r="D78" s="436"/>
      <c r="E78" s="436"/>
      <c r="F78" s="436"/>
      <c r="G78" s="436"/>
      <c r="H78" s="436"/>
      <c r="I78" s="436"/>
      <c r="J78" s="436"/>
      <c r="K78" s="436"/>
    </row>
    <row r="79" spans="2:11">
      <c r="B79" s="436"/>
      <c r="C79" s="436"/>
      <c r="D79" s="436"/>
      <c r="E79" s="436"/>
      <c r="F79" s="436"/>
      <c r="G79" s="436"/>
      <c r="H79" s="436"/>
      <c r="I79" s="436"/>
      <c r="J79" s="436"/>
      <c r="K79" s="436"/>
    </row>
    <row r="80" spans="2:11">
      <c r="B80" s="436"/>
      <c r="C80" s="436"/>
      <c r="D80" s="436"/>
      <c r="E80" s="436"/>
      <c r="F80" s="436"/>
      <c r="G80" s="436"/>
      <c r="H80" s="436"/>
      <c r="I80" s="436"/>
      <c r="J80" s="436"/>
      <c r="K80" s="436"/>
    </row>
    <row r="81" spans="2:11">
      <c r="B81" s="436"/>
      <c r="C81" s="436"/>
      <c r="D81" s="436"/>
      <c r="E81" s="436"/>
      <c r="F81" s="436"/>
      <c r="G81" s="436"/>
      <c r="H81" s="436"/>
      <c r="I81" s="436"/>
      <c r="J81" s="436"/>
      <c r="K81" s="436"/>
    </row>
    <row r="82" spans="2:11">
      <c r="B82" s="436"/>
      <c r="C82" s="436"/>
      <c r="D82" s="436"/>
      <c r="E82" s="436"/>
      <c r="F82" s="436"/>
      <c r="G82" s="436"/>
      <c r="H82" s="436"/>
      <c r="I82" s="436"/>
      <c r="J82" s="436"/>
      <c r="K82" s="436"/>
    </row>
    <row r="83" spans="2:11">
      <c r="B83" s="436"/>
      <c r="C83" s="436"/>
      <c r="D83" s="436"/>
      <c r="E83" s="436"/>
      <c r="F83" s="436"/>
      <c r="G83" s="436"/>
      <c r="H83" s="436"/>
      <c r="I83" s="436"/>
      <c r="J83" s="436"/>
      <c r="K83" s="436"/>
    </row>
    <row r="84" spans="2:11">
      <c r="B84" s="436"/>
      <c r="C84" s="436"/>
      <c r="D84" s="436"/>
      <c r="E84" s="436"/>
      <c r="F84" s="436"/>
      <c r="G84" s="436"/>
      <c r="H84" s="436"/>
      <c r="I84" s="436"/>
      <c r="J84" s="436"/>
      <c r="K84" s="436"/>
    </row>
    <row r="85" spans="2:11">
      <c r="B85" s="436"/>
      <c r="C85" s="436"/>
      <c r="D85" s="436"/>
      <c r="E85" s="436"/>
      <c r="F85" s="436"/>
      <c r="G85" s="436"/>
      <c r="H85" s="436"/>
      <c r="I85" s="436"/>
      <c r="J85" s="436"/>
      <c r="K85" s="436"/>
    </row>
    <row r="86" spans="2:11">
      <c r="B86" s="436"/>
      <c r="C86" s="436"/>
      <c r="D86" s="436"/>
      <c r="E86" s="436"/>
      <c r="F86" s="436"/>
      <c r="G86" s="436"/>
      <c r="H86" s="436"/>
      <c r="I86" s="436"/>
      <c r="J86" s="436"/>
      <c r="K86" s="436"/>
    </row>
    <row r="87" spans="2:11">
      <c r="B87" s="436"/>
      <c r="C87" s="436"/>
      <c r="D87" s="436"/>
      <c r="E87" s="436"/>
      <c r="F87" s="436"/>
      <c r="G87" s="436"/>
      <c r="H87" s="436"/>
      <c r="I87" s="436"/>
      <c r="J87" s="436"/>
      <c r="K87" s="436"/>
    </row>
    <row r="88" spans="2:11">
      <c r="B88" s="436"/>
      <c r="C88" s="436"/>
      <c r="D88" s="436"/>
      <c r="E88" s="436"/>
      <c r="F88" s="436"/>
      <c r="G88" s="436"/>
      <c r="H88" s="436"/>
      <c r="I88" s="436"/>
      <c r="J88" s="436"/>
      <c r="K88" s="436"/>
    </row>
    <row r="89" spans="2:11">
      <c r="B89" s="436"/>
      <c r="C89" s="436"/>
      <c r="D89" s="436"/>
      <c r="E89" s="436"/>
      <c r="F89" s="436"/>
      <c r="G89" s="436"/>
      <c r="H89" s="436"/>
      <c r="I89" s="436"/>
      <c r="J89" s="436"/>
      <c r="K89" s="436"/>
    </row>
    <row r="90" spans="2:11">
      <c r="B90" s="436"/>
      <c r="C90" s="436"/>
      <c r="D90" s="436"/>
      <c r="E90" s="436"/>
      <c r="F90" s="436"/>
      <c r="G90" s="436"/>
      <c r="H90" s="436"/>
      <c r="I90" s="436"/>
      <c r="J90" s="436"/>
      <c r="K90" s="436"/>
    </row>
    <row r="91" spans="2:11">
      <c r="B91" s="436"/>
      <c r="C91" s="436"/>
      <c r="D91" s="436"/>
      <c r="E91" s="436"/>
      <c r="F91" s="436"/>
      <c r="G91" s="436"/>
      <c r="H91" s="436"/>
      <c r="I91" s="436"/>
      <c r="J91" s="436"/>
      <c r="K91" s="436"/>
    </row>
    <row r="92" spans="2:11">
      <c r="B92" s="436"/>
      <c r="C92" s="436"/>
      <c r="D92" s="436"/>
      <c r="E92" s="436"/>
      <c r="F92" s="436"/>
      <c r="G92" s="436"/>
      <c r="H92" s="436"/>
      <c r="I92" s="436"/>
      <c r="J92" s="436"/>
      <c r="K92" s="436"/>
    </row>
    <row r="93" spans="2:11">
      <c r="B93" s="436"/>
      <c r="C93" s="436"/>
      <c r="D93" s="436"/>
      <c r="E93" s="436"/>
      <c r="F93" s="436"/>
      <c r="G93" s="436"/>
      <c r="H93" s="436"/>
      <c r="I93" s="436"/>
      <c r="J93" s="436"/>
      <c r="K93" s="436"/>
    </row>
    <row r="94" spans="2:11">
      <c r="B94" s="436"/>
      <c r="C94" s="436"/>
      <c r="D94" s="436"/>
      <c r="E94" s="436"/>
      <c r="F94" s="436"/>
      <c r="G94" s="436"/>
      <c r="H94" s="436"/>
      <c r="I94" s="436"/>
      <c r="J94" s="436"/>
      <c r="K94" s="436"/>
    </row>
    <row r="95" spans="2:11">
      <c r="B95" s="436"/>
      <c r="C95" s="436"/>
      <c r="D95" s="436"/>
      <c r="E95" s="436"/>
      <c r="F95" s="436"/>
      <c r="G95" s="436"/>
      <c r="H95" s="436"/>
      <c r="I95" s="436"/>
      <c r="J95" s="436"/>
      <c r="K95" s="436"/>
    </row>
    <row r="96" spans="2:11">
      <c r="B96" s="436"/>
      <c r="C96" s="436"/>
      <c r="D96" s="436"/>
      <c r="E96" s="436"/>
      <c r="F96" s="436"/>
      <c r="G96" s="436"/>
      <c r="H96" s="436"/>
      <c r="I96" s="436"/>
      <c r="J96" s="436"/>
      <c r="K96" s="436"/>
    </row>
    <row r="97" spans="2:11">
      <c r="B97" s="436"/>
      <c r="C97" s="436"/>
      <c r="D97" s="436"/>
      <c r="E97" s="436"/>
      <c r="F97" s="436"/>
      <c r="G97" s="436"/>
      <c r="H97" s="436"/>
      <c r="I97" s="436"/>
      <c r="J97" s="436"/>
      <c r="K97" s="436"/>
    </row>
    <row r="98" spans="2:11">
      <c r="B98" s="436"/>
      <c r="C98" s="436"/>
      <c r="D98" s="436"/>
      <c r="E98" s="436"/>
      <c r="F98" s="436"/>
      <c r="G98" s="436"/>
      <c r="H98" s="436"/>
      <c r="I98" s="436"/>
      <c r="J98" s="436"/>
      <c r="K98" s="436"/>
    </row>
    <row r="99" spans="2:11">
      <c r="B99" s="436"/>
      <c r="C99" s="436"/>
      <c r="D99" s="436"/>
      <c r="E99" s="436"/>
      <c r="F99" s="436"/>
      <c r="G99" s="436"/>
      <c r="H99" s="436"/>
      <c r="I99" s="436"/>
      <c r="J99" s="436"/>
      <c r="K99" s="436"/>
    </row>
    <row r="100" spans="2:11">
      <c r="B100" s="436"/>
      <c r="C100" s="436"/>
      <c r="D100" s="436"/>
      <c r="E100" s="436"/>
      <c r="F100" s="436"/>
      <c r="G100" s="436"/>
      <c r="H100" s="436"/>
      <c r="I100" s="436"/>
      <c r="J100" s="436"/>
      <c r="K100" s="436"/>
    </row>
    <row r="101" spans="2:11">
      <c r="B101" s="436"/>
      <c r="C101" s="436"/>
      <c r="D101" s="436"/>
      <c r="E101" s="436"/>
      <c r="F101" s="436"/>
      <c r="G101" s="436"/>
      <c r="H101" s="436"/>
      <c r="I101" s="436"/>
      <c r="J101" s="436"/>
      <c r="K101" s="436"/>
    </row>
    <row r="102" spans="2:11">
      <c r="B102" s="436"/>
      <c r="C102" s="436"/>
      <c r="D102" s="436"/>
      <c r="E102" s="436"/>
      <c r="F102" s="436"/>
      <c r="G102" s="436"/>
      <c r="H102" s="436"/>
      <c r="I102" s="436"/>
      <c r="J102" s="436"/>
      <c r="K102" s="436"/>
    </row>
    <row r="103" spans="2:11">
      <c r="B103" s="436"/>
      <c r="C103" s="436"/>
      <c r="D103" s="436"/>
      <c r="E103" s="436"/>
      <c r="F103" s="436"/>
      <c r="G103" s="436"/>
      <c r="H103" s="436"/>
      <c r="I103" s="436"/>
      <c r="J103" s="436"/>
      <c r="K103" s="436"/>
    </row>
    <row r="104" spans="2:11">
      <c r="B104" s="436"/>
      <c r="C104" s="436"/>
      <c r="D104" s="436"/>
      <c r="E104" s="436"/>
      <c r="F104" s="436"/>
      <c r="G104" s="436"/>
      <c r="H104" s="436"/>
      <c r="I104" s="436"/>
      <c r="J104" s="436"/>
      <c r="K104" s="436"/>
    </row>
    <row r="105" spans="2:11">
      <c r="B105" s="436"/>
      <c r="C105" s="436"/>
      <c r="D105" s="436"/>
      <c r="E105" s="436"/>
      <c r="F105" s="436"/>
      <c r="G105" s="436"/>
      <c r="H105" s="436"/>
      <c r="I105" s="436"/>
      <c r="J105" s="436"/>
      <c r="K105" s="436"/>
    </row>
    <row r="106" spans="2:11">
      <c r="B106" s="436"/>
      <c r="C106" s="436"/>
      <c r="D106" s="436"/>
      <c r="E106" s="436"/>
      <c r="F106" s="436"/>
      <c r="G106" s="436"/>
      <c r="H106" s="436"/>
      <c r="I106" s="436"/>
      <c r="J106" s="436"/>
      <c r="K106" s="436"/>
    </row>
    <row r="107" spans="2:11">
      <c r="B107" s="436"/>
      <c r="C107" s="436"/>
      <c r="D107" s="436"/>
      <c r="E107" s="436"/>
      <c r="F107" s="436"/>
      <c r="G107" s="436"/>
      <c r="H107" s="436"/>
      <c r="I107" s="436"/>
      <c r="J107" s="436"/>
      <c r="K107" s="436"/>
    </row>
    <row r="108" spans="2:11">
      <c r="B108" s="436"/>
      <c r="C108" s="436"/>
      <c r="D108" s="436"/>
      <c r="E108" s="436"/>
      <c r="F108" s="436"/>
      <c r="G108" s="436"/>
      <c r="H108" s="436"/>
      <c r="I108" s="436"/>
      <c r="J108" s="436"/>
      <c r="K108" s="436"/>
    </row>
    <row r="109" spans="2:11">
      <c r="B109" s="436"/>
      <c r="C109" s="436"/>
      <c r="D109" s="436"/>
      <c r="E109" s="436"/>
      <c r="F109" s="436"/>
      <c r="G109" s="436"/>
      <c r="H109" s="436"/>
      <c r="I109" s="436"/>
      <c r="J109" s="436"/>
      <c r="K109" s="436"/>
    </row>
    <row r="110" spans="2:11">
      <c r="B110" s="436"/>
      <c r="C110" s="436"/>
      <c r="D110" s="436"/>
      <c r="E110" s="436"/>
      <c r="F110" s="436"/>
      <c r="G110" s="436"/>
      <c r="H110" s="436"/>
      <c r="I110" s="436"/>
      <c r="J110" s="436"/>
      <c r="K110" s="436"/>
    </row>
    <row r="111" spans="2:11">
      <c r="B111" s="436"/>
      <c r="C111" s="436"/>
      <c r="D111" s="436"/>
      <c r="E111" s="436"/>
      <c r="F111" s="436"/>
      <c r="G111" s="436"/>
      <c r="H111" s="436"/>
      <c r="I111" s="436"/>
      <c r="J111" s="436"/>
      <c r="K111" s="436"/>
    </row>
    <row r="112" spans="2:11">
      <c r="B112" s="436"/>
      <c r="C112" s="436"/>
      <c r="D112" s="436"/>
      <c r="E112" s="436"/>
      <c r="F112" s="436"/>
      <c r="G112" s="436"/>
      <c r="H112" s="436"/>
      <c r="I112" s="436"/>
      <c r="J112" s="436"/>
      <c r="K112" s="436"/>
    </row>
    <row r="113" spans="2:11">
      <c r="B113" s="436"/>
      <c r="C113" s="436"/>
      <c r="D113" s="436"/>
      <c r="E113" s="436"/>
      <c r="F113" s="436"/>
      <c r="G113" s="436"/>
      <c r="H113" s="436"/>
      <c r="I113" s="436"/>
      <c r="J113" s="436"/>
      <c r="K113" s="436"/>
    </row>
    <row r="114" spans="2:11">
      <c r="B114" s="436"/>
      <c r="C114" s="436"/>
      <c r="D114" s="436"/>
      <c r="E114" s="436"/>
      <c r="F114" s="436"/>
      <c r="G114" s="436"/>
      <c r="H114" s="436"/>
      <c r="I114" s="436"/>
      <c r="J114" s="436"/>
      <c r="K114" s="436"/>
    </row>
    <row r="115" spans="2:11">
      <c r="B115" s="436"/>
      <c r="C115" s="436"/>
      <c r="D115" s="436"/>
      <c r="E115" s="436"/>
      <c r="F115" s="436"/>
      <c r="G115" s="436"/>
      <c r="H115" s="436"/>
      <c r="I115" s="436"/>
      <c r="J115" s="436"/>
      <c r="K115" s="436"/>
    </row>
    <row r="116" spans="2:11">
      <c r="B116" s="436"/>
      <c r="C116" s="436"/>
      <c r="D116" s="436"/>
      <c r="E116" s="436"/>
      <c r="F116" s="436"/>
      <c r="G116" s="436"/>
      <c r="H116" s="436"/>
      <c r="I116" s="436"/>
      <c r="J116" s="436"/>
      <c r="K116" s="436"/>
    </row>
    <row r="117" spans="2:11">
      <c r="B117" s="436"/>
      <c r="C117" s="436"/>
      <c r="D117" s="436"/>
      <c r="E117" s="436"/>
      <c r="F117" s="436"/>
      <c r="G117" s="436"/>
      <c r="H117" s="436"/>
      <c r="I117" s="436"/>
      <c r="J117" s="436"/>
      <c r="K117" s="436"/>
    </row>
    <row r="118" spans="2:11">
      <c r="B118" s="436"/>
      <c r="C118" s="436"/>
      <c r="D118" s="436"/>
      <c r="E118" s="436"/>
      <c r="F118" s="436"/>
      <c r="G118" s="436"/>
      <c r="H118" s="436"/>
      <c r="I118" s="436"/>
      <c r="J118" s="436"/>
      <c r="K118" s="436"/>
    </row>
    <row r="119" spans="2:11">
      <c r="B119" s="436"/>
      <c r="C119" s="436"/>
      <c r="D119" s="436"/>
      <c r="E119" s="436"/>
      <c r="F119" s="436"/>
      <c r="G119" s="436"/>
      <c r="H119" s="436"/>
      <c r="I119" s="436"/>
      <c r="J119" s="436"/>
      <c r="K119" s="436"/>
    </row>
    <row r="120" spans="2:11">
      <c r="B120" s="436"/>
      <c r="C120" s="436"/>
      <c r="D120" s="436"/>
      <c r="E120" s="436"/>
      <c r="F120" s="436"/>
      <c r="G120" s="436"/>
      <c r="H120" s="436"/>
      <c r="I120" s="436"/>
      <c r="J120" s="436"/>
      <c r="K120" s="436"/>
    </row>
    <row r="121" spans="2:11">
      <c r="B121" s="436"/>
      <c r="C121" s="436"/>
      <c r="D121" s="436"/>
      <c r="E121" s="436"/>
      <c r="F121" s="436"/>
      <c r="G121" s="436"/>
      <c r="H121" s="436"/>
      <c r="I121" s="436"/>
      <c r="J121" s="436"/>
      <c r="K121" s="436"/>
    </row>
    <row r="122" spans="2:11">
      <c r="B122" s="436"/>
      <c r="C122" s="436"/>
      <c r="D122" s="436"/>
      <c r="E122" s="436"/>
      <c r="F122" s="436"/>
      <c r="G122" s="436"/>
      <c r="H122" s="436"/>
      <c r="I122" s="436"/>
      <c r="J122" s="436"/>
      <c r="K122" s="436"/>
    </row>
    <row r="123" spans="2:11">
      <c r="B123" s="436"/>
      <c r="C123" s="436"/>
      <c r="D123" s="436"/>
      <c r="E123" s="436"/>
      <c r="F123" s="436"/>
      <c r="G123" s="436"/>
      <c r="H123" s="436"/>
      <c r="I123" s="436"/>
      <c r="J123" s="436"/>
      <c r="K123" s="436"/>
    </row>
    <row r="124" spans="2:11">
      <c r="B124" s="436"/>
      <c r="C124" s="436"/>
      <c r="D124" s="436"/>
      <c r="E124" s="436"/>
      <c r="F124" s="436"/>
      <c r="G124" s="436"/>
      <c r="H124" s="436"/>
      <c r="I124" s="436"/>
      <c r="J124" s="436"/>
      <c r="K124" s="436"/>
    </row>
    <row r="125" spans="2:11">
      <c r="B125" s="436"/>
      <c r="C125" s="436"/>
      <c r="D125" s="436"/>
      <c r="E125" s="436"/>
      <c r="F125" s="436"/>
      <c r="G125" s="436"/>
      <c r="H125" s="436"/>
      <c r="I125" s="436"/>
      <c r="J125" s="436"/>
      <c r="K125" s="436"/>
    </row>
    <row r="126" spans="2:11">
      <c r="B126" s="436"/>
      <c r="C126" s="436"/>
      <c r="D126" s="436"/>
      <c r="E126" s="436"/>
      <c r="F126" s="436"/>
      <c r="G126" s="436"/>
      <c r="H126" s="436"/>
      <c r="I126" s="436"/>
      <c r="J126" s="436"/>
      <c r="K126" s="436"/>
    </row>
    <row r="127" spans="2:11">
      <c r="B127" s="436"/>
      <c r="C127" s="436"/>
      <c r="D127" s="436"/>
      <c r="E127" s="436"/>
      <c r="F127" s="436"/>
      <c r="G127" s="436"/>
      <c r="H127" s="436"/>
      <c r="I127" s="436"/>
      <c r="J127" s="436"/>
      <c r="K127" s="436"/>
    </row>
    <row r="128" spans="2:11">
      <c r="B128" s="436"/>
      <c r="C128" s="436"/>
      <c r="D128" s="436"/>
      <c r="E128" s="436"/>
      <c r="F128" s="436"/>
      <c r="G128" s="436"/>
      <c r="H128" s="436"/>
      <c r="I128" s="436"/>
      <c r="J128" s="436"/>
      <c r="K128" s="436"/>
    </row>
    <row r="129" spans="2:11">
      <c r="B129" s="436"/>
      <c r="C129" s="436"/>
      <c r="D129" s="436"/>
      <c r="E129" s="436"/>
      <c r="F129" s="436"/>
      <c r="G129" s="436"/>
      <c r="H129" s="436"/>
      <c r="I129" s="436"/>
      <c r="J129" s="436"/>
      <c r="K129" s="436"/>
    </row>
    <row r="130" spans="2:11">
      <c r="B130" s="436"/>
      <c r="C130" s="436"/>
      <c r="D130" s="436"/>
      <c r="E130" s="436"/>
      <c r="F130" s="436"/>
      <c r="G130" s="436"/>
      <c r="H130" s="436"/>
      <c r="I130" s="436"/>
      <c r="J130" s="436"/>
      <c r="K130" s="436"/>
    </row>
    <row r="131" spans="2:11">
      <c r="B131" s="436"/>
      <c r="C131" s="436"/>
      <c r="D131" s="436"/>
      <c r="E131" s="436"/>
      <c r="F131" s="436"/>
      <c r="G131" s="436"/>
      <c r="H131" s="436"/>
      <c r="I131" s="436"/>
      <c r="J131" s="436"/>
      <c r="K131" s="436"/>
    </row>
    <row r="132" spans="2:11">
      <c r="B132" s="436"/>
      <c r="C132" s="436"/>
      <c r="D132" s="436"/>
      <c r="E132" s="436"/>
      <c r="F132" s="436"/>
      <c r="G132" s="436"/>
      <c r="H132" s="436"/>
      <c r="I132" s="436"/>
      <c r="J132" s="436"/>
      <c r="K132" s="436"/>
    </row>
    <row r="133" spans="2:11">
      <c r="B133" s="436"/>
      <c r="C133" s="436"/>
      <c r="D133" s="436"/>
      <c r="E133" s="436"/>
      <c r="F133" s="436"/>
      <c r="G133" s="436"/>
      <c r="H133" s="436"/>
      <c r="I133" s="436"/>
      <c r="J133" s="436"/>
      <c r="K133" s="436"/>
    </row>
    <row r="134" spans="2:11">
      <c r="B134" s="436"/>
      <c r="C134" s="436"/>
      <c r="D134" s="436"/>
      <c r="E134" s="436"/>
      <c r="F134" s="436"/>
      <c r="G134" s="436"/>
      <c r="H134" s="436"/>
      <c r="I134" s="436"/>
      <c r="J134" s="436"/>
      <c r="K134" s="436"/>
    </row>
    <row r="135" spans="2:11">
      <c r="B135" s="436"/>
      <c r="C135" s="436"/>
      <c r="D135" s="436"/>
      <c r="E135" s="436"/>
      <c r="F135" s="436"/>
      <c r="G135" s="436"/>
      <c r="H135" s="436"/>
      <c r="I135" s="436"/>
      <c r="J135" s="436"/>
      <c r="K135" s="436"/>
    </row>
    <row r="136" spans="2:11">
      <c r="B136" s="436"/>
      <c r="C136" s="436"/>
      <c r="D136" s="436"/>
      <c r="E136" s="436"/>
      <c r="F136" s="436"/>
      <c r="G136" s="436"/>
      <c r="H136" s="436"/>
      <c r="I136" s="436"/>
      <c r="J136" s="436"/>
      <c r="K136" s="436"/>
    </row>
    <row r="137" spans="2:11">
      <c r="B137" s="436"/>
      <c r="C137" s="436"/>
      <c r="D137" s="436"/>
      <c r="E137" s="436"/>
      <c r="F137" s="436"/>
      <c r="G137" s="436"/>
      <c r="H137" s="436"/>
      <c r="I137" s="436"/>
      <c r="J137" s="436"/>
      <c r="K137" s="436"/>
    </row>
    <row r="138" spans="2:11">
      <c r="B138" s="436"/>
      <c r="C138" s="436"/>
      <c r="D138" s="436"/>
      <c r="E138" s="436"/>
      <c r="F138" s="436"/>
      <c r="G138" s="436"/>
      <c r="H138" s="436"/>
      <c r="I138" s="436"/>
      <c r="J138" s="436"/>
      <c r="K138" s="436"/>
    </row>
    <row r="139" spans="2:11">
      <c r="B139" s="436"/>
      <c r="C139" s="436"/>
      <c r="D139" s="436"/>
      <c r="E139" s="436"/>
      <c r="F139" s="436"/>
      <c r="G139" s="436"/>
      <c r="H139" s="436"/>
      <c r="I139" s="436"/>
      <c r="J139" s="436"/>
      <c r="K139" s="436"/>
    </row>
    <row r="140" spans="2:11">
      <c r="B140" s="436"/>
      <c r="C140" s="436"/>
      <c r="D140" s="436"/>
      <c r="E140" s="436"/>
      <c r="F140" s="436"/>
      <c r="G140" s="436"/>
      <c r="H140" s="436"/>
      <c r="I140" s="436"/>
      <c r="J140" s="436"/>
      <c r="K140" s="436"/>
    </row>
    <row r="141" spans="2:11">
      <c r="B141" s="436"/>
      <c r="C141" s="436"/>
      <c r="D141" s="436"/>
      <c r="E141" s="436"/>
      <c r="F141" s="436"/>
      <c r="G141" s="436"/>
      <c r="H141" s="436"/>
      <c r="I141" s="436"/>
      <c r="J141" s="436"/>
      <c r="K141" s="436"/>
    </row>
    <row r="142" spans="2:11">
      <c r="B142" s="436"/>
      <c r="C142" s="436"/>
      <c r="D142" s="436"/>
      <c r="E142" s="436"/>
      <c r="F142" s="436"/>
      <c r="G142" s="436"/>
      <c r="H142" s="436"/>
      <c r="I142" s="436"/>
      <c r="J142" s="436"/>
      <c r="K142" s="436"/>
    </row>
    <row r="143" spans="2:11">
      <c r="B143" s="436"/>
      <c r="C143" s="436"/>
      <c r="D143" s="436"/>
      <c r="E143" s="436"/>
      <c r="F143" s="436"/>
      <c r="G143" s="436"/>
      <c r="H143" s="436"/>
      <c r="I143" s="436"/>
      <c r="J143" s="436"/>
      <c r="K143" s="436"/>
    </row>
    <row r="144" spans="2:11">
      <c r="B144" s="436"/>
      <c r="C144" s="436"/>
      <c r="D144" s="436"/>
      <c r="E144" s="436"/>
      <c r="F144" s="436"/>
      <c r="G144" s="436"/>
      <c r="H144" s="436"/>
      <c r="I144" s="436"/>
      <c r="J144" s="436"/>
      <c r="K144" s="436"/>
    </row>
    <row r="145" spans="2:11">
      <c r="B145" s="436"/>
      <c r="C145" s="436"/>
      <c r="D145" s="436"/>
      <c r="E145" s="436"/>
      <c r="F145" s="436"/>
      <c r="G145" s="436"/>
      <c r="H145" s="436"/>
      <c r="I145" s="436"/>
      <c r="J145" s="436"/>
      <c r="K145" s="436"/>
    </row>
    <row r="146" spans="2:11">
      <c r="B146" s="436"/>
      <c r="C146" s="436"/>
      <c r="D146" s="436"/>
      <c r="E146" s="436"/>
      <c r="F146" s="436"/>
      <c r="G146" s="436"/>
      <c r="H146" s="436"/>
      <c r="I146" s="436"/>
      <c r="J146" s="436"/>
      <c r="K146" s="436"/>
    </row>
    <row r="147" spans="2:11">
      <c r="B147" s="436"/>
      <c r="C147" s="436"/>
      <c r="D147" s="436"/>
      <c r="E147" s="436"/>
      <c r="F147" s="436"/>
      <c r="G147" s="436"/>
      <c r="H147" s="436"/>
      <c r="I147" s="436"/>
      <c r="J147" s="436"/>
      <c r="K147" s="436"/>
    </row>
    <row r="148" spans="2:11">
      <c r="B148" s="436"/>
      <c r="C148" s="436"/>
      <c r="D148" s="436"/>
      <c r="E148" s="436"/>
      <c r="F148" s="436"/>
      <c r="G148" s="436"/>
      <c r="H148" s="436"/>
      <c r="I148" s="436"/>
      <c r="J148" s="436"/>
      <c r="K148" s="436"/>
    </row>
    <row r="149" spans="2:11">
      <c r="B149" s="436"/>
      <c r="C149" s="436"/>
      <c r="D149" s="436"/>
      <c r="E149" s="436"/>
      <c r="F149" s="436"/>
      <c r="G149" s="436"/>
      <c r="H149" s="436"/>
      <c r="I149" s="436"/>
      <c r="J149" s="436"/>
      <c r="K149" s="436"/>
    </row>
    <row r="150" spans="2:11">
      <c r="B150" s="436"/>
      <c r="C150" s="436"/>
      <c r="D150" s="436"/>
      <c r="E150" s="436"/>
      <c r="F150" s="436"/>
      <c r="G150" s="436"/>
      <c r="H150" s="436"/>
      <c r="I150" s="436"/>
      <c r="J150" s="436"/>
      <c r="K150" s="436"/>
    </row>
    <row r="151" spans="2:11">
      <c r="B151" s="436"/>
      <c r="C151" s="436"/>
      <c r="D151" s="436"/>
      <c r="E151" s="436"/>
      <c r="F151" s="436"/>
      <c r="G151" s="436"/>
      <c r="H151" s="436"/>
      <c r="I151" s="436"/>
      <c r="J151" s="436"/>
      <c r="K151" s="436"/>
    </row>
    <row r="152" spans="2:11">
      <c r="B152" s="436"/>
      <c r="C152" s="436"/>
      <c r="D152" s="436"/>
      <c r="E152" s="436"/>
      <c r="F152" s="436"/>
      <c r="G152" s="436"/>
      <c r="H152" s="436"/>
      <c r="I152" s="436"/>
      <c r="J152" s="436"/>
      <c r="K152" s="436"/>
    </row>
    <row r="153" spans="2:11">
      <c r="B153" s="436"/>
      <c r="C153" s="436"/>
      <c r="D153" s="436"/>
      <c r="E153" s="436"/>
      <c r="F153" s="436"/>
      <c r="G153" s="436"/>
      <c r="H153" s="436"/>
      <c r="I153" s="436"/>
      <c r="J153" s="436"/>
      <c r="K153" s="436"/>
    </row>
    <row r="154" spans="2:11">
      <c r="B154" s="436"/>
      <c r="C154" s="436"/>
      <c r="D154" s="436"/>
      <c r="E154" s="436"/>
      <c r="F154" s="436"/>
      <c r="G154" s="436"/>
      <c r="H154" s="436"/>
      <c r="I154" s="436"/>
      <c r="J154" s="436"/>
      <c r="K154" s="436"/>
    </row>
    <row r="155" spans="2:11">
      <c r="B155" s="436"/>
      <c r="C155" s="436"/>
      <c r="D155" s="436"/>
      <c r="E155" s="436"/>
      <c r="F155" s="436"/>
      <c r="G155" s="436"/>
      <c r="H155" s="436"/>
      <c r="I155" s="436"/>
      <c r="J155" s="436"/>
      <c r="K155" s="436"/>
    </row>
    <row r="156" spans="2:11">
      <c r="B156" s="436"/>
      <c r="C156" s="436"/>
      <c r="D156" s="436"/>
      <c r="E156" s="436"/>
      <c r="F156" s="436"/>
      <c r="G156" s="436"/>
      <c r="H156" s="436"/>
      <c r="I156" s="436"/>
      <c r="J156" s="436"/>
      <c r="K156" s="436"/>
    </row>
    <row r="157" spans="2:11">
      <c r="B157" s="436"/>
      <c r="C157" s="436"/>
      <c r="D157" s="436"/>
      <c r="E157" s="436"/>
      <c r="F157" s="436"/>
      <c r="G157" s="436"/>
      <c r="H157" s="436"/>
      <c r="I157" s="436"/>
      <c r="J157" s="436"/>
      <c r="K157" s="436"/>
    </row>
    <row r="158" spans="2:11">
      <c r="B158" s="436"/>
      <c r="C158" s="436"/>
      <c r="D158" s="436"/>
      <c r="E158" s="436"/>
      <c r="F158" s="436"/>
      <c r="G158" s="436"/>
      <c r="H158" s="436"/>
      <c r="I158" s="436"/>
      <c r="J158" s="436"/>
      <c r="K158" s="436"/>
    </row>
    <row r="159" spans="2:11">
      <c r="B159" s="436"/>
      <c r="C159" s="436"/>
      <c r="D159" s="436"/>
      <c r="E159" s="436"/>
      <c r="F159" s="436"/>
      <c r="G159" s="436"/>
      <c r="H159" s="436"/>
      <c r="I159" s="436"/>
      <c r="J159" s="436"/>
      <c r="K159" s="436"/>
    </row>
    <row r="160" spans="2:11">
      <c r="B160" s="436"/>
      <c r="C160" s="436"/>
      <c r="D160" s="436"/>
      <c r="E160" s="436"/>
      <c r="F160" s="436"/>
      <c r="G160" s="436"/>
      <c r="H160" s="436"/>
      <c r="I160" s="436"/>
      <c r="J160" s="436"/>
      <c r="K160" s="436"/>
    </row>
    <row r="161" spans="2:11">
      <c r="B161" s="436"/>
      <c r="C161" s="436"/>
      <c r="D161" s="436"/>
      <c r="E161" s="436"/>
      <c r="F161" s="436"/>
      <c r="G161" s="436"/>
      <c r="H161" s="436"/>
      <c r="I161" s="436"/>
      <c r="J161" s="436"/>
      <c r="K161" s="436"/>
    </row>
    <row r="162" spans="2:11">
      <c r="B162" s="436"/>
      <c r="C162" s="436"/>
      <c r="D162" s="436"/>
      <c r="E162" s="436"/>
      <c r="F162" s="436"/>
      <c r="G162" s="436"/>
      <c r="H162" s="436"/>
      <c r="I162" s="436"/>
      <c r="J162" s="436"/>
      <c r="K162" s="436"/>
    </row>
    <row r="163" spans="2:11">
      <c r="B163" s="436"/>
      <c r="C163" s="436"/>
      <c r="D163" s="436"/>
      <c r="E163" s="436"/>
      <c r="F163" s="436"/>
      <c r="G163" s="436"/>
      <c r="H163" s="436"/>
      <c r="I163" s="436"/>
      <c r="J163" s="436"/>
      <c r="K163" s="436"/>
    </row>
    <row r="164" spans="2:11">
      <c r="B164" s="436"/>
      <c r="C164" s="436"/>
      <c r="D164" s="436"/>
      <c r="E164" s="436"/>
      <c r="F164" s="436"/>
      <c r="G164" s="436"/>
      <c r="H164" s="436"/>
      <c r="I164" s="436"/>
      <c r="J164" s="436"/>
      <c r="K164" s="436"/>
    </row>
    <row r="165" spans="2:11">
      <c r="B165" s="436"/>
      <c r="C165" s="436"/>
      <c r="D165" s="436"/>
      <c r="E165" s="436"/>
      <c r="F165" s="436"/>
      <c r="G165" s="436"/>
      <c r="H165" s="436"/>
      <c r="I165" s="436"/>
      <c r="J165" s="436"/>
      <c r="K165" s="436"/>
    </row>
    <row r="166" spans="2:11">
      <c r="B166" s="436"/>
      <c r="C166" s="436"/>
      <c r="D166" s="436"/>
      <c r="E166" s="436"/>
      <c r="F166" s="436"/>
      <c r="G166" s="436"/>
      <c r="H166" s="436"/>
      <c r="I166" s="436"/>
      <c r="J166" s="436"/>
      <c r="K166" s="436"/>
    </row>
    <row r="167" spans="2:11">
      <c r="B167" s="436"/>
      <c r="C167" s="436"/>
      <c r="D167" s="436"/>
      <c r="E167" s="436"/>
      <c r="F167" s="436"/>
      <c r="G167" s="436"/>
      <c r="H167" s="436"/>
      <c r="I167" s="436"/>
      <c r="J167" s="436"/>
      <c r="K167" s="436"/>
    </row>
    <row r="168" spans="2:11">
      <c r="B168" s="436"/>
      <c r="C168" s="436"/>
      <c r="D168" s="436"/>
      <c r="E168" s="436"/>
      <c r="F168" s="436"/>
      <c r="G168" s="436"/>
      <c r="H168" s="436"/>
      <c r="I168" s="436"/>
      <c r="J168" s="436"/>
      <c r="K168" s="436"/>
    </row>
    <row r="169" spans="2:11">
      <c r="B169" s="436"/>
      <c r="C169" s="436"/>
      <c r="D169" s="436"/>
      <c r="E169" s="436"/>
      <c r="F169" s="436"/>
      <c r="G169" s="436"/>
      <c r="H169" s="436"/>
      <c r="I169" s="436"/>
      <c r="J169" s="436"/>
      <c r="K169" s="436"/>
    </row>
    <row r="170" spans="2:11">
      <c r="B170" s="436"/>
      <c r="C170" s="436"/>
      <c r="D170" s="436"/>
      <c r="E170" s="436"/>
      <c r="F170" s="436"/>
      <c r="G170" s="436"/>
      <c r="H170" s="436"/>
      <c r="I170" s="436"/>
      <c r="J170" s="436"/>
      <c r="K170" s="436"/>
    </row>
    <row r="171" spans="2:11">
      <c r="B171" s="436"/>
      <c r="C171" s="436"/>
      <c r="D171" s="436"/>
      <c r="E171" s="436"/>
      <c r="F171" s="436"/>
      <c r="G171" s="436"/>
      <c r="H171" s="436"/>
      <c r="I171" s="436"/>
      <c r="J171" s="436"/>
      <c r="K171" s="436"/>
    </row>
    <row r="172" spans="2:11">
      <c r="B172" s="436"/>
      <c r="C172" s="436"/>
      <c r="D172" s="436"/>
      <c r="E172" s="436"/>
      <c r="F172" s="436"/>
      <c r="G172" s="436"/>
      <c r="H172" s="436"/>
      <c r="I172" s="436"/>
      <c r="J172" s="436"/>
      <c r="K172" s="436"/>
    </row>
    <row r="173" spans="2:11">
      <c r="B173" s="436"/>
      <c r="C173" s="436"/>
      <c r="D173" s="436"/>
      <c r="E173" s="436"/>
      <c r="F173" s="436"/>
      <c r="G173" s="436"/>
      <c r="H173" s="436"/>
      <c r="I173" s="436"/>
      <c r="J173" s="436"/>
      <c r="K173" s="436"/>
    </row>
    <row r="174" spans="2:11">
      <c r="B174" s="436"/>
      <c r="C174" s="436"/>
      <c r="D174" s="436"/>
      <c r="E174" s="436"/>
      <c r="F174" s="436"/>
      <c r="G174" s="436"/>
      <c r="H174" s="436"/>
      <c r="I174" s="436"/>
      <c r="J174" s="436"/>
      <c r="K174" s="436"/>
    </row>
    <row r="175" spans="2:11">
      <c r="B175" s="436"/>
      <c r="C175" s="436"/>
      <c r="D175" s="436"/>
      <c r="E175" s="436"/>
      <c r="F175" s="436"/>
      <c r="G175" s="436"/>
      <c r="H175" s="436"/>
      <c r="I175" s="436"/>
      <c r="J175" s="436"/>
      <c r="K175" s="436"/>
    </row>
    <row r="176" spans="2:11">
      <c r="B176" s="436"/>
      <c r="C176" s="436"/>
      <c r="D176" s="436"/>
      <c r="E176" s="436"/>
      <c r="F176" s="436"/>
      <c r="G176" s="436"/>
      <c r="H176" s="436"/>
      <c r="I176" s="436"/>
      <c r="J176" s="436"/>
      <c r="K176" s="436"/>
    </row>
    <row r="177" spans="2:11">
      <c r="B177" s="436"/>
      <c r="C177" s="436"/>
      <c r="D177" s="436"/>
      <c r="E177" s="436"/>
      <c r="F177" s="436"/>
      <c r="G177" s="436"/>
      <c r="H177" s="436"/>
      <c r="I177" s="436"/>
      <c r="J177" s="436"/>
      <c r="K177" s="436"/>
    </row>
    <row r="178" spans="2:11">
      <c r="B178" s="436"/>
      <c r="C178" s="436"/>
      <c r="D178" s="436"/>
      <c r="E178" s="436"/>
      <c r="F178" s="436"/>
      <c r="G178" s="436"/>
      <c r="H178" s="436"/>
      <c r="I178" s="436"/>
      <c r="J178" s="436"/>
      <c r="K178" s="436"/>
    </row>
    <row r="179" spans="2:11">
      <c r="B179" s="436"/>
      <c r="C179" s="436"/>
      <c r="D179" s="436"/>
      <c r="E179" s="436"/>
      <c r="F179" s="436"/>
      <c r="G179" s="436"/>
      <c r="H179" s="436"/>
      <c r="I179" s="436"/>
      <c r="J179" s="436"/>
      <c r="K179" s="436"/>
    </row>
    <row r="180" spans="2:11">
      <c r="B180" s="436"/>
      <c r="C180" s="436"/>
      <c r="D180" s="436"/>
      <c r="E180" s="436"/>
      <c r="F180" s="436"/>
      <c r="G180" s="436"/>
      <c r="H180" s="436"/>
      <c r="I180" s="436"/>
      <c r="J180" s="436"/>
      <c r="K180" s="436"/>
    </row>
    <row r="181" spans="2:11">
      <c r="B181" s="436"/>
      <c r="C181" s="436"/>
      <c r="D181" s="436"/>
      <c r="E181" s="436"/>
      <c r="F181" s="436"/>
      <c r="G181" s="436"/>
      <c r="H181" s="436"/>
      <c r="I181" s="436"/>
      <c r="J181" s="436"/>
      <c r="K181" s="436"/>
    </row>
    <row r="182" spans="2:11">
      <c r="B182" s="436"/>
      <c r="C182" s="436"/>
      <c r="D182" s="436"/>
      <c r="E182" s="436"/>
      <c r="F182" s="436"/>
      <c r="G182" s="436"/>
      <c r="H182" s="436"/>
      <c r="I182" s="436"/>
      <c r="J182" s="436"/>
      <c r="K182" s="436"/>
    </row>
    <row r="183" spans="2:11">
      <c r="B183" s="436"/>
      <c r="C183" s="436"/>
      <c r="D183" s="436"/>
      <c r="E183" s="436"/>
      <c r="F183" s="436"/>
      <c r="G183" s="436"/>
      <c r="H183" s="436"/>
      <c r="I183" s="436"/>
      <c r="J183" s="436"/>
      <c r="K183" s="436"/>
    </row>
    <row r="184" spans="2:11">
      <c r="B184" s="436"/>
      <c r="C184" s="436"/>
      <c r="D184" s="436"/>
      <c r="E184" s="436"/>
      <c r="F184" s="436"/>
      <c r="G184" s="436"/>
      <c r="H184" s="436"/>
      <c r="I184" s="436"/>
      <c r="J184" s="436"/>
      <c r="K184" s="436"/>
    </row>
    <row r="185" spans="2:11">
      <c r="B185" s="436"/>
      <c r="C185" s="436"/>
      <c r="D185" s="436"/>
      <c r="E185" s="436"/>
      <c r="F185" s="436"/>
      <c r="G185" s="436"/>
      <c r="H185" s="436"/>
      <c r="I185" s="436"/>
      <c r="J185" s="436"/>
      <c r="K185" s="436"/>
    </row>
    <row r="186" spans="2:11">
      <c r="B186" s="436"/>
      <c r="C186" s="436"/>
      <c r="D186" s="436"/>
      <c r="E186" s="436"/>
      <c r="F186" s="436"/>
      <c r="G186" s="436"/>
      <c r="H186" s="436"/>
      <c r="I186" s="436"/>
      <c r="J186" s="436"/>
      <c r="K186" s="436"/>
    </row>
    <row r="187" spans="2:11">
      <c r="B187" s="436"/>
      <c r="C187" s="436"/>
      <c r="D187" s="436"/>
      <c r="E187" s="436"/>
      <c r="F187" s="436"/>
      <c r="G187" s="436"/>
      <c r="H187" s="436"/>
      <c r="I187" s="436"/>
      <c r="J187" s="436"/>
      <c r="K187" s="436"/>
    </row>
    <row r="188" spans="2:11">
      <c r="B188" s="436"/>
      <c r="C188" s="436"/>
      <c r="D188" s="436"/>
      <c r="E188" s="436"/>
      <c r="F188" s="436"/>
      <c r="G188" s="436"/>
      <c r="H188" s="436"/>
      <c r="I188" s="436"/>
      <c r="J188" s="436"/>
      <c r="K188" s="436"/>
    </row>
    <row r="189" spans="2:11">
      <c r="B189" s="436"/>
      <c r="C189" s="436"/>
      <c r="D189" s="436"/>
      <c r="E189" s="436"/>
      <c r="F189" s="436"/>
      <c r="G189" s="436"/>
      <c r="H189" s="436"/>
      <c r="I189" s="436"/>
      <c r="J189" s="436"/>
      <c r="K189" s="436"/>
    </row>
    <row r="190" spans="2:11">
      <c r="B190" s="436"/>
      <c r="C190" s="436"/>
      <c r="D190" s="436"/>
      <c r="E190" s="436"/>
      <c r="F190" s="436"/>
      <c r="G190" s="436"/>
      <c r="H190" s="436"/>
      <c r="I190" s="436"/>
      <c r="J190" s="436"/>
      <c r="K190" s="436"/>
    </row>
    <row r="191" spans="2:11">
      <c r="B191" s="436"/>
      <c r="C191" s="436"/>
      <c r="D191" s="436"/>
      <c r="E191" s="436"/>
      <c r="F191" s="436"/>
      <c r="G191" s="436"/>
      <c r="H191" s="436"/>
      <c r="I191" s="436"/>
      <c r="J191" s="436"/>
      <c r="K191" s="436"/>
    </row>
    <row r="192" spans="2:11">
      <c r="B192" s="436"/>
      <c r="C192" s="436"/>
      <c r="D192" s="436"/>
      <c r="E192" s="436"/>
      <c r="F192" s="436"/>
      <c r="G192" s="436"/>
      <c r="H192" s="436"/>
      <c r="I192" s="436"/>
      <c r="J192" s="436"/>
      <c r="K192" s="436"/>
    </row>
    <row r="193" spans="2:11">
      <c r="B193" s="436"/>
      <c r="C193" s="436"/>
      <c r="D193" s="436"/>
      <c r="E193" s="436"/>
      <c r="F193" s="436"/>
      <c r="G193" s="436"/>
      <c r="H193" s="436"/>
      <c r="I193" s="436"/>
      <c r="J193" s="436"/>
      <c r="K193" s="436"/>
    </row>
    <row r="194" spans="2:11">
      <c r="B194" s="436"/>
      <c r="C194" s="436"/>
      <c r="D194" s="436"/>
      <c r="E194" s="436"/>
      <c r="F194" s="436"/>
      <c r="G194" s="436"/>
      <c r="H194" s="436"/>
      <c r="I194" s="436"/>
      <c r="J194" s="436"/>
      <c r="K194" s="436"/>
    </row>
    <row r="195" spans="2:11">
      <c r="B195" s="436"/>
      <c r="C195" s="436"/>
      <c r="D195" s="436"/>
      <c r="E195" s="436"/>
      <c r="F195" s="436"/>
      <c r="G195" s="436"/>
      <c r="H195" s="436"/>
      <c r="I195" s="436"/>
      <c r="J195" s="436"/>
      <c r="K195" s="436"/>
    </row>
    <row r="196" spans="2:11">
      <c r="B196" s="436"/>
      <c r="C196" s="436"/>
      <c r="D196" s="436"/>
      <c r="E196" s="436"/>
      <c r="F196" s="436"/>
      <c r="G196" s="436"/>
      <c r="H196" s="436"/>
      <c r="I196" s="436"/>
      <c r="J196" s="436"/>
      <c r="K196" s="436"/>
    </row>
    <row r="197" spans="2:11">
      <c r="B197" s="436"/>
      <c r="C197" s="436"/>
      <c r="D197" s="436"/>
      <c r="E197" s="436"/>
      <c r="F197" s="436"/>
      <c r="G197" s="436"/>
      <c r="H197" s="436"/>
      <c r="I197" s="436"/>
      <c r="J197" s="436"/>
      <c r="K197" s="436"/>
    </row>
    <row r="198" spans="2:11">
      <c r="B198" s="436"/>
      <c r="C198" s="436"/>
      <c r="D198" s="436"/>
      <c r="E198" s="436"/>
      <c r="F198" s="436"/>
      <c r="G198" s="436"/>
      <c r="H198" s="436"/>
      <c r="I198" s="436"/>
      <c r="J198" s="436"/>
      <c r="K198" s="436"/>
    </row>
    <row r="199" spans="2:11">
      <c r="B199" s="436"/>
      <c r="C199" s="436"/>
      <c r="D199" s="436"/>
      <c r="E199" s="436"/>
      <c r="F199" s="436"/>
      <c r="G199" s="436"/>
      <c r="H199" s="436"/>
      <c r="I199" s="436"/>
      <c r="J199" s="436"/>
      <c r="K199" s="436"/>
    </row>
    <row r="200" spans="2:11">
      <c r="B200" s="436"/>
      <c r="C200" s="436"/>
      <c r="D200" s="436"/>
      <c r="E200" s="436"/>
      <c r="F200" s="436"/>
      <c r="G200" s="436"/>
      <c r="H200" s="436"/>
      <c r="I200" s="436"/>
      <c r="J200" s="436"/>
      <c r="K200" s="436"/>
    </row>
    <row r="201" spans="2:11">
      <c r="B201" s="436"/>
      <c r="C201" s="436"/>
      <c r="D201" s="436"/>
      <c r="E201" s="436"/>
      <c r="F201" s="436"/>
      <c r="G201" s="436"/>
      <c r="H201" s="436"/>
      <c r="I201" s="436"/>
      <c r="J201" s="436"/>
      <c r="K201" s="436"/>
    </row>
    <row r="202" spans="2:11">
      <c r="B202" s="436"/>
      <c r="C202" s="436"/>
      <c r="D202" s="436"/>
      <c r="E202" s="436"/>
      <c r="F202" s="436"/>
      <c r="G202" s="436"/>
      <c r="H202" s="436"/>
      <c r="I202" s="436"/>
      <c r="J202" s="436"/>
      <c r="K202" s="436"/>
    </row>
    <row r="203" spans="2:11">
      <c r="B203" s="436"/>
      <c r="C203" s="436"/>
      <c r="D203" s="436"/>
      <c r="E203" s="436"/>
      <c r="F203" s="436"/>
      <c r="G203" s="436"/>
      <c r="H203" s="436"/>
      <c r="I203" s="436"/>
      <c r="J203" s="436"/>
      <c r="K203" s="436"/>
    </row>
    <row r="204" spans="2:11">
      <c r="B204" s="436"/>
      <c r="C204" s="436"/>
      <c r="D204" s="436"/>
      <c r="E204" s="436"/>
      <c r="F204" s="436"/>
      <c r="G204" s="436"/>
      <c r="H204" s="436"/>
      <c r="I204" s="436"/>
      <c r="J204" s="436"/>
      <c r="K204" s="436"/>
    </row>
    <row r="205" spans="2:11">
      <c r="B205" s="436"/>
      <c r="C205" s="436"/>
      <c r="D205" s="436"/>
      <c r="E205" s="436"/>
      <c r="F205" s="436"/>
      <c r="G205" s="436"/>
      <c r="H205" s="436"/>
      <c r="I205" s="436"/>
      <c r="J205" s="436"/>
      <c r="K205" s="436"/>
    </row>
    <row r="206" spans="2:11">
      <c r="B206" s="436"/>
      <c r="C206" s="436"/>
      <c r="D206" s="436"/>
      <c r="E206" s="436"/>
      <c r="F206" s="436"/>
      <c r="G206" s="436"/>
      <c r="H206" s="436"/>
      <c r="I206" s="436"/>
      <c r="J206" s="436"/>
      <c r="K206" s="436"/>
    </row>
    <row r="207" spans="2:11">
      <c r="B207" s="436"/>
      <c r="C207" s="436"/>
      <c r="D207" s="436"/>
      <c r="E207" s="436"/>
      <c r="F207" s="436"/>
      <c r="G207" s="436"/>
      <c r="H207" s="436"/>
      <c r="I207" s="436"/>
      <c r="J207" s="436"/>
      <c r="K207" s="436"/>
    </row>
    <row r="208" spans="2:11">
      <c r="B208" s="436"/>
      <c r="C208" s="436"/>
      <c r="D208" s="436"/>
      <c r="E208" s="436"/>
      <c r="F208" s="436"/>
      <c r="G208" s="436"/>
      <c r="H208" s="436"/>
      <c r="I208" s="436"/>
      <c r="J208" s="436"/>
      <c r="K208" s="436"/>
    </row>
    <row r="209" spans="2:11">
      <c r="B209" s="436"/>
      <c r="C209" s="436"/>
      <c r="D209" s="436"/>
      <c r="E209" s="436"/>
      <c r="F209" s="436"/>
      <c r="G209" s="436"/>
      <c r="H209" s="436"/>
      <c r="I209" s="436"/>
      <c r="J209" s="436"/>
      <c r="K209" s="436"/>
    </row>
    <row r="210" spans="2:11">
      <c r="B210" s="436"/>
      <c r="C210" s="436"/>
      <c r="D210" s="436"/>
      <c r="E210" s="436"/>
      <c r="F210" s="436"/>
      <c r="G210" s="436"/>
      <c r="H210" s="436"/>
      <c r="I210" s="436"/>
      <c r="J210" s="436"/>
      <c r="K210" s="436"/>
    </row>
    <row r="211" spans="2:11">
      <c r="B211" s="436"/>
      <c r="C211" s="436"/>
      <c r="D211" s="436"/>
      <c r="E211" s="436"/>
      <c r="F211" s="436"/>
      <c r="G211" s="436"/>
      <c r="H211" s="436"/>
      <c r="I211" s="436"/>
      <c r="J211" s="436"/>
      <c r="K211" s="436"/>
    </row>
    <row r="212" spans="2:11">
      <c r="B212" s="436"/>
      <c r="C212" s="436"/>
      <c r="D212" s="436"/>
      <c r="E212" s="436"/>
      <c r="F212" s="436"/>
      <c r="G212" s="436"/>
      <c r="H212" s="436"/>
      <c r="I212" s="436"/>
      <c r="J212" s="436"/>
      <c r="K212" s="436"/>
    </row>
    <row r="213" spans="2:11">
      <c r="B213" s="436"/>
      <c r="C213" s="436"/>
      <c r="D213" s="436"/>
      <c r="E213" s="436"/>
      <c r="F213" s="436"/>
      <c r="G213" s="436"/>
      <c r="H213" s="436"/>
      <c r="I213" s="436"/>
      <c r="J213" s="436"/>
      <c r="K213" s="436"/>
    </row>
    <row r="214" spans="2:11">
      <c r="B214" s="436"/>
      <c r="C214" s="436"/>
      <c r="D214" s="436"/>
      <c r="E214" s="436"/>
      <c r="F214" s="436"/>
      <c r="G214" s="436"/>
      <c r="H214" s="436"/>
      <c r="I214" s="436"/>
      <c r="J214" s="436"/>
      <c r="K214" s="436"/>
    </row>
    <row r="215" spans="2:11">
      <c r="B215" s="436"/>
      <c r="C215" s="436"/>
      <c r="D215" s="436"/>
      <c r="E215" s="436"/>
      <c r="F215" s="436"/>
      <c r="G215" s="436"/>
      <c r="H215" s="436"/>
      <c r="I215" s="436"/>
      <c r="J215" s="436"/>
      <c r="K215" s="436"/>
    </row>
    <row r="216" spans="2:11">
      <c r="B216" s="436"/>
      <c r="C216" s="436"/>
      <c r="D216" s="436"/>
      <c r="E216" s="436"/>
      <c r="F216" s="436"/>
      <c r="G216" s="436"/>
      <c r="H216" s="436"/>
      <c r="I216" s="436"/>
      <c r="J216" s="436"/>
      <c r="K216" s="436"/>
    </row>
    <row r="217" spans="2:11">
      <c r="B217" s="436"/>
      <c r="C217" s="436"/>
      <c r="D217" s="436"/>
      <c r="E217" s="436"/>
      <c r="F217" s="436"/>
      <c r="G217" s="436"/>
      <c r="H217" s="436"/>
      <c r="I217" s="436"/>
      <c r="J217" s="436"/>
      <c r="K217" s="436"/>
    </row>
    <row r="218" spans="2:11">
      <c r="B218" s="436"/>
      <c r="C218" s="436"/>
      <c r="D218" s="436"/>
      <c r="E218" s="436"/>
      <c r="F218" s="436"/>
      <c r="G218" s="436"/>
      <c r="H218" s="436"/>
      <c r="I218" s="436"/>
      <c r="J218" s="436"/>
      <c r="K218" s="436"/>
    </row>
    <row r="219" spans="2:11">
      <c r="B219" s="436"/>
      <c r="C219" s="436"/>
      <c r="D219" s="436"/>
      <c r="E219" s="436"/>
      <c r="F219" s="436"/>
      <c r="G219" s="436"/>
      <c r="H219" s="436"/>
      <c r="I219" s="436"/>
      <c r="J219" s="436"/>
      <c r="K219" s="436"/>
    </row>
    <row r="220" spans="2:11">
      <c r="B220" s="436"/>
      <c r="C220" s="436"/>
      <c r="D220" s="436"/>
      <c r="E220" s="436"/>
      <c r="F220" s="436"/>
      <c r="G220" s="436"/>
      <c r="H220" s="436"/>
      <c r="I220" s="436"/>
      <c r="J220" s="436"/>
      <c r="K220" s="436"/>
    </row>
    <row r="221" spans="2:11">
      <c r="B221" s="436"/>
      <c r="C221" s="436"/>
      <c r="D221" s="436"/>
      <c r="E221" s="436"/>
      <c r="F221" s="436"/>
      <c r="G221" s="436"/>
      <c r="H221" s="436"/>
      <c r="I221" s="436"/>
      <c r="J221" s="436"/>
      <c r="K221" s="436"/>
    </row>
    <row r="222" spans="2:11">
      <c r="B222" s="436"/>
      <c r="C222" s="436"/>
      <c r="D222" s="436"/>
      <c r="E222" s="436"/>
      <c r="F222" s="436"/>
      <c r="G222" s="436"/>
      <c r="H222" s="436"/>
      <c r="I222" s="436"/>
      <c r="J222" s="436"/>
      <c r="K222" s="436"/>
    </row>
    <row r="223" spans="2:11">
      <c r="B223" s="436"/>
      <c r="C223" s="436"/>
      <c r="D223" s="436"/>
      <c r="E223" s="436"/>
      <c r="F223" s="436"/>
      <c r="G223" s="436"/>
      <c r="H223" s="436"/>
      <c r="I223" s="436"/>
      <c r="J223" s="436"/>
      <c r="K223" s="436"/>
    </row>
    <row r="224" spans="2:11">
      <c r="B224" s="436"/>
      <c r="C224" s="436"/>
      <c r="D224" s="436"/>
      <c r="E224" s="436"/>
      <c r="F224" s="436"/>
      <c r="G224" s="436"/>
      <c r="H224" s="436"/>
      <c r="I224" s="436"/>
      <c r="J224" s="436"/>
      <c r="K224" s="436"/>
    </row>
    <row r="225" spans="2:11">
      <c r="B225" s="436"/>
      <c r="C225" s="436"/>
      <c r="D225" s="436"/>
      <c r="E225" s="436"/>
      <c r="F225" s="436"/>
      <c r="G225" s="436"/>
      <c r="H225" s="436"/>
      <c r="I225" s="436"/>
      <c r="J225" s="436"/>
      <c r="K225" s="436"/>
    </row>
    <row r="226" spans="2:11">
      <c r="B226" s="436"/>
      <c r="C226" s="436"/>
      <c r="D226" s="436"/>
      <c r="E226" s="436"/>
      <c r="F226" s="436"/>
      <c r="G226" s="436"/>
      <c r="H226" s="436"/>
      <c r="I226" s="436"/>
      <c r="J226" s="436"/>
      <c r="K226" s="436"/>
    </row>
    <row r="227" spans="2:11">
      <c r="B227" s="436"/>
      <c r="C227" s="436"/>
      <c r="D227" s="436"/>
      <c r="E227" s="436"/>
      <c r="F227" s="436"/>
      <c r="G227" s="436"/>
      <c r="H227" s="436"/>
      <c r="I227" s="436"/>
      <c r="J227" s="436"/>
      <c r="K227" s="436"/>
    </row>
    <row r="228" spans="2:11">
      <c r="B228" s="436"/>
      <c r="C228" s="436"/>
      <c r="D228" s="436"/>
      <c r="E228" s="436"/>
      <c r="F228" s="436"/>
      <c r="G228" s="436"/>
      <c r="H228" s="436"/>
      <c r="I228" s="436"/>
      <c r="J228" s="436"/>
      <c r="K228" s="436"/>
    </row>
    <row r="229" spans="2:11">
      <c r="B229" s="436"/>
      <c r="C229" s="436"/>
      <c r="D229" s="436"/>
      <c r="E229" s="436"/>
      <c r="F229" s="436"/>
      <c r="G229" s="436"/>
      <c r="H229" s="436"/>
      <c r="I229" s="436"/>
      <c r="J229" s="436"/>
      <c r="K229" s="436"/>
    </row>
    <row r="230" spans="2:11">
      <c r="B230" s="436"/>
      <c r="C230" s="436"/>
      <c r="D230" s="436"/>
      <c r="E230" s="436"/>
      <c r="F230" s="436"/>
      <c r="G230" s="436"/>
      <c r="H230" s="436"/>
      <c r="I230" s="436"/>
      <c r="J230" s="436"/>
      <c r="K230" s="436"/>
    </row>
    <row r="231" spans="2:11">
      <c r="B231" s="436"/>
      <c r="C231" s="436"/>
      <c r="D231" s="436"/>
      <c r="E231" s="436"/>
      <c r="F231" s="436"/>
      <c r="G231" s="436"/>
      <c r="H231" s="436"/>
      <c r="I231" s="436"/>
      <c r="J231" s="436"/>
      <c r="K231" s="436"/>
    </row>
    <row r="232" spans="2:11">
      <c r="B232" s="436"/>
      <c r="C232" s="436"/>
      <c r="D232" s="436"/>
      <c r="E232" s="436"/>
      <c r="F232" s="436"/>
      <c r="G232" s="436"/>
      <c r="H232" s="436"/>
      <c r="I232" s="436"/>
      <c r="J232" s="436"/>
      <c r="K232" s="436"/>
    </row>
    <row r="233" spans="2:11">
      <c r="B233" s="436"/>
      <c r="C233" s="436"/>
      <c r="D233" s="436"/>
      <c r="E233" s="436"/>
      <c r="F233" s="436"/>
      <c r="G233" s="436"/>
      <c r="H233" s="436"/>
      <c r="I233" s="436"/>
      <c r="J233" s="436"/>
      <c r="K233" s="436"/>
    </row>
    <row r="234" spans="2:11">
      <c r="B234" s="436"/>
      <c r="C234" s="436"/>
      <c r="D234" s="436"/>
      <c r="E234" s="436"/>
      <c r="F234" s="436"/>
      <c r="G234" s="436"/>
      <c r="H234" s="436"/>
      <c r="I234" s="436"/>
      <c r="J234" s="436"/>
      <c r="K234" s="436"/>
    </row>
    <row r="235" spans="2:11">
      <c r="B235" s="436"/>
      <c r="C235" s="436"/>
      <c r="D235" s="436"/>
      <c r="E235" s="436"/>
      <c r="F235" s="436"/>
      <c r="G235" s="436"/>
      <c r="H235" s="436"/>
      <c r="I235" s="436"/>
      <c r="J235" s="436"/>
      <c r="K235" s="436"/>
    </row>
    <row r="236" spans="2:11">
      <c r="B236" s="436"/>
      <c r="C236" s="436"/>
      <c r="D236" s="436"/>
      <c r="E236" s="436"/>
      <c r="F236" s="436"/>
      <c r="G236" s="436"/>
      <c r="H236" s="436"/>
      <c r="I236" s="436"/>
      <c r="J236" s="436"/>
      <c r="K236" s="436"/>
    </row>
    <row r="237" spans="2:11">
      <c r="B237" s="436"/>
      <c r="C237" s="436"/>
      <c r="D237" s="436"/>
      <c r="E237" s="436"/>
      <c r="F237" s="436"/>
      <c r="G237" s="436"/>
      <c r="H237" s="436"/>
      <c r="I237" s="436"/>
      <c r="J237" s="436"/>
      <c r="K237" s="436"/>
    </row>
    <row r="238" spans="2:11">
      <c r="B238" s="436"/>
      <c r="C238" s="436"/>
      <c r="D238" s="436"/>
      <c r="E238" s="436"/>
      <c r="F238" s="436"/>
      <c r="G238" s="436"/>
      <c r="H238" s="436"/>
      <c r="I238" s="436"/>
      <c r="J238" s="436"/>
      <c r="K238" s="436"/>
    </row>
    <row r="239" spans="2:11">
      <c r="B239" s="436"/>
      <c r="C239" s="436"/>
      <c r="D239" s="436"/>
      <c r="E239" s="436"/>
      <c r="F239" s="436"/>
      <c r="G239" s="436"/>
      <c r="H239" s="436"/>
      <c r="I239" s="436"/>
      <c r="J239" s="436"/>
      <c r="K239" s="436"/>
    </row>
    <row r="240" spans="2:11">
      <c r="B240" s="436"/>
      <c r="C240" s="436"/>
      <c r="D240" s="436"/>
      <c r="E240" s="436"/>
      <c r="F240" s="436"/>
      <c r="G240" s="436"/>
      <c r="H240" s="436"/>
      <c r="I240" s="436"/>
      <c r="J240" s="436"/>
      <c r="K240" s="436"/>
    </row>
    <row r="241" spans="2:11">
      <c r="B241" s="436"/>
      <c r="C241" s="436"/>
      <c r="D241" s="436"/>
      <c r="E241" s="436"/>
      <c r="F241" s="436"/>
      <c r="G241" s="436"/>
      <c r="H241" s="436"/>
      <c r="I241" s="436"/>
      <c r="J241" s="436"/>
      <c r="K241" s="436"/>
    </row>
    <row r="242" spans="2:11">
      <c r="B242" s="436"/>
      <c r="C242" s="436"/>
      <c r="D242" s="436"/>
      <c r="E242" s="436"/>
      <c r="F242" s="436"/>
      <c r="G242" s="436"/>
      <c r="H242" s="436"/>
      <c r="I242" s="436"/>
      <c r="J242" s="436"/>
      <c r="K242" s="436"/>
    </row>
    <row r="243" spans="2:11">
      <c r="B243" s="436"/>
      <c r="C243" s="436"/>
      <c r="D243" s="436"/>
      <c r="E243" s="436"/>
      <c r="F243" s="436"/>
      <c r="G243" s="436"/>
      <c r="H243" s="436"/>
      <c r="I243" s="436"/>
      <c r="J243" s="436"/>
      <c r="K243" s="436"/>
    </row>
    <row r="244" spans="2:11">
      <c r="B244" s="436"/>
      <c r="C244" s="436"/>
      <c r="D244" s="436"/>
      <c r="E244" s="436"/>
      <c r="F244" s="436"/>
      <c r="G244" s="436"/>
      <c r="H244" s="436"/>
      <c r="I244" s="436"/>
      <c r="J244" s="436"/>
      <c r="K244" s="436"/>
    </row>
    <row r="245" spans="2:11">
      <c r="B245" s="436"/>
      <c r="C245" s="436"/>
      <c r="D245" s="436"/>
      <c r="E245" s="436"/>
      <c r="F245" s="436"/>
      <c r="G245" s="436"/>
      <c r="H245" s="436"/>
      <c r="I245" s="436"/>
      <c r="J245" s="436"/>
      <c r="K245" s="436"/>
    </row>
    <row r="246" spans="2:11">
      <c r="B246" s="436"/>
      <c r="C246" s="436"/>
      <c r="D246" s="436"/>
      <c r="E246" s="436"/>
      <c r="F246" s="436"/>
      <c r="G246" s="436"/>
      <c r="H246" s="436"/>
      <c r="I246" s="436"/>
      <c r="J246" s="436"/>
      <c r="K246" s="436"/>
    </row>
    <row r="247" spans="2:11">
      <c r="B247" s="436"/>
      <c r="C247" s="436"/>
      <c r="D247" s="436"/>
      <c r="E247" s="436"/>
      <c r="F247" s="436"/>
      <c r="G247" s="436"/>
      <c r="H247" s="436"/>
      <c r="I247" s="436"/>
      <c r="J247" s="436"/>
      <c r="K247" s="436"/>
    </row>
    <row r="248" spans="2:11">
      <c r="B248" s="436"/>
      <c r="C248" s="436"/>
      <c r="D248" s="436"/>
      <c r="E248" s="436"/>
      <c r="F248" s="436"/>
      <c r="G248" s="436"/>
      <c r="H248" s="436"/>
      <c r="I248" s="436"/>
      <c r="J248" s="436"/>
      <c r="K248" s="436"/>
    </row>
    <row r="249" spans="2:11">
      <c r="B249" s="436"/>
      <c r="C249" s="436"/>
      <c r="D249" s="436"/>
      <c r="E249" s="436"/>
      <c r="F249" s="436"/>
      <c r="G249" s="436"/>
      <c r="H249" s="436"/>
      <c r="I249" s="436"/>
      <c r="J249" s="436"/>
      <c r="K249" s="436"/>
    </row>
    <row r="250" spans="2:11">
      <c r="B250" s="436"/>
      <c r="C250" s="436"/>
      <c r="D250" s="436"/>
      <c r="E250" s="436"/>
      <c r="F250" s="436"/>
      <c r="G250" s="436"/>
      <c r="H250" s="436"/>
      <c r="I250" s="436"/>
      <c r="J250" s="436"/>
      <c r="K250" s="436"/>
    </row>
    <row r="251" spans="2:11">
      <c r="B251" s="436"/>
      <c r="C251" s="436"/>
      <c r="D251" s="436"/>
      <c r="E251" s="436"/>
      <c r="F251" s="436"/>
      <c r="G251" s="436"/>
      <c r="H251" s="436"/>
      <c r="I251" s="436"/>
      <c r="J251" s="436"/>
      <c r="K251" s="436"/>
    </row>
    <row r="252" spans="2:11">
      <c r="B252" s="436"/>
      <c r="C252" s="436"/>
      <c r="D252" s="436"/>
      <c r="E252" s="436"/>
      <c r="F252" s="436"/>
      <c r="G252" s="436"/>
      <c r="H252" s="436"/>
      <c r="I252" s="436"/>
      <c r="J252" s="436"/>
      <c r="K252" s="436"/>
    </row>
    <row r="253" spans="2:11">
      <c r="B253" s="436"/>
      <c r="C253" s="436"/>
      <c r="D253" s="436"/>
      <c r="E253" s="436"/>
      <c r="F253" s="436"/>
      <c r="G253" s="436"/>
      <c r="H253" s="436"/>
      <c r="I253" s="436"/>
      <c r="J253" s="436"/>
      <c r="K253" s="436"/>
    </row>
    <row r="254" spans="2:11">
      <c r="B254" s="436"/>
      <c r="C254" s="436"/>
      <c r="D254" s="436"/>
      <c r="E254" s="436"/>
      <c r="F254" s="436"/>
      <c r="G254" s="436"/>
      <c r="H254" s="436"/>
      <c r="I254" s="436"/>
      <c r="J254" s="436"/>
      <c r="K254" s="436"/>
    </row>
    <row r="255" spans="2:11">
      <c r="B255" s="436"/>
      <c r="C255" s="436"/>
      <c r="D255" s="436"/>
      <c r="E255" s="436"/>
      <c r="F255" s="436"/>
      <c r="G255" s="436"/>
      <c r="H255" s="436"/>
      <c r="I255" s="436"/>
      <c r="J255" s="436"/>
      <c r="K255" s="436"/>
    </row>
    <row r="256" spans="2:11">
      <c r="B256" s="436"/>
      <c r="C256" s="436"/>
      <c r="D256" s="436"/>
      <c r="E256" s="436"/>
      <c r="F256" s="436"/>
      <c r="G256" s="436"/>
      <c r="H256" s="436"/>
      <c r="I256" s="436"/>
      <c r="J256" s="436"/>
      <c r="K256" s="436"/>
    </row>
    <row r="257" spans="2:11">
      <c r="B257" s="436"/>
      <c r="C257" s="436"/>
      <c r="D257" s="436"/>
      <c r="E257" s="436"/>
      <c r="F257" s="436"/>
      <c r="G257" s="436"/>
      <c r="H257" s="436"/>
      <c r="I257" s="436"/>
      <c r="J257" s="436"/>
      <c r="K257" s="436"/>
    </row>
    <row r="258" spans="2:11">
      <c r="B258" s="436"/>
      <c r="C258" s="436"/>
      <c r="D258" s="436"/>
      <c r="E258" s="436"/>
      <c r="F258" s="436"/>
      <c r="G258" s="436"/>
      <c r="H258" s="436"/>
      <c r="I258" s="436"/>
      <c r="J258" s="436"/>
      <c r="K258" s="436"/>
    </row>
    <row r="259" spans="2:11">
      <c r="B259" s="436"/>
      <c r="C259" s="436"/>
      <c r="D259" s="436"/>
      <c r="E259" s="436"/>
      <c r="F259" s="436"/>
      <c r="G259" s="436"/>
      <c r="H259" s="436"/>
      <c r="I259" s="436"/>
      <c r="J259" s="436"/>
      <c r="K259" s="436"/>
    </row>
    <row r="260" spans="2:11">
      <c r="B260" s="436"/>
      <c r="C260" s="436"/>
      <c r="D260" s="436"/>
      <c r="E260" s="436"/>
      <c r="F260" s="436"/>
      <c r="G260" s="436"/>
      <c r="H260" s="436"/>
      <c r="I260" s="436"/>
      <c r="J260" s="436"/>
      <c r="K260" s="436"/>
    </row>
    <row r="261" spans="2:11">
      <c r="B261" s="436"/>
      <c r="C261" s="436"/>
      <c r="D261" s="436"/>
      <c r="E261" s="436"/>
      <c r="F261" s="436"/>
      <c r="G261" s="436"/>
      <c r="H261" s="436"/>
      <c r="I261" s="436"/>
      <c r="J261" s="436"/>
      <c r="K261" s="436"/>
    </row>
    <row r="262" spans="2:11">
      <c r="B262" s="436"/>
      <c r="C262" s="436"/>
      <c r="D262" s="436"/>
      <c r="E262" s="436"/>
      <c r="F262" s="436"/>
      <c r="G262" s="436"/>
      <c r="H262" s="436"/>
      <c r="I262" s="436"/>
      <c r="J262" s="436"/>
      <c r="K262" s="436"/>
    </row>
    <row r="263" spans="2:11">
      <c r="B263" s="436"/>
      <c r="C263" s="436"/>
      <c r="D263" s="436"/>
      <c r="E263" s="436"/>
      <c r="F263" s="436"/>
      <c r="G263" s="436"/>
      <c r="H263" s="436"/>
      <c r="I263" s="436"/>
      <c r="J263" s="436"/>
      <c r="K263" s="436"/>
    </row>
    <row r="264" spans="2:11">
      <c r="B264" s="436"/>
      <c r="C264" s="436"/>
      <c r="D264" s="436"/>
      <c r="E264" s="436"/>
      <c r="F264" s="436"/>
      <c r="G264" s="436"/>
      <c r="H264" s="436"/>
      <c r="I264" s="436"/>
      <c r="J264" s="436"/>
      <c r="K264" s="436"/>
    </row>
    <row r="265" spans="2:11">
      <c r="B265" s="436"/>
      <c r="C265" s="436"/>
      <c r="D265" s="436"/>
      <c r="E265" s="436"/>
      <c r="F265" s="436"/>
      <c r="G265" s="436"/>
      <c r="H265" s="436"/>
      <c r="I265" s="436"/>
      <c r="J265" s="436"/>
      <c r="K265" s="436"/>
    </row>
    <row r="266" spans="2:11">
      <c r="B266" s="436"/>
      <c r="C266" s="436"/>
      <c r="D266" s="436"/>
      <c r="E266" s="436"/>
      <c r="F266" s="436"/>
      <c r="G266" s="436"/>
      <c r="H266" s="436"/>
      <c r="I266" s="436"/>
      <c r="J266" s="436"/>
      <c r="K266" s="436"/>
    </row>
    <row r="267" spans="2:11">
      <c r="B267" s="436"/>
      <c r="C267" s="436"/>
      <c r="D267" s="436"/>
      <c r="E267" s="436"/>
      <c r="F267" s="436"/>
      <c r="G267" s="436"/>
      <c r="H267" s="436"/>
      <c r="I267" s="436"/>
      <c r="J267" s="436"/>
      <c r="K267" s="436"/>
    </row>
    <row r="268" spans="2:11">
      <c r="B268" s="436"/>
      <c r="C268" s="436"/>
      <c r="D268" s="436"/>
      <c r="E268" s="436"/>
      <c r="F268" s="436"/>
      <c r="G268" s="436"/>
      <c r="H268" s="436"/>
      <c r="I268" s="436"/>
      <c r="J268" s="436"/>
      <c r="K268" s="436"/>
    </row>
    <row r="269" spans="2:11">
      <c r="B269" s="436"/>
      <c r="C269" s="436"/>
      <c r="D269" s="436"/>
      <c r="E269" s="436"/>
      <c r="F269" s="436"/>
      <c r="G269" s="436"/>
      <c r="H269" s="436"/>
      <c r="I269" s="436"/>
      <c r="J269" s="436"/>
      <c r="K269" s="436"/>
    </row>
    <row r="270" spans="2:11">
      <c r="B270" s="436"/>
      <c r="C270" s="436"/>
      <c r="D270" s="436"/>
      <c r="E270" s="436"/>
      <c r="F270" s="436"/>
      <c r="G270" s="436"/>
      <c r="H270" s="436"/>
      <c r="I270" s="436"/>
      <c r="J270" s="436"/>
      <c r="K270" s="436"/>
    </row>
    <row r="271" spans="2:11">
      <c r="B271" s="436"/>
      <c r="C271" s="436"/>
      <c r="D271" s="436"/>
      <c r="E271" s="436"/>
      <c r="F271" s="436"/>
      <c r="G271" s="436"/>
      <c r="H271" s="436"/>
      <c r="I271" s="436"/>
      <c r="J271" s="436"/>
      <c r="K271" s="436"/>
    </row>
    <row r="272" spans="2:11">
      <c r="B272" s="436"/>
      <c r="C272" s="436"/>
      <c r="D272" s="436"/>
      <c r="E272" s="436"/>
      <c r="F272" s="436"/>
      <c r="G272" s="436"/>
      <c r="H272" s="436"/>
      <c r="I272" s="436"/>
      <c r="J272" s="436"/>
      <c r="K272" s="436"/>
    </row>
    <row r="273" spans="2:11">
      <c r="B273" s="436"/>
      <c r="C273" s="436"/>
      <c r="D273" s="436"/>
      <c r="E273" s="436"/>
      <c r="F273" s="436"/>
      <c r="G273" s="436"/>
      <c r="H273" s="436"/>
      <c r="I273" s="436"/>
      <c r="J273" s="436"/>
      <c r="K273" s="436"/>
    </row>
    <row r="274" spans="2:11">
      <c r="B274" s="436"/>
      <c r="C274" s="436"/>
      <c r="D274" s="436"/>
      <c r="E274" s="436"/>
      <c r="F274" s="436"/>
      <c r="G274" s="436"/>
      <c r="H274" s="436"/>
      <c r="I274" s="436"/>
      <c r="J274" s="436"/>
      <c r="K274" s="436"/>
    </row>
    <row r="275" spans="2:11">
      <c r="B275" s="436"/>
      <c r="C275" s="436"/>
      <c r="D275" s="436"/>
      <c r="E275" s="436"/>
      <c r="F275" s="436"/>
      <c r="G275" s="436"/>
      <c r="H275" s="436"/>
      <c r="I275" s="436"/>
      <c r="J275" s="436"/>
      <c r="K275" s="436"/>
    </row>
    <row r="276" spans="2:11">
      <c r="B276" s="449"/>
      <c r="C276" s="449"/>
      <c r="D276" s="449"/>
      <c r="E276" s="449"/>
      <c r="F276" s="449"/>
      <c r="G276" s="449"/>
      <c r="H276" s="449"/>
      <c r="I276" s="449"/>
      <c r="J276" s="449"/>
      <c r="K276" s="449"/>
    </row>
    <row r="277" spans="2:11">
      <c r="B277" s="449"/>
      <c r="C277" s="449"/>
      <c r="D277" s="449"/>
      <c r="E277" s="449"/>
      <c r="F277" s="449"/>
      <c r="G277" s="449"/>
      <c r="H277" s="449"/>
      <c r="I277" s="449"/>
      <c r="J277" s="449"/>
      <c r="K277" s="449"/>
    </row>
    <row r="278" spans="2:11">
      <c r="B278" s="449"/>
      <c r="C278" s="449"/>
      <c r="D278" s="449"/>
      <c r="E278" s="449"/>
      <c r="F278" s="449"/>
      <c r="G278" s="449"/>
      <c r="H278" s="449"/>
      <c r="I278" s="449"/>
      <c r="J278" s="449"/>
      <c r="K278" s="449"/>
    </row>
    <row r="279" spans="2:11">
      <c r="B279" s="449"/>
      <c r="C279" s="449"/>
      <c r="D279" s="449"/>
      <c r="E279" s="449"/>
      <c r="F279" s="449"/>
      <c r="G279" s="449"/>
      <c r="H279" s="449"/>
      <c r="I279" s="449"/>
      <c r="J279" s="449"/>
      <c r="K279" s="449"/>
    </row>
    <row r="280" spans="2:11">
      <c r="B280" s="449"/>
      <c r="C280" s="449"/>
      <c r="D280" s="449"/>
      <c r="E280" s="449"/>
      <c r="F280" s="449"/>
      <c r="G280" s="449"/>
      <c r="H280" s="449"/>
      <c r="I280" s="449"/>
      <c r="J280" s="449"/>
      <c r="K280" s="449"/>
    </row>
    <row r="281" spans="2:11">
      <c r="B281" s="449"/>
      <c r="C281" s="449"/>
      <c r="D281" s="449"/>
      <c r="E281" s="449"/>
      <c r="F281" s="449"/>
      <c r="G281" s="449"/>
      <c r="H281" s="449"/>
      <c r="I281" s="449"/>
      <c r="J281" s="449"/>
      <c r="K281" s="449"/>
    </row>
    <row r="282" spans="2:11">
      <c r="B282" s="449"/>
      <c r="C282" s="449"/>
      <c r="D282" s="449"/>
      <c r="E282" s="449"/>
      <c r="F282" s="449"/>
      <c r="G282" s="449"/>
      <c r="H282" s="449"/>
      <c r="I282" s="449"/>
      <c r="J282" s="449"/>
      <c r="K282" s="449"/>
    </row>
    <row r="283" spans="2:11">
      <c r="B283" s="449"/>
      <c r="C283" s="449"/>
      <c r="D283" s="449"/>
      <c r="E283" s="449"/>
      <c r="F283" s="449"/>
      <c r="G283" s="449"/>
      <c r="H283" s="449"/>
      <c r="I283" s="449"/>
      <c r="J283" s="449"/>
      <c r="K283" s="449"/>
    </row>
    <row r="284" spans="2:11">
      <c r="B284" s="449"/>
      <c r="C284" s="449"/>
      <c r="D284" s="449"/>
      <c r="E284" s="449"/>
      <c r="F284" s="449"/>
      <c r="G284" s="449"/>
      <c r="H284" s="449"/>
      <c r="I284" s="449"/>
      <c r="J284" s="449"/>
      <c r="K284" s="449"/>
    </row>
    <row r="285" spans="2:11">
      <c r="B285" s="449"/>
      <c r="C285" s="449"/>
      <c r="D285" s="449"/>
      <c r="E285" s="449"/>
      <c r="F285" s="449"/>
      <c r="G285" s="449"/>
      <c r="H285" s="449"/>
      <c r="I285" s="449"/>
      <c r="J285" s="449"/>
      <c r="K285" s="449"/>
    </row>
    <row r="286" spans="2:11">
      <c r="B286" s="449"/>
      <c r="C286" s="449"/>
      <c r="D286" s="449"/>
      <c r="E286" s="449"/>
      <c r="F286" s="449"/>
      <c r="G286" s="449"/>
      <c r="H286" s="449"/>
      <c r="I286" s="449"/>
      <c r="J286" s="449"/>
      <c r="K286" s="449"/>
    </row>
    <row r="287" spans="2:11">
      <c r="B287" s="449"/>
      <c r="C287" s="449"/>
      <c r="D287" s="449"/>
      <c r="E287" s="449"/>
      <c r="F287" s="449"/>
      <c r="G287" s="449"/>
      <c r="H287" s="449"/>
      <c r="I287" s="449"/>
      <c r="J287" s="449"/>
      <c r="K287" s="449"/>
    </row>
    <row r="288" spans="2:11">
      <c r="B288" s="449"/>
      <c r="C288" s="449"/>
      <c r="D288" s="449"/>
      <c r="E288" s="449"/>
      <c r="F288" s="449"/>
      <c r="G288" s="449"/>
      <c r="H288" s="449"/>
      <c r="I288" s="449"/>
      <c r="J288" s="449"/>
      <c r="K288" s="449"/>
    </row>
    <row r="289" spans="2:11">
      <c r="B289" s="449"/>
      <c r="C289" s="449"/>
      <c r="D289" s="449"/>
      <c r="E289" s="449"/>
      <c r="F289" s="449"/>
      <c r="G289" s="449"/>
      <c r="H289" s="449"/>
      <c r="I289" s="449"/>
      <c r="J289" s="449"/>
      <c r="K289" s="449"/>
    </row>
    <row r="290" spans="2:11">
      <c r="B290" s="449"/>
      <c r="C290" s="449"/>
      <c r="D290" s="449"/>
      <c r="E290" s="449"/>
      <c r="F290" s="449"/>
      <c r="G290" s="449"/>
      <c r="H290" s="449"/>
      <c r="I290" s="449"/>
      <c r="J290" s="449"/>
      <c r="K290" s="449"/>
    </row>
    <row r="291" spans="2:11">
      <c r="B291" s="449"/>
      <c r="C291" s="449"/>
      <c r="D291" s="449"/>
      <c r="E291" s="449"/>
      <c r="F291" s="449"/>
      <c r="G291" s="449"/>
      <c r="H291" s="449"/>
      <c r="I291" s="449"/>
      <c r="J291" s="449"/>
      <c r="K291" s="449"/>
    </row>
    <row r="292" spans="2:11">
      <c r="B292" s="449"/>
      <c r="C292" s="449"/>
      <c r="D292" s="449"/>
      <c r="E292" s="449"/>
      <c r="F292" s="449"/>
      <c r="G292" s="449"/>
      <c r="H292" s="449"/>
      <c r="I292" s="449"/>
      <c r="J292" s="449"/>
      <c r="K292" s="449"/>
    </row>
    <row r="293" spans="2:11">
      <c r="B293" s="449"/>
      <c r="C293" s="449"/>
      <c r="D293" s="449"/>
      <c r="E293" s="449"/>
      <c r="F293" s="449"/>
      <c r="G293" s="449"/>
      <c r="H293" s="449"/>
      <c r="I293" s="449"/>
      <c r="J293" s="449"/>
      <c r="K293" s="449"/>
    </row>
    <row r="294" spans="2:11">
      <c r="B294" s="449"/>
      <c r="C294" s="449"/>
      <c r="D294" s="449"/>
      <c r="E294" s="449"/>
      <c r="F294" s="449"/>
      <c r="G294" s="449"/>
      <c r="H294" s="449"/>
      <c r="I294" s="449"/>
      <c r="J294" s="449"/>
      <c r="K294" s="449"/>
    </row>
    <row r="295" spans="2:11">
      <c r="B295" s="449"/>
      <c r="C295" s="449"/>
      <c r="D295" s="449"/>
      <c r="E295" s="449"/>
      <c r="F295" s="449"/>
      <c r="G295" s="449"/>
      <c r="H295" s="449"/>
      <c r="I295" s="449"/>
      <c r="J295" s="449"/>
      <c r="K295" s="449"/>
    </row>
    <row r="296" spans="2:11">
      <c r="B296" s="449"/>
      <c r="C296" s="449"/>
      <c r="D296" s="449"/>
      <c r="E296" s="449"/>
      <c r="F296" s="449"/>
      <c r="G296" s="449"/>
      <c r="H296" s="449"/>
      <c r="I296" s="449"/>
      <c r="J296" s="449"/>
      <c r="K296" s="449"/>
    </row>
    <row r="297" spans="2:11">
      <c r="B297" s="449"/>
      <c r="C297" s="449"/>
      <c r="D297" s="449"/>
      <c r="E297" s="449"/>
      <c r="F297" s="449"/>
      <c r="G297" s="449"/>
      <c r="H297" s="449"/>
      <c r="I297" s="449"/>
      <c r="J297" s="449"/>
      <c r="K297" s="449"/>
    </row>
    <row r="298" spans="2:11">
      <c r="B298" s="449"/>
      <c r="C298" s="449"/>
      <c r="D298" s="449"/>
      <c r="E298" s="449"/>
      <c r="F298" s="449"/>
      <c r="G298" s="449"/>
      <c r="H298" s="449"/>
      <c r="I298" s="449"/>
      <c r="J298" s="449"/>
      <c r="K298" s="449"/>
    </row>
    <row r="299" spans="2:11">
      <c r="B299" s="449"/>
      <c r="C299" s="449"/>
      <c r="D299" s="449"/>
      <c r="E299" s="449"/>
      <c r="F299" s="449"/>
      <c r="G299" s="449"/>
      <c r="H299" s="449"/>
      <c r="I299" s="449"/>
      <c r="J299" s="449"/>
      <c r="K299" s="449"/>
    </row>
    <row r="300" spans="2:11">
      <c r="B300" s="449"/>
      <c r="C300" s="449"/>
      <c r="D300" s="449"/>
      <c r="E300" s="449"/>
      <c r="F300" s="449"/>
      <c r="G300" s="449"/>
      <c r="H300" s="449"/>
      <c r="I300" s="449"/>
      <c r="J300" s="449"/>
      <c r="K300" s="449"/>
    </row>
    <row r="301" spans="2:11">
      <c r="B301" s="449"/>
      <c r="C301" s="449"/>
      <c r="D301" s="449"/>
      <c r="E301" s="449"/>
      <c r="F301" s="449"/>
      <c r="G301" s="449"/>
      <c r="H301" s="449"/>
      <c r="I301" s="449"/>
      <c r="J301" s="449"/>
      <c r="K301" s="449"/>
    </row>
    <row r="302" spans="2:11">
      <c r="B302" s="449"/>
      <c r="C302" s="449"/>
      <c r="D302" s="449"/>
      <c r="E302" s="449"/>
      <c r="F302" s="449"/>
      <c r="G302" s="449"/>
      <c r="H302" s="449"/>
      <c r="I302" s="449"/>
      <c r="J302" s="449"/>
      <c r="K302" s="449"/>
    </row>
    <row r="303" spans="2:11">
      <c r="B303" s="449"/>
      <c r="C303" s="449"/>
      <c r="D303" s="449"/>
      <c r="E303" s="449"/>
      <c r="F303" s="449"/>
      <c r="G303" s="449"/>
      <c r="H303" s="449"/>
      <c r="I303" s="449"/>
      <c r="J303" s="449"/>
      <c r="K303" s="449"/>
    </row>
    <row r="304" spans="2:11">
      <c r="B304" s="449"/>
      <c r="C304" s="449"/>
      <c r="D304" s="449"/>
      <c r="E304" s="449"/>
      <c r="F304" s="449"/>
      <c r="G304" s="449"/>
      <c r="H304" s="449"/>
      <c r="I304" s="449"/>
      <c r="J304" s="449"/>
      <c r="K304" s="449"/>
    </row>
    <row r="305" spans="2:11">
      <c r="B305" s="449"/>
      <c r="C305" s="449"/>
      <c r="D305" s="449"/>
      <c r="E305" s="449"/>
      <c r="F305" s="449"/>
      <c r="G305" s="449"/>
      <c r="H305" s="449"/>
      <c r="I305" s="449"/>
      <c r="J305" s="449"/>
      <c r="K305" s="449"/>
    </row>
    <row r="306" spans="2:11">
      <c r="B306" s="449"/>
      <c r="C306" s="449"/>
      <c r="D306" s="449"/>
      <c r="E306" s="449"/>
      <c r="F306" s="449"/>
      <c r="G306" s="449"/>
      <c r="H306" s="449"/>
      <c r="I306" s="449"/>
      <c r="J306" s="449"/>
      <c r="K306" s="449"/>
    </row>
    <row r="307" spans="2:11">
      <c r="B307" s="449"/>
      <c r="C307" s="449"/>
      <c r="D307" s="449"/>
      <c r="E307" s="449"/>
      <c r="F307" s="449"/>
      <c r="G307" s="449"/>
      <c r="H307" s="449"/>
      <c r="I307" s="449"/>
      <c r="J307" s="449"/>
      <c r="K307" s="449"/>
    </row>
    <row r="308" spans="2:11">
      <c r="B308" s="449"/>
      <c r="C308" s="449"/>
      <c r="D308" s="449"/>
      <c r="E308" s="449"/>
      <c r="F308" s="449"/>
      <c r="G308" s="449"/>
      <c r="H308" s="449"/>
      <c r="I308" s="449"/>
      <c r="J308" s="449"/>
      <c r="K308" s="449"/>
    </row>
    <row r="309" spans="2:11">
      <c r="B309" s="449"/>
      <c r="C309" s="449"/>
      <c r="D309" s="449"/>
      <c r="E309" s="449"/>
      <c r="F309" s="449"/>
      <c r="G309" s="449"/>
      <c r="H309" s="449"/>
      <c r="I309" s="449"/>
      <c r="J309" s="449"/>
      <c r="K309" s="449"/>
    </row>
    <row r="310" spans="2:11">
      <c r="B310" s="449"/>
      <c r="C310" s="449"/>
      <c r="D310" s="449"/>
      <c r="E310" s="449"/>
      <c r="F310" s="449"/>
      <c r="G310" s="449"/>
      <c r="H310" s="449"/>
      <c r="I310" s="449"/>
      <c r="J310" s="449"/>
      <c r="K310" s="449"/>
    </row>
    <row r="311" spans="2:11">
      <c r="B311" s="449"/>
      <c r="C311" s="449"/>
      <c r="D311" s="449"/>
      <c r="E311" s="449"/>
      <c r="F311" s="449"/>
      <c r="G311" s="449"/>
      <c r="H311" s="449"/>
      <c r="I311" s="449"/>
      <c r="J311" s="449"/>
      <c r="K311" s="449"/>
    </row>
    <row r="312" spans="2:11">
      <c r="B312" s="449"/>
      <c r="C312" s="449"/>
      <c r="D312" s="449"/>
      <c r="E312" s="449"/>
      <c r="F312" s="449"/>
      <c r="G312" s="449"/>
      <c r="H312" s="449"/>
      <c r="I312" s="449"/>
      <c r="J312" s="449"/>
      <c r="K312" s="449"/>
    </row>
    <row r="313" spans="2:11">
      <c r="B313" s="449"/>
      <c r="C313" s="449"/>
      <c r="D313" s="449"/>
      <c r="E313" s="449"/>
      <c r="F313" s="449"/>
      <c r="G313" s="449"/>
      <c r="H313" s="449"/>
      <c r="I313" s="449"/>
      <c r="J313" s="449"/>
      <c r="K313" s="449"/>
    </row>
    <row r="314" spans="2:11">
      <c r="B314" s="449"/>
      <c r="C314" s="449"/>
      <c r="D314" s="449"/>
      <c r="E314" s="449"/>
      <c r="F314" s="449"/>
      <c r="G314" s="449"/>
      <c r="H314" s="449"/>
      <c r="I314" s="449"/>
      <c r="J314" s="449"/>
      <c r="K314" s="449"/>
    </row>
    <row r="315" spans="2:11">
      <c r="B315" s="449"/>
      <c r="C315" s="449"/>
      <c r="D315" s="449"/>
      <c r="E315" s="449"/>
      <c r="F315" s="449"/>
      <c r="G315" s="449"/>
      <c r="H315" s="449"/>
      <c r="I315" s="449"/>
      <c r="J315" s="449"/>
      <c r="K315" s="449"/>
    </row>
  </sheetData>
  <mergeCells count="50">
    <mergeCell ref="E23:F23"/>
    <mergeCell ref="A1:D1"/>
    <mergeCell ref="B2:D2"/>
    <mergeCell ref="B3:G3"/>
    <mergeCell ref="C5:D5"/>
    <mergeCell ref="C6:D6"/>
    <mergeCell ref="A8:B10"/>
    <mergeCell ref="C9:D9"/>
    <mergeCell ref="C10:D10"/>
    <mergeCell ref="C15:D15"/>
    <mergeCell ref="E18:J18"/>
    <mergeCell ref="E19:K19"/>
    <mergeCell ref="E21:K21"/>
    <mergeCell ref="A22:B22"/>
    <mergeCell ref="I36:K36"/>
    <mergeCell ref="A25:B25"/>
    <mergeCell ref="E25:K25"/>
    <mergeCell ref="E27:K27"/>
    <mergeCell ref="A29:B29"/>
    <mergeCell ref="E29:K29"/>
    <mergeCell ref="E31:K31"/>
    <mergeCell ref="G32:I32"/>
    <mergeCell ref="J32:K32"/>
    <mergeCell ref="B33:J33"/>
    <mergeCell ref="I34:J34"/>
    <mergeCell ref="I35:K35"/>
    <mergeCell ref="C47:J47"/>
    <mergeCell ref="I37:K37"/>
    <mergeCell ref="D38:E38"/>
    <mergeCell ref="J38:K38"/>
    <mergeCell ref="D39:I39"/>
    <mergeCell ref="B40:J40"/>
    <mergeCell ref="C41:G41"/>
    <mergeCell ref="C42:J42"/>
    <mergeCell ref="B43:J43"/>
    <mergeCell ref="C44:J44"/>
    <mergeCell ref="B45:J45"/>
    <mergeCell ref="B46:J46"/>
    <mergeCell ref="B59:J59"/>
    <mergeCell ref="B48:J48"/>
    <mergeCell ref="C49:J49"/>
    <mergeCell ref="B50:J50"/>
    <mergeCell ref="C51:J51"/>
    <mergeCell ref="B52:J52"/>
    <mergeCell ref="C53:J53"/>
    <mergeCell ref="B54:J54"/>
    <mergeCell ref="C55:J55"/>
    <mergeCell ref="B56:J56"/>
    <mergeCell ref="B57:J57"/>
    <mergeCell ref="C58:J58"/>
  </mergeCells>
  <printOptions horizontalCentered="1"/>
  <pageMargins left="0.23622047244094499" right="0.15748031496063" top="0.35433070866141703" bottom="0.69" header="0.38" footer="0.23622047244094499"/>
  <pageSetup paperSize="9" scale="85" orientation="portrait" errors="blank"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F0"/>
  </sheetPr>
  <dimension ref="A1:P170"/>
  <sheetViews>
    <sheetView defaultGridColor="0" view="pageBreakPreview" colorId="22" zoomScale="115" zoomScaleSheetLayoutView="115" workbookViewId="0">
      <selection activeCell="J21" sqref="J21"/>
    </sheetView>
  </sheetViews>
  <sheetFormatPr defaultRowHeight="12.75"/>
  <cols>
    <col min="1" max="1" width="5" style="110" customWidth="1"/>
    <col min="2" max="2" width="16.28515625" style="110" customWidth="1"/>
    <col min="3" max="3" width="6.7109375" style="110" customWidth="1"/>
    <col min="4" max="4" width="8.140625" style="110" customWidth="1"/>
    <col min="5" max="5" width="3.7109375" style="110" customWidth="1"/>
    <col min="6" max="6" width="7.5703125" style="130" customWidth="1"/>
    <col min="7" max="7" width="3.5703125" style="131" customWidth="1"/>
    <col min="8" max="8" width="11.7109375" style="295" customWidth="1"/>
    <col min="9" max="11" width="9.140625" style="296" customWidth="1"/>
    <col min="12" max="14" width="11.140625" style="296" customWidth="1"/>
    <col min="15" max="15" width="7.85546875" style="295" customWidth="1"/>
    <col min="16" max="16" width="9.7109375" style="110" bestFit="1" customWidth="1"/>
    <col min="17" max="260" width="9.140625" style="110"/>
    <col min="261" max="261" width="5" style="110" customWidth="1"/>
    <col min="262" max="262" width="21.85546875" style="110" customWidth="1"/>
    <col min="263" max="263" width="6.7109375" style="110" customWidth="1"/>
    <col min="264" max="264" width="9.5703125" style="110" customWidth="1"/>
    <col min="265" max="265" width="3.7109375" style="110" customWidth="1"/>
    <col min="266" max="266" width="18" style="110" customWidth="1"/>
    <col min="267" max="267" width="3.5703125" style="110" customWidth="1"/>
    <col min="268" max="268" width="11.7109375" style="110" customWidth="1"/>
    <col min="269" max="269" width="10.7109375" style="110" customWidth="1"/>
    <col min="270" max="270" width="11.140625" style="110" customWidth="1"/>
    <col min="271" max="271" width="10.5703125" style="110" customWidth="1"/>
    <col min="272" max="272" width="9.7109375" style="110" bestFit="1" customWidth="1"/>
    <col min="273" max="516" width="9.140625" style="110"/>
    <col min="517" max="517" width="5" style="110" customWidth="1"/>
    <col min="518" max="518" width="21.85546875" style="110" customWidth="1"/>
    <col min="519" max="519" width="6.7109375" style="110" customWidth="1"/>
    <col min="520" max="520" width="9.5703125" style="110" customWidth="1"/>
    <col min="521" max="521" width="3.7109375" style="110" customWidth="1"/>
    <col min="522" max="522" width="18" style="110" customWidth="1"/>
    <col min="523" max="523" width="3.5703125" style="110" customWidth="1"/>
    <col min="524" max="524" width="11.7109375" style="110" customWidth="1"/>
    <col min="525" max="525" width="10.7109375" style="110" customWidth="1"/>
    <col min="526" max="526" width="11.140625" style="110" customWidth="1"/>
    <col min="527" max="527" width="10.5703125" style="110" customWidth="1"/>
    <col min="528" max="528" width="9.7109375" style="110" bestFit="1" customWidth="1"/>
    <col min="529" max="772" width="9.140625" style="110"/>
    <col min="773" max="773" width="5" style="110" customWidth="1"/>
    <col min="774" max="774" width="21.85546875" style="110" customWidth="1"/>
    <col min="775" max="775" width="6.7109375" style="110" customWidth="1"/>
    <col min="776" max="776" width="9.5703125" style="110" customWidth="1"/>
    <col min="777" max="777" width="3.7109375" style="110" customWidth="1"/>
    <col min="778" max="778" width="18" style="110" customWidth="1"/>
    <col min="779" max="779" width="3.5703125" style="110" customWidth="1"/>
    <col min="780" max="780" width="11.7109375" style="110" customWidth="1"/>
    <col min="781" max="781" width="10.7109375" style="110" customWidth="1"/>
    <col min="782" max="782" width="11.140625" style="110" customWidth="1"/>
    <col min="783" max="783" width="10.5703125" style="110" customWidth="1"/>
    <col min="784" max="784" width="9.7109375" style="110" bestFit="1" customWidth="1"/>
    <col min="785" max="1028" width="9.140625" style="110"/>
    <col min="1029" max="1029" width="5" style="110" customWidth="1"/>
    <col min="1030" max="1030" width="21.85546875" style="110" customWidth="1"/>
    <col min="1031" max="1031" width="6.7109375" style="110" customWidth="1"/>
    <col min="1032" max="1032" width="9.5703125" style="110" customWidth="1"/>
    <col min="1033" max="1033" width="3.7109375" style="110" customWidth="1"/>
    <col min="1034" max="1034" width="18" style="110" customWidth="1"/>
    <col min="1035" max="1035" width="3.5703125" style="110" customWidth="1"/>
    <col min="1036" max="1036" width="11.7109375" style="110" customWidth="1"/>
    <col min="1037" max="1037" width="10.7109375" style="110" customWidth="1"/>
    <col min="1038" max="1038" width="11.140625" style="110" customWidth="1"/>
    <col min="1039" max="1039" width="10.5703125" style="110" customWidth="1"/>
    <col min="1040" max="1040" width="9.7109375" style="110" bestFit="1" customWidth="1"/>
    <col min="1041" max="1284" width="9.140625" style="110"/>
    <col min="1285" max="1285" width="5" style="110" customWidth="1"/>
    <col min="1286" max="1286" width="21.85546875" style="110" customWidth="1"/>
    <col min="1287" max="1287" width="6.7109375" style="110" customWidth="1"/>
    <col min="1288" max="1288" width="9.5703125" style="110" customWidth="1"/>
    <col min="1289" max="1289" width="3.7109375" style="110" customWidth="1"/>
    <col min="1290" max="1290" width="18" style="110" customWidth="1"/>
    <col min="1291" max="1291" width="3.5703125" style="110" customWidth="1"/>
    <col min="1292" max="1292" width="11.7109375" style="110" customWidth="1"/>
    <col min="1293" max="1293" width="10.7109375" style="110" customWidth="1"/>
    <col min="1294" max="1294" width="11.140625" style="110" customWidth="1"/>
    <col min="1295" max="1295" width="10.5703125" style="110" customWidth="1"/>
    <col min="1296" max="1296" width="9.7109375" style="110" bestFit="1" customWidth="1"/>
    <col min="1297" max="1540" width="9.140625" style="110"/>
    <col min="1541" max="1541" width="5" style="110" customWidth="1"/>
    <col min="1542" max="1542" width="21.85546875" style="110" customWidth="1"/>
    <col min="1543" max="1543" width="6.7109375" style="110" customWidth="1"/>
    <col min="1544" max="1544" width="9.5703125" style="110" customWidth="1"/>
    <col min="1545" max="1545" width="3.7109375" style="110" customWidth="1"/>
    <col min="1546" max="1546" width="18" style="110" customWidth="1"/>
    <col min="1547" max="1547" width="3.5703125" style="110" customWidth="1"/>
    <col min="1548" max="1548" width="11.7109375" style="110" customWidth="1"/>
    <col min="1549" max="1549" width="10.7109375" style="110" customWidth="1"/>
    <col min="1550" max="1550" width="11.140625" style="110" customWidth="1"/>
    <col min="1551" max="1551" width="10.5703125" style="110" customWidth="1"/>
    <col min="1552" max="1552" width="9.7109375" style="110" bestFit="1" customWidth="1"/>
    <col min="1553" max="1796" width="9.140625" style="110"/>
    <col min="1797" max="1797" width="5" style="110" customWidth="1"/>
    <col min="1798" max="1798" width="21.85546875" style="110" customWidth="1"/>
    <col min="1799" max="1799" width="6.7109375" style="110" customWidth="1"/>
    <col min="1800" max="1800" width="9.5703125" style="110" customWidth="1"/>
    <col min="1801" max="1801" width="3.7109375" style="110" customWidth="1"/>
    <col min="1802" max="1802" width="18" style="110" customWidth="1"/>
    <col min="1803" max="1803" width="3.5703125" style="110" customWidth="1"/>
    <col min="1804" max="1804" width="11.7109375" style="110" customWidth="1"/>
    <col min="1805" max="1805" width="10.7109375" style="110" customWidth="1"/>
    <col min="1806" max="1806" width="11.140625" style="110" customWidth="1"/>
    <col min="1807" max="1807" width="10.5703125" style="110" customWidth="1"/>
    <col min="1808" max="1808" width="9.7109375" style="110" bestFit="1" customWidth="1"/>
    <col min="1809" max="2052" width="9.140625" style="110"/>
    <col min="2053" max="2053" width="5" style="110" customWidth="1"/>
    <col min="2054" max="2054" width="21.85546875" style="110" customWidth="1"/>
    <col min="2055" max="2055" width="6.7109375" style="110" customWidth="1"/>
    <col min="2056" max="2056" width="9.5703125" style="110" customWidth="1"/>
    <col min="2057" max="2057" width="3.7109375" style="110" customWidth="1"/>
    <col min="2058" max="2058" width="18" style="110" customWidth="1"/>
    <col min="2059" max="2059" width="3.5703125" style="110" customWidth="1"/>
    <col min="2060" max="2060" width="11.7109375" style="110" customWidth="1"/>
    <col min="2061" max="2061" width="10.7109375" style="110" customWidth="1"/>
    <col min="2062" max="2062" width="11.140625" style="110" customWidth="1"/>
    <col min="2063" max="2063" width="10.5703125" style="110" customWidth="1"/>
    <col min="2064" max="2064" width="9.7109375" style="110" bestFit="1" customWidth="1"/>
    <col min="2065" max="2308" width="9.140625" style="110"/>
    <col min="2309" max="2309" width="5" style="110" customWidth="1"/>
    <col min="2310" max="2310" width="21.85546875" style="110" customWidth="1"/>
    <col min="2311" max="2311" width="6.7109375" style="110" customWidth="1"/>
    <col min="2312" max="2312" width="9.5703125" style="110" customWidth="1"/>
    <col min="2313" max="2313" width="3.7109375" style="110" customWidth="1"/>
    <col min="2314" max="2314" width="18" style="110" customWidth="1"/>
    <col min="2315" max="2315" width="3.5703125" style="110" customWidth="1"/>
    <col min="2316" max="2316" width="11.7109375" style="110" customWidth="1"/>
    <col min="2317" max="2317" width="10.7109375" style="110" customWidth="1"/>
    <col min="2318" max="2318" width="11.140625" style="110" customWidth="1"/>
    <col min="2319" max="2319" width="10.5703125" style="110" customWidth="1"/>
    <col min="2320" max="2320" width="9.7109375" style="110" bestFit="1" customWidth="1"/>
    <col min="2321" max="2564" width="9.140625" style="110"/>
    <col min="2565" max="2565" width="5" style="110" customWidth="1"/>
    <col min="2566" max="2566" width="21.85546875" style="110" customWidth="1"/>
    <col min="2567" max="2567" width="6.7109375" style="110" customWidth="1"/>
    <col min="2568" max="2568" width="9.5703125" style="110" customWidth="1"/>
    <col min="2569" max="2569" width="3.7109375" style="110" customWidth="1"/>
    <col min="2570" max="2570" width="18" style="110" customWidth="1"/>
    <col min="2571" max="2571" width="3.5703125" style="110" customWidth="1"/>
    <col min="2572" max="2572" width="11.7109375" style="110" customWidth="1"/>
    <col min="2573" max="2573" width="10.7109375" style="110" customWidth="1"/>
    <col min="2574" max="2574" width="11.140625" style="110" customWidth="1"/>
    <col min="2575" max="2575" width="10.5703125" style="110" customWidth="1"/>
    <col min="2576" max="2576" width="9.7109375" style="110" bestFit="1" customWidth="1"/>
    <col min="2577" max="2820" width="9.140625" style="110"/>
    <col min="2821" max="2821" width="5" style="110" customWidth="1"/>
    <col min="2822" max="2822" width="21.85546875" style="110" customWidth="1"/>
    <col min="2823" max="2823" width="6.7109375" style="110" customWidth="1"/>
    <col min="2824" max="2824" width="9.5703125" style="110" customWidth="1"/>
    <col min="2825" max="2825" width="3.7109375" style="110" customWidth="1"/>
    <col min="2826" max="2826" width="18" style="110" customWidth="1"/>
    <col min="2827" max="2827" width="3.5703125" style="110" customWidth="1"/>
    <col min="2828" max="2828" width="11.7109375" style="110" customWidth="1"/>
    <col min="2829" max="2829" width="10.7109375" style="110" customWidth="1"/>
    <col min="2830" max="2830" width="11.140625" style="110" customWidth="1"/>
    <col min="2831" max="2831" width="10.5703125" style="110" customWidth="1"/>
    <col min="2832" max="2832" width="9.7109375" style="110" bestFit="1" customWidth="1"/>
    <col min="2833" max="3076" width="9.140625" style="110"/>
    <col min="3077" max="3077" width="5" style="110" customWidth="1"/>
    <col min="3078" max="3078" width="21.85546875" style="110" customWidth="1"/>
    <col min="3079" max="3079" width="6.7109375" style="110" customWidth="1"/>
    <col min="3080" max="3080" width="9.5703125" style="110" customWidth="1"/>
    <col min="3081" max="3081" width="3.7109375" style="110" customWidth="1"/>
    <col min="3082" max="3082" width="18" style="110" customWidth="1"/>
    <col min="3083" max="3083" width="3.5703125" style="110" customWidth="1"/>
    <col min="3084" max="3084" width="11.7109375" style="110" customWidth="1"/>
    <col min="3085" max="3085" width="10.7109375" style="110" customWidth="1"/>
    <col min="3086" max="3086" width="11.140625" style="110" customWidth="1"/>
    <col min="3087" max="3087" width="10.5703125" style="110" customWidth="1"/>
    <col min="3088" max="3088" width="9.7109375" style="110" bestFit="1" customWidth="1"/>
    <col min="3089" max="3332" width="9.140625" style="110"/>
    <col min="3333" max="3333" width="5" style="110" customWidth="1"/>
    <col min="3334" max="3334" width="21.85546875" style="110" customWidth="1"/>
    <col min="3335" max="3335" width="6.7109375" style="110" customWidth="1"/>
    <col min="3336" max="3336" width="9.5703125" style="110" customWidth="1"/>
    <col min="3337" max="3337" width="3.7109375" style="110" customWidth="1"/>
    <col min="3338" max="3338" width="18" style="110" customWidth="1"/>
    <col min="3339" max="3339" width="3.5703125" style="110" customWidth="1"/>
    <col min="3340" max="3340" width="11.7109375" style="110" customWidth="1"/>
    <col min="3341" max="3341" width="10.7109375" style="110" customWidth="1"/>
    <col min="3342" max="3342" width="11.140625" style="110" customWidth="1"/>
    <col min="3343" max="3343" width="10.5703125" style="110" customWidth="1"/>
    <col min="3344" max="3344" width="9.7109375" style="110" bestFit="1" customWidth="1"/>
    <col min="3345" max="3588" width="9.140625" style="110"/>
    <col min="3589" max="3589" width="5" style="110" customWidth="1"/>
    <col min="3590" max="3590" width="21.85546875" style="110" customWidth="1"/>
    <col min="3591" max="3591" width="6.7109375" style="110" customWidth="1"/>
    <col min="3592" max="3592" width="9.5703125" style="110" customWidth="1"/>
    <col min="3593" max="3593" width="3.7109375" style="110" customWidth="1"/>
    <col min="3594" max="3594" width="18" style="110" customWidth="1"/>
    <col min="3595" max="3595" width="3.5703125" style="110" customWidth="1"/>
    <col min="3596" max="3596" width="11.7109375" style="110" customWidth="1"/>
    <col min="3597" max="3597" width="10.7109375" style="110" customWidth="1"/>
    <col min="3598" max="3598" width="11.140625" style="110" customWidth="1"/>
    <col min="3599" max="3599" width="10.5703125" style="110" customWidth="1"/>
    <col min="3600" max="3600" width="9.7109375" style="110" bestFit="1" customWidth="1"/>
    <col min="3601" max="3844" width="9.140625" style="110"/>
    <col min="3845" max="3845" width="5" style="110" customWidth="1"/>
    <col min="3846" max="3846" width="21.85546875" style="110" customWidth="1"/>
    <col min="3847" max="3847" width="6.7109375" style="110" customWidth="1"/>
    <col min="3848" max="3848" width="9.5703125" style="110" customWidth="1"/>
    <col min="3849" max="3849" width="3.7109375" style="110" customWidth="1"/>
    <col min="3850" max="3850" width="18" style="110" customWidth="1"/>
    <col min="3851" max="3851" width="3.5703125" style="110" customWidth="1"/>
    <col min="3852" max="3852" width="11.7109375" style="110" customWidth="1"/>
    <col min="3853" max="3853" width="10.7109375" style="110" customWidth="1"/>
    <col min="3854" max="3854" width="11.140625" style="110" customWidth="1"/>
    <col min="3855" max="3855" width="10.5703125" style="110" customWidth="1"/>
    <col min="3856" max="3856" width="9.7109375" style="110" bestFit="1" customWidth="1"/>
    <col min="3857" max="4100" width="9.140625" style="110"/>
    <col min="4101" max="4101" width="5" style="110" customWidth="1"/>
    <col min="4102" max="4102" width="21.85546875" style="110" customWidth="1"/>
    <col min="4103" max="4103" width="6.7109375" style="110" customWidth="1"/>
    <col min="4104" max="4104" width="9.5703125" style="110" customWidth="1"/>
    <col min="4105" max="4105" width="3.7109375" style="110" customWidth="1"/>
    <col min="4106" max="4106" width="18" style="110" customWidth="1"/>
    <col min="4107" max="4107" width="3.5703125" style="110" customWidth="1"/>
    <col min="4108" max="4108" width="11.7109375" style="110" customWidth="1"/>
    <col min="4109" max="4109" width="10.7109375" style="110" customWidth="1"/>
    <col min="4110" max="4110" width="11.140625" style="110" customWidth="1"/>
    <col min="4111" max="4111" width="10.5703125" style="110" customWidth="1"/>
    <col min="4112" max="4112" width="9.7109375" style="110" bestFit="1" customWidth="1"/>
    <col min="4113" max="4356" width="9.140625" style="110"/>
    <col min="4357" max="4357" width="5" style="110" customWidth="1"/>
    <col min="4358" max="4358" width="21.85546875" style="110" customWidth="1"/>
    <col min="4359" max="4359" width="6.7109375" style="110" customWidth="1"/>
    <col min="4360" max="4360" width="9.5703125" style="110" customWidth="1"/>
    <col min="4361" max="4361" width="3.7109375" style="110" customWidth="1"/>
    <col min="4362" max="4362" width="18" style="110" customWidth="1"/>
    <col min="4363" max="4363" width="3.5703125" style="110" customWidth="1"/>
    <col min="4364" max="4364" width="11.7109375" style="110" customWidth="1"/>
    <col min="4365" max="4365" width="10.7109375" style="110" customWidth="1"/>
    <col min="4366" max="4366" width="11.140625" style="110" customWidth="1"/>
    <col min="4367" max="4367" width="10.5703125" style="110" customWidth="1"/>
    <col min="4368" max="4368" width="9.7109375" style="110" bestFit="1" customWidth="1"/>
    <col min="4369" max="4612" width="9.140625" style="110"/>
    <col min="4613" max="4613" width="5" style="110" customWidth="1"/>
    <col min="4614" max="4614" width="21.85546875" style="110" customWidth="1"/>
    <col min="4615" max="4615" width="6.7109375" style="110" customWidth="1"/>
    <col min="4616" max="4616" width="9.5703125" style="110" customWidth="1"/>
    <col min="4617" max="4617" width="3.7109375" style="110" customWidth="1"/>
    <col min="4618" max="4618" width="18" style="110" customWidth="1"/>
    <col min="4619" max="4619" width="3.5703125" style="110" customWidth="1"/>
    <col min="4620" max="4620" width="11.7109375" style="110" customWidth="1"/>
    <col min="4621" max="4621" width="10.7109375" style="110" customWidth="1"/>
    <col min="4622" max="4622" width="11.140625" style="110" customWidth="1"/>
    <col min="4623" max="4623" width="10.5703125" style="110" customWidth="1"/>
    <col min="4624" max="4624" width="9.7109375" style="110" bestFit="1" customWidth="1"/>
    <col min="4625" max="4868" width="9.140625" style="110"/>
    <col min="4869" max="4869" width="5" style="110" customWidth="1"/>
    <col min="4870" max="4870" width="21.85546875" style="110" customWidth="1"/>
    <col min="4871" max="4871" width="6.7109375" style="110" customWidth="1"/>
    <col min="4872" max="4872" width="9.5703125" style="110" customWidth="1"/>
    <col min="4873" max="4873" width="3.7109375" style="110" customWidth="1"/>
    <col min="4874" max="4874" width="18" style="110" customWidth="1"/>
    <col min="4875" max="4875" width="3.5703125" style="110" customWidth="1"/>
    <col min="4876" max="4876" width="11.7109375" style="110" customWidth="1"/>
    <col min="4877" max="4877" width="10.7109375" style="110" customWidth="1"/>
    <col min="4878" max="4878" width="11.140625" style="110" customWidth="1"/>
    <col min="4879" max="4879" width="10.5703125" style="110" customWidth="1"/>
    <col min="4880" max="4880" width="9.7109375" style="110" bestFit="1" customWidth="1"/>
    <col min="4881" max="5124" width="9.140625" style="110"/>
    <col min="5125" max="5125" width="5" style="110" customWidth="1"/>
    <col min="5126" max="5126" width="21.85546875" style="110" customWidth="1"/>
    <col min="5127" max="5127" width="6.7109375" style="110" customWidth="1"/>
    <col min="5128" max="5128" width="9.5703125" style="110" customWidth="1"/>
    <col min="5129" max="5129" width="3.7109375" style="110" customWidth="1"/>
    <col min="5130" max="5130" width="18" style="110" customWidth="1"/>
    <col min="5131" max="5131" width="3.5703125" style="110" customWidth="1"/>
    <col min="5132" max="5132" width="11.7109375" style="110" customWidth="1"/>
    <col min="5133" max="5133" width="10.7109375" style="110" customWidth="1"/>
    <col min="5134" max="5134" width="11.140625" style="110" customWidth="1"/>
    <col min="5135" max="5135" width="10.5703125" style="110" customWidth="1"/>
    <col min="5136" max="5136" width="9.7109375" style="110" bestFit="1" customWidth="1"/>
    <col min="5137" max="5380" width="9.140625" style="110"/>
    <col min="5381" max="5381" width="5" style="110" customWidth="1"/>
    <col min="5382" max="5382" width="21.85546875" style="110" customWidth="1"/>
    <col min="5383" max="5383" width="6.7109375" style="110" customWidth="1"/>
    <col min="5384" max="5384" width="9.5703125" style="110" customWidth="1"/>
    <col min="5385" max="5385" width="3.7109375" style="110" customWidth="1"/>
    <col min="5386" max="5386" width="18" style="110" customWidth="1"/>
    <col min="5387" max="5387" width="3.5703125" style="110" customWidth="1"/>
    <col min="5388" max="5388" width="11.7109375" style="110" customWidth="1"/>
    <col min="5389" max="5389" width="10.7109375" style="110" customWidth="1"/>
    <col min="5390" max="5390" width="11.140625" style="110" customWidth="1"/>
    <col min="5391" max="5391" width="10.5703125" style="110" customWidth="1"/>
    <col min="5392" max="5392" width="9.7109375" style="110" bestFit="1" customWidth="1"/>
    <col min="5393" max="5636" width="9.140625" style="110"/>
    <col min="5637" max="5637" width="5" style="110" customWidth="1"/>
    <col min="5638" max="5638" width="21.85546875" style="110" customWidth="1"/>
    <col min="5639" max="5639" width="6.7109375" style="110" customWidth="1"/>
    <col min="5640" max="5640" width="9.5703125" style="110" customWidth="1"/>
    <col min="5641" max="5641" width="3.7109375" style="110" customWidth="1"/>
    <col min="5642" max="5642" width="18" style="110" customWidth="1"/>
    <col min="5643" max="5643" width="3.5703125" style="110" customWidth="1"/>
    <col min="5644" max="5644" width="11.7109375" style="110" customWidth="1"/>
    <col min="5645" max="5645" width="10.7109375" style="110" customWidth="1"/>
    <col min="5646" max="5646" width="11.140625" style="110" customWidth="1"/>
    <col min="5647" max="5647" width="10.5703125" style="110" customWidth="1"/>
    <col min="5648" max="5648" width="9.7109375" style="110" bestFit="1" customWidth="1"/>
    <col min="5649" max="5892" width="9.140625" style="110"/>
    <col min="5893" max="5893" width="5" style="110" customWidth="1"/>
    <col min="5894" max="5894" width="21.85546875" style="110" customWidth="1"/>
    <col min="5895" max="5895" width="6.7109375" style="110" customWidth="1"/>
    <col min="5896" max="5896" width="9.5703125" style="110" customWidth="1"/>
    <col min="5897" max="5897" width="3.7109375" style="110" customWidth="1"/>
    <col min="5898" max="5898" width="18" style="110" customWidth="1"/>
    <col min="5899" max="5899" width="3.5703125" style="110" customWidth="1"/>
    <col min="5900" max="5900" width="11.7109375" style="110" customWidth="1"/>
    <col min="5901" max="5901" width="10.7109375" style="110" customWidth="1"/>
    <col min="5902" max="5902" width="11.140625" style="110" customWidth="1"/>
    <col min="5903" max="5903" width="10.5703125" style="110" customWidth="1"/>
    <col min="5904" max="5904" width="9.7109375" style="110" bestFit="1" customWidth="1"/>
    <col min="5905" max="6148" width="9.140625" style="110"/>
    <col min="6149" max="6149" width="5" style="110" customWidth="1"/>
    <col min="6150" max="6150" width="21.85546875" style="110" customWidth="1"/>
    <col min="6151" max="6151" width="6.7109375" style="110" customWidth="1"/>
    <col min="6152" max="6152" width="9.5703125" style="110" customWidth="1"/>
    <col min="6153" max="6153" width="3.7109375" style="110" customWidth="1"/>
    <col min="6154" max="6154" width="18" style="110" customWidth="1"/>
    <col min="6155" max="6155" width="3.5703125" style="110" customWidth="1"/>
    <col min="6156" max="6156" width="11.7109375" style="110" customWidth="1"/>
    <col min="6157" max="6157" width="10.7109375" style="110" customWidth="1"/>
    <col min="6158" max="6158" width="11.140625" style="110" customWidth="1"/>
    <col min="6159" max="6159" width="10.5703125" style="110" customWidth="1"/>
    <col min="6160" max="6160" width="9.7109375" style="110" bestFit="1" customWidth="1"/>
    <col min="6161" max="6404" width="9.140625" style="110"/>
    <col min="6405" max="6405" width="5" style="110" customWidth="1"/>
    <col min="6406" max="6406" width="21.85546875" style="110" customWidth="1"/>
    <col min="6407" max="6407" width="6.7109375" style="110" customWidth="1"/>
    <col min="6408" max="6408" width="9.5703125" style="110" customWidth="1"/>
    <col min="6409" max="6409" width="3.7109375" style="110" customWidth="1"/>
    <col min="6410" max="6410" width="18" style="110" customWidth="1"/>
    <col min="6411" max="6411" width="3.5703125" style="110" customWidth="1"/>
    <col min="6412" max="6412" width="11.7109375" style="110" customWidth="1"/>
    <col min="6413" max="6413" width="10.7109375" style="110" customWidth="1"/>
    <col min="6414" max="6414" width="11.140625" style="110" customWidth="1"/>
    <col min="6415" max="6415" width="10.5703125" style="110" customWidth="1"/>
    <col min="6416" max="6416" width="9.7109375" style="110" bestFit="1" customWidth="1"/>
    <col min="6417" max="6660" width="9.140625" style="110"/>
    <col min="6661" max="6661" width="5" style="110" customWidth="1"/>
    <col min="6662" max="6662" width="21.85546875" style="110" customWidth="1"/>
    <col min="6663" max="6663" width="6.7109375" style="110" customWidth="1"/>
    <col min="6664" max="6664" width="9.5703125" style="110" customWidth="1"/>
    <col min="6665" max="6665" width="3.7109375" style="110" customWidth="1"/>
    <col min="6666" max="6666" width="18" style="110" customWidth="1"/>
    <col min="6667" max="6667" width="3.5703125" style="110" customWidth="1"/>
    <col min="6668" max="6668" width="11.7109375" style="110" customWidth="1"/>
    <col min="6669" max="6669" width="10.7109375" style="110" customWidth="1"/>
    <col min="6670" max="6670" width="11.140625" style="110" customWidth="1"/>
    <col min="6671" max="6671" width="10.5703125" style="110" customWidth="1"/>
    <col min="6672" max="6672" width="9.7109375" style="110" bestFit="1" customWidth="1"/>
    <col min="6673" max="6916" width="9.140625" style="110"/>
    <col min="6917" max="6917" width="5" style="110" customWidth="1"/>
    <col min="6918" max="6918" width="21.85546875" style="110" customWidth="1"/>
    <col min="6919" max="6919" width="6.7109375" style="110" customWidth="1"/>
    <col min="6920" max="6920" width="9.5703125" style="110" customWidth="1"/>
    <col min="6921" max="6921" width="3.7109375" style="110" customWidth="1"/>
    <col min="6922" max="6922" width="18" style="110" customWidth="1"/>
    <col min="6923" max="6923" width="3.5703125" style="110" customWidth="1"/>
    <col min="6924" max="6924" width="11.7109375" style="110" customWidth="1"/>
    <col min="6925" max="6925" width="10.7109375" style="110" customWidth="1"/>
    <col min="6926" max="6926" width="11.140625" style="110" customWidth="1"/>
    <col min="6927" max="6927" width="10.5703125" style="110" customWidth="1"/>
    <col min="6928" max="6928" width="9.7109375" style="110" bestFit="1" customWidth="1"/>
    <col min="6929" max="7172" width="9.140625" style="110"/>
    <col min="7173" max="7173" width="5" style="110" customWidth="1"/>
    <col min="7174" max="7174" width="21.85546875" style="110" customWidth="1"/>
    <col min="7175" max="7175" width="6.7109375" style="110" customWidth="1"/>
    <col min="7176" max="7176" width="9.5703125" style="110" customWidth="1"/>
    <col min="7177" max="7177" width="3.7109375" style="110" customWidth="1"/>
    <col min="7178" max="7178" width="18" style="110" customWidth="1"/>
    <col min="7179" max="7179" width="3.5703125" style="110" customWidth="1"/>
    <col min="7180" max="7180" width="11.7109375" style="110" customWidth="1"/>
    <col min="7181" max="7181" width="10.7109375" style="110" customWidth="1"/>
    <col min="7182" max="7182" width="11.140625" style="110" customWidth="1"/>
    <col min="7183" max="7183" width="10.5703125" style="110" customWidth="1"/>
    <col min="7184" max="7184" width="9.7109375" style="110" bestFit="1" customWidth="1"/>
    <col min="7185" max="7428" width="9.140625" style="110"/>
    <col min="7429" max="7429" width="5" style="110" customWidth="1"/>
    <col min="7430" max="7430" width="21.85546875" style="110" customWidth="1"/>
    <col min="7431" max="7431" width="6.7109375" style="110" customWidth="1"/>
    <col min="7432" max="7432" width="9.5703125" style="110" customWidth="1"/>
    <col min="7433" max="7433" width="3.7109375" style="110" customWidth="1"/>
    <col min="7434" max="7434" width="18" style="110" customWidth="1"/>
    <col min="7435" max="7435" width="3.5703125" style="110" customWidth="1"/>
    <col min="7436" max="7436" width="11.7109375" style="110" customWidth="1"/>
    <col min="7437" max="7437" width="10.7109375" style="110" customWidth="1"/>
    <col min="7438" max="7438" width="11.140625" style="110" customWidth="1"/>
    <col min="7439" max="7439" width="10.5703125" style="110" customWidth="1"/>
    <col min="7440" max="7440" width="9.7109375" style="110" bestFit="1" customWidth="1"/>
    <col min="7441" max="7684" width="9.140625" style="110"/>
    <col min="7685" max="7685" width="5" style="110" customWidth="1"/>
    <col min="7686" max="7686" width="21.85546875" style="110" customWidth="1"/>
    <col min="7687" max="7687" width="6.7109375" style="110" customWidth="1"/>
    <col min="7688" max="7688" width="9.5703125" style="110" customWidth="1"/>
    <col min="7689" max="7689" width="3.7109375" style="110" customWidth="1"/>
    <col min="7690" max="7690" width="18" style="110" customWidth="1"/>
    <col min="7691" max="7691" width="3.5703125" style="110" customWidth="1"/>
    <col min="7692" max="7692" width="11.7109375" style="110" customWidth="1"/>
    <col min="7693" max="7693" width="10.7109375" style="110" customWidth="1"/>
    <col min="7694" max="7694" width="11.140625" style="110" customWidth="1"/>
    <col min="7695" max="7695" width="10.5703125" style="110" customWidth="1"/>
    <col min="7696" max="7696" width="9.7109375" style="110" bestFit="1" customWidth="1"/>
    <col min="7697" max="7940" width="9.140625" style="110"/>
    <col min="7941" max="7941" width="5" style="110" customWidth="1"/>
    <col min="7942" max="7942" width="21.85546875" style="110" customWidth="1"/>
    <col min="7943" max="7943" width="6.7109375" style="110" customWidth="1"/>
    <col min="7944" max="7944" width="9.5703125" style="110" customWidth="1"/>
    <col min="7945" max="7945" width="3.7109375" style="110" customWidth="1"/>
    <col min="7946" max="7946" width="18" style="110" customWidth="1"/>
    <col min="7947" max="7947" width="3.5703125" style="110" customWidth="1"/>
    <col min="7948" max="7948" width="11.7109375" style="110" customWidth="1"/>
    <col min="7949" max="7949" width="10.7109375" style="110" customWidth="1"/>
    <col min="7950" max="7950" width="11.140625" style="110" customWidth="1"/>
    <col min="7951" max="7951" width="10.5703125" style="110" customWidth="1"/>
    <col min="7952" max="7952" width="9.7109375" style="110" bestFit="1" customWidth="1"/>
    <col min="7953" max="8196" width="9.140625" style="110"/>
    <col min="8197" max="8197" width="5" style="110" customWidth="1"/>
    <col min="8198" max="8198" width="21.85546875" style="110" customWidth="1"/>
    <col min="8199" max="8199" width="6.7109375" style="110" customWidth="1"/>
    <col min="8200" max="8200" width="9.5703125" style="110" customWidth="1"/>
    <col min="8201" max="8201" width="3.7109375" style="110" customWidth="1"/>
    <col min="8202" max="8202" width="18" style="110" customWidth="1"/>
    <col min="8203" max="8203" width="3.5703125" style="110" customWidth="1"/>
    <col min="8204" max="8204" width="11.7109375" style="110" customWidth="1"/>
    <col min="8205" max="8205" width="10.7109375" style="110" customWidth="1"/>
    <col min="8206" max="8206" width="11.140625" style="110" customWidth="1"/>
    <col min="8207" max="8207" width="10.5703125" style="110" customWidth="1"/>
    <col min="8208" max="8208" width="9.7109375" style="110" bestFit="1" customWidth="1"/>
    <col min="8209" max="8452" width="9.140625" style="110"/>
    <col min="8453" max="8453" width="5" style="110" customWidth="1"/>
    <col min="8454" max="8454" width="21.85546875" style="110" customWidth="1"/>
    <col min="8455" max="8455" width="6.7109375" style="110" customWidth="1"/>
    <col min="8456" max="8456" width="9.5703125" style="110" customWidth="1"/>
    <col min="8457" max="8457" width="3.7109375" style="110" customWidth="1"/>
    <col min="8458" max="8458" width="18" style="110" customWidth="1"/>
    <col min="8459" max="8459" width="3.5703125" style="110" customWidth="1"/>
    <col min="8460" max="8460" width="11.7109375" style="110" customWidth="1"/>
    <col min="8461" max="8461" width="10.7109375" style="110" customWidth="1"/>
    <col min="8462" max="8462" width="11.140625" style="110" customWidth="1"/>
    <col min="8463" max="8463" width="10.5703125" style="110" customWidth="1"/>
    <col min="8464" max="8464" width="9.7109375" style="110" bestFit="1" customWidth="1"/>
    <col min="8465" max="8708" width="9.140625" style="110"/>
    <col min="8709" max="8709" width="5" style="110" customWidth="1"/>
    <col min="8710" max="8710" width="21.85546875" style="110" customWidth="1"/>
    <col min="8711" max="8711" width="6.7109375" style="110" customWidth="1"/>
    <col min="8712" max="8712" width="9.5703125" style="110" customWidth="1"/>
    <col min="8713" max="8713" width="3.7109375" style="110" customWidth="1"/>
    <col min="8714" max="8714" width="18" style="110" customWidth="1"/>
    <col min="8715" max="8715" width="3.5703125" style="110" customWidth="1"/>
    <col min="8716" max="8716" width="11.7109375" style="110" customWidth="1"/>
    <col min="8717" max="8717" width="10.7109375" style="110" customWidth="1"/>
    <col min="8718" max="8718" width="11.140625" style="110" customWidth="1"/>
    <col min="8719" max="8719" width="10.5703125" style="110" customWidth="1"/>
    <col min="8720" max="8720" width="9.7109375" style="110" bestFit="1" customWidth="1"/>
    <col min="8721" max="8964" width="9.140625" style="110"/>
    <col min="8965" max="8965" width="5" style="110" customWidth="1"/>
    <col min="8966" max="8966" width="21.85546875" style="110" customWidth="1"/>
    <col min="8967" max="8967" width="6.7109375" style="110" customWidth="1"/>
    <col min="8968" max="8968" width="9.5703125" style="110" customWidth="1"/>
    <col min="8969" max="8969" width="3.7109375" style="110" customWidth="1"/>
    <col min="8970" max="8970" width="18" style="110" customWidth="1"/>
    <col min="8971" max="8971" width="3.5703125" style="110" customWidth="1"/>
    <col min="8972" max="8972" width="11.7109375" style="110" customWidth="1"/>
    <col min="8973" max="8973" width="10.7109375" style="110" customWidth="1"/>
    <col min="8974" max="8974" width="11.140625" style="110" customWidth="1"/>
    <col min="8975" max="8975" width="10.5703125" style="110" customWidth="1"/>
    <col min="8976" max="8976" width="9.7109375" style="110" bestFit="1" customWidth="1"/>
    <col min="8977" max="9220" width="9.140625" style="110"/>
    <col min="9221" max="9221" width="5" style="110" customWidth="1"/>
    <col min="9222" max="9222" width="21.85546875" style="110" customWidth="1"/>
    <col min="9223" max="9223" width="6.7109375" style="110" customWidth="1"/>
    <col min="9224" max="9224" width="9.5703125" style="110" customWidth="1"/>
    <col min="9225" max="9225" width="3.7109375" style="110" customWidth="1"/>
    <col min="9226" max="9226" width="18" style="110" customWidth="1"/>
    <col min="9227" max="9227" width="3.5703125" style="110" customWidth="1"/>
    <col min="9228" max="9228" width="11.7109375" style="110" customWidth="1"/>
    <col min="9229" max="9229" width="10.7109375" style="110" customWidth="1"/>
    <col min="9230" max="9230" width="11.140625" style="110" customWidth="1"/>
    <col min="9231" max="9231" width="10.5703125" style="110" customWidth="1"/>
    <col min="9232" max="9232" width="9.7109375" style="110" bestFit="1" customWidth="1"/>
    <col min="9233" max="9476" width="9.140625" style="110"/>
    <col min="9477" max="9477" width="5" style="110" customWidth="1"/>
    <col min="9478" max="9478" width="21.85546875" style="110" customWidth="1"/>
    <col min="9479" max="9479" width="6.7109375" style="110" customWidth="1"/>
    <col min="9480" max="9480" width="9.5703125" style="110" customWidth="1"/>
    <col min="9481" max="9481" width="3.7109375" style="110" customWidth="1"/>
    <col min="9482" max="9482" width="18" style="110" customWidth="1"/>
    <col min="9483" max="9483" width="3.5703125" style="110" customWidth="1"/>
    <col min="9484" max="9484" width="11.7109375" style="110" customWidth="1"/>
    <col min="9485" max="9485" width="10.7109375" style="110" customWidth="1"/>
    <col min="9486" max="9486" width="11.140625" style="110" customWidth="1"/>
    <col min="9487" max="9487" width="10.5703125" style="110" customWidth="1"/>
    <col min="9488" max="9488" width="9.7109375" style="110" bestFit="1" customWidth="1"/>
    <col min="9489" max="9732" width="9.140625" style="110"/>
    <col min="9733" max="9733" width="5" style="110" customWidth="1"/>
    <col min="9734" max="9734" width="21.85546875" style="110" customWidth="1"/>
    <col min="9735" max="9735" width="6.7109375" style="110" customWidth="1"/>
    <col min="9736" max="9736" width="9.5703125" style="110" customWidth="1"/>
    <col min="9737" max="9737" width="3.7109375" style="110" customWidth="1"/>
    <col min="9738" max="9738" width="18" style="110" customWidth="1"/>
    <col min="9739" max="9739" width="3.5703125" style="110" customWidth="1"/>
    <col min="9740" max="9740" width="11.7109375" style="110" customWidth="1"/>
    <col min="9741" max="9741" width="10.7109375" style="110" customWidth="1"/>
    <col min="9742" max="9742" width="11.140625" style="110" customWidth="1"/>
    <col min="9743" max="9743" width="10.5703125" style="110" customWidth="1"/>
    <col min="9744" max="9744" width="9.7109375" style="110" bestFit="1" customWidth="1"/>
    <col min="9745" max="9988" width="9.140625" style="110"/>
    <col min="9989" max="9989" width="5" style="110" customWidth="1"/>
    <col min="9990" max="9990" width="21.85546875" style="110" customWidth="1"/>
    <col min="9991" max="9991" width="6.7109375" style="110" customWidth="1"/>
    <col min="9992" max="9992" width="9.5703125" style="110" customWidth="1"/>
    <col min="9993" max="9993" width="3.7109375" style="110" customWidth="1"/>
    <col min="9994" max="9994" width="18" style="110" customWidth="1"/>
    <col min="9995" max="9995" width="3.5703125" style="110" customWidth="1"/>
    <col min="9996" max="9996" width="11.7109375" style="110" customWidth="1"/>
    <col min="9997" max="9997" width="10.7109375" style="110" customWidth="1"/>
    <col min="9998" max="9998" width="11.140625" style="110" customWidth="1"/>
    <col min="9999" max="9999" width="10.5703125" style="110" customWidth="1"/>
    <col min="10000" max="10000" width="9.7109375" style="110" bestFit="1" customWidth="1"/>
    <col min="10001" max="10244" width="9.140625" style="110"/>
    <col min="10245" max="10245" width="5" style="110" customWidth="1"/>
    <col min="10246" max="10246" width="21.85546875" style="110" customWidth="1"/>
    <col min="10247" max="10247" width="6.7109375" style="110" customWidth="1"/>
    <col min="10248" max="10248" width="9.5703125" style="110" customWidth="1"/>
    <col min="10249" max="10249" width="3.7109375" style="110" customWidth="1"/>
    <col min="10250" max="10250" width="18" style="110" customWidth="1"/>
    <col min="10251" max="10251" width="3.5703125" style="110" customWidth="1"/>
    <col min="10252" max="10252" width="11.7109375" style="110" customWidth="1"/>
    <col min="10253" max="10253" width="10.7109375" style="110" customWidth="1"/>
    <col min="10254" max="10254" width="11.140625" style="110" customWidth="1"/>
    <col min="10255" max="10255" width="10.5703125" style="110" customWidth="1"/>
    <col min="10256" max="10256" width="9.7109375" style="110" bestFit="1" customWidth="1"/>
    <col min="10257" max="10500" width="9.140625" style="110"/>
    <col min="10501" max="10501" width="5" style="110" customWidth="1"/>
    <col min="10502" max="10502" width="21.85546875" style="110" customWidth="1"/>
    <col min="10503" max="10503" width="6.7109375" style="110" customWidth="1"/>
    <col min="10504" max="10504" width="9.5703125" style="110" customWidth="1"/>
    <col min="10505" max="10505" width="3.7109375" style="110" customWidth="1"/>
    <col min="10506" max="10506" width="18" style="110" customWidth="1"/>
    <col min="10507" max="10507" width="3.5703125" style="110" customWidth="1"/>
    <col min="10508" max="10508" width="11.7109375" style="110" customWidth="1"/>
    <col min="10509" max="10509" width="10.7109375" style="110" customWidth="1"/>
    <col min="10510" max="10510" width="11.140625" style="110" customWidth="1"/>
    <col min="10511" max="10511" width="10.5703125" style="110" customWidth="1"/>
    <col min="10512" max="10512" width="9.7109375" style="110" bestFit="1" customWidth="1"/>
    <col min="10513" max="10756" width="9.140625" style="110"/>
    <col min="10757" max="10757" width="5" style="110" customWidth="1"/>
    <col min="10758" max="10758" width="21.85546875" style="110" customWidth="1"/>
    <col min="10759" max="10759" width="6.7109375" style="110" customWidth="1"/>
    <col min="10760" max="10760" width="9.5703125" style="110" customWidth="1"/>
    <col min="10761" max="10761" width="3.7109375" style="110" customWidth="1"/>
    <col min="10762" max="10762" width="18" style="110" customWidth="1"/>
    <col min="10763" max="10763" width="3.5703125" style="110" customWidth="1"/>
    <col min="10764" max="10764" width="11.7109375" style="110" customWidth="1"/>
    <col min="10765" max="10765" width="10.7109375" style="110" customWidth="1"/>
    <col min="10766" max="10766" width="11.140625" style="110" customWidth="1"/>
    <col min="10767" max="10767" width="10.5703125" style="110" customWidth="1"/>
    <col min="10768" max="10768" width="9.7109375" style="110" bestFit="1" customWidth="1"/>
    <col min="10769" max="11012" width="9.140625" style="110"/>
    <col min="11013" max="11013" width="5" style="110" customWidth="1"/>
    <col min="11014" max="11014" width="21.85546875" style="110" customWidth="1"/>
    <col min="11015" max="11015" width="6.7109375" style="110" customWidth="1"/>
    <col min="11016" max="11016" width="9.5703125" style="110" customWidth="1"/>
    <col min="11017" max="11017" width="3.7109375" style="110" customWidth="1"/>
    <col min="11018" max="11018" width="18" style="110" customWidth="1"/>
    <col min="11019" max="11019" width="3.5703125" style="110" customWidth="1"/>
    <col min="11020" max="11020" width="11.7109375" style="110" customWidth="1"/>
    <col min="11021" max="11021" width="10.7109375" style="110" customWidth="1"/>
    <col min="11022" max="11022" width="11.140625" style="110" customWidth="1"/>
    <col min="11023" max="11023" width="10.5703125" style="110" customWidth="1"/>
    <col min="11024" max="11024" width="9.7109375" style="110" bestFit="1" customWidth="1"/>
    <col min="11025" max="11268" width="9.140625" style="110"/>
    <col min="11269" max="11269" width="5" style="110" customWidth="1"/>
    <col min="11270" max="11270" width="21.85546875" style="110" customWidth="1"/>
    <col min="11271" max="11271" width="6.7109375" style="110" customWidth="1"/>
    <col min="11272" max="11272" width="9.5703125" style="110" customWidth="1"/>
    <col min="11273" max="11273" width="3.7109375" style="110" customWidth="1"/>
    <col min="11274" max="11274" width="18" style="110" customWidth="1"/>
    <col min="11275" max="11275" width="3.5703125" style="110" customWidth="1"/>
    <col min="11276" max="11276" width="11.7109375" style="110" customWidth="1"/>
    <col min="11277" max="11277" width="10.7109375" style="110" customWidth="1"/>
    <col min="11278" max="11278" width="11.140625" style="110" customWidth="1"/>
    <col min="11279" max="11279" width="10.5703125" style="110" customWidth="1"/>
    <col min="11280" max="11280" width="9.7109375" style="110" bestFit="1" customWidth="1"/>
    <col min="11281" max="11524" width="9.140625" style="110"/>
    <col min="11525" max="11525" width="5" style="110" customWidth="1"/>
    <col min="11526" max="11526" width="21.85546875" style="110" customWidth="1"/>
    <col min="11527" max="11527" width="6.7109375" style="110" customWidth="1"/>
    <col min="11528" max="11528" width="9.5703125" style="110" customWidth="1"/>
    <col min="11529" max="11529" width="3.7109375" style="110" customWidth="1"/>
    <col min="11530" max="11530" width="18" style="110" customWidth="1"/>
    <col min="11531" max="11531" width="3.5703125" style="110" customWidth="1"/>
    <col min="11532" max="11532" width="11.7109375" style="110" customWidth="1"/>
    <col min="11533" max="11533" width="10.7109375" style="110" customWidth="1"/>
    <col min="11534" max="11534" width="11.140625" style="110" customWidth="1"/>
    <col min="11535" max="11535" width="10.5703125" style="110" customWidth="1"/>
    <col min="11536" max="11536" width="9.7109375" style="110" bestFit="1" customWidth="1"/>
    <col min="11537" max="11780" width="9.140625" style="110"/>
    <col min="11781" max="11781" width="5" style="110" customWidth="1"/>
    <col min="11782" max="11782" width="21.85546875" style="110" customWidth="1"/>
    <col min="11783" max="11783" width="6.7109375" style="110" customWidth="1"/>
    <col min="11784" max="11784" width="9.5703125" style="110" customWidth="1"/>
    <col min="11785" max="11785" width="3.7109375" style="110" customWidth="1"/>
    <col min="11786" max="11786" width="18" style="110" customWidth="1"/>
    <col min="11787" max="11787" width="3.5703125" style="110" customWidth="1"/>
    <col min="11788" max="11788" width="11.7109375" style="110" customWidth="1"/>
    <col min="11789" max="11789" width="10.7109375" style="110" customWidth="1"/>
    <col min="11790" max="11790" width="11.140625" style="110" customWidth="1"/>
    <col min="11791" max="11791" width="10.5703125" style="110" customWidth="1"/>
    <col min="11792" max="11792" width="9.7109375" style="110" bestFit="1" customWidth="1"/>
    <col min="11793" max="12036" width="9.140625" style="110"/>
    <col min="12037" max="12037" width="5" style="110" customWidth="1"/>
    <col min="12038" max="12038" width="21.85546875" style="110" customWidth="1"/>
    <col min="12039" max="12039" width="6.7109375" style="110" customWidth="1"/>
    <col min="12040" max="12040" width="9.5703125" style="110" customWidth="1"/>
    <col min="12041" max="12041" width="3.7109375" style="110" customWidth="1"/>
    <col min="12042" max="12042" width="18" style="110" customWidth="1"/>
    <col min="12043" max="12043" width="3.5703125" style="110" customWidth="1"/>
    <col min="12044" max="12044" width="11.7109375" style="110" customWidth="1"/>
    <col min="12045" max="12045" width="10.7109375" style="110" customWidth="1"/>
    <col min="12046" max="12046" width="11.140625" style="110" customWidth="1"/>
    <col min="12047" max="12047" width="10.5703125" style="110" customWidth="1"/>
    <col min="12048" max="12048" width="9.7109375" style="110" bestFit="1" customWidth="1"/>
    <col min="12049" max="12292" width="9.140625" style="110"/>
    <col min="12293" max="12293" width="5" style="110" customWidth="1"/>
    <col min="12294" max="12294" width="21.85546875" style="110" customWidth="1"/>
    <col min="12295" max="12295" width="6.7109375" style="110" customWidth="1"/>
    <col min="12296" max="12296" width="9.5703125" style="110" customWidth="1"/>
    <col min="12297" max="12297" width="3.7109375" style="110" customWidth="1"/>
    <col min="12298" max="12298" width="18" style="110" customWidth="1"/>
    <col min="12299" max="12299" width="3.5703125" style="110" customWidth="1"/>
    <col min="12300" max="12300" width="11.7109375" style="110" customWidth="1"/>
    <col min="12301" max="12301" width="10.7109375" style="110" customWidth="1"/>
    <col min="12302" max="12302" width="11.140625" style="110" customWidth="1"/>
    <col min="12303" max="12303" width="10.5703125" style="110" customWidth="1"/>
    <col min="12304" max="12304" width="9.7109375" style="110" bestFit="1" customWidth="1"/>
    <col min="12305" max="12548" width="9.140625" style="110"/>
    <col min="12549" max="12549" width="5" style="110" customWidth="1"/>
    <col min="12550" max="12550" width="21.85546875" style="110" customWidth="1"/>
    <col min="12551" max="12551" width="6.7109375" style="110" customWidth="1"/>
    <col min="12552" max="12552" width="9.5703125" style="110" customWidth="1"/>
    <col min="12553" max="12553" width="3.7109375" style="110" customWidth="1"/>
    <col min="12554" max="12554" width="18" style="110" customWidth="1"/>
    <col min="12555" max="12555" width="3.5703125" style="110" customWidth="1"/>
    <col min="12556" max="12556" width="11.7109375" style="110" customWidth="1"/>
    <col min="12557" max="12557" width="10.7109375" style="110" customWidth="1"/>
    <col min="12558" max="12558" width="11.140625" style="110" customWidth="1"/>
    <col min="12559" max="12559" width="10.5703125" style="110" customWidth="1"/>
    <col min="12560" max="12560" width="9.7109375" style="110" bestFit="1" customWidth="1"/>
    <col min="12561" max="12804" width="9.140625" style="110"/>
    <col min="12805" max="12805" width="5" style="110" customWidth="1"/>
    <col min="12806" max="12806" width="21.85546875" style="110" customWidth="1"/>
    <col min="12807" max="12807" width="6.7109375" style="110" customWidth="1"/>
    <col min="12808" max="12808" width="9.5703125" style="110" customWidth="1"/>
    <col min="12809" max="12809" width="3.7109375" style="110" customWidth="1"/>
    <col min="12810" max="12810" width="18" style="110" customWidth="1"/>
    <col min="12811" max="12811" width="3.5703125" style="110" customWidth="1"/>
    <col min="12812" max="12812" width="11.7109375" style="110" customWidth="1"/>
    <col min="12813" max="12813" width="10.7109375" style="110" customWidth="1"/>
    <col min="12814" max="12814" width="11.140625" style="110" customWidth="1"/>
    <col min="12815" max="12815" width="10.5703125" style="110" customWidth="1"/>
    <col min="12816" max="12816" width="9.7109375" style="110" bestFit="1" customWidth="1"/>
    <col min="12817" max="13060" width="9.140625" style="110"/>
    <col min="13061" max="13061" width="5" style="110" customWidth="1"/>
    <col min="13062" max="13062" width="21.85546875" style="110" customWidth="1"/>
    <col min="13063" max="13063" width="6.7109375" style="110" customWidth="1"/>
    <col min="13064" max="13064" width="9.5703125" style="110" customWidth="1"/>
    <col min="13065" max="13065" width="3.7109375" style="110" customWidth="1"/>
    <col min="13066" max="13066" width="18" style="110" customWidth="1"/>
    <col min="13067" max="13067" width="3.5703125" style="110" customWidth="1"/>
    <col min="13068" max="13068" width="11.7109375" style="110" customWidth="1"/>
    <col min="13069" max="13069" width="10.7109375" style="110" customWidth="1"/>
    <col min="13070" max="13070" width="11.140625" style="110" customWidth="1"/>
    <col min="13071" max="13071" width="10.5703125" style="110" customWidth="1"/>
    <col min="13072" max="13072" width="9.7109375" style="110" bestFit="1" customWidth="1"/>
    <col min="13073" max="13316" width="9.140625" style="110"/>
    <col min="13317" max="13317" width="5" style="110" customWidth="1"/>
    <col min="13318" max="13318" width="21.85546875" style="110" customWidth="1"/>
    <col min="13319" max="13319" width="6.7109375" style="110" customWidth="1"/>
    <col min="13320" max="13320" width="9.5703125" style="110" customWidth="1"/>
    <col min="13321" max="13321" width="3.7109375" style="110" customWidth="1"/>
    <col min="13322" max="13322" width="18" style="110" customWidth="1"/>
    <col min="13323" max="13323" width="3.5703125" style="110" customWidth="1"/>
    <col min="13324" max="13324" width="11.7109375" style="110" customWidth="1"/>
    <col min="13325" max="13325" width="10.7109375" style="110" customWidth="1"/>
    <col min="13326" max="13326" width="11.140625" style="110" customWidth="1"/>
    <col min="13327" max="13327" width="10.5703125" style="110" customWidth="1"/>
    <col min="13328" max="13328" width="9.7109375" style="110" bestFit="1" customWidth="1"/>
    <col min="13329" max="13572" width="9.140625" style="110"/>
    <col min="13573" max="13573" width="5" style="110" customWidth="1"/>
    <col min="13574" max="13574" width="21.85546875" style="110" customWidth="1"/>
    <col min="13575" max="13575" width="6.7109375" style="110" customWidth="1"/>
    <col min="13576" max="13576" width="9.5703125" style="110" customWidth="1"/>
    <col min="13577" max="13577" width="3.7109375" style="110" customWidth="1"/>
    <col min="13578" max="13578" width="18" style="110" customWidth="1"/>
    <col min="13579" max="13579" width="3.5703125" style="110" customWidth="1"/>
    <col min="13580" max="13580" width="11.7109375" style="110" customWidth="1"/>
    <col min="13581" max="13581" width="10.7109375" style="110" customWidth="1"/>
    <col min="13582" max="13582" width="11.140625" style="110" customWidth="1"/>
    <col min="13583" max="13583" width="10.5703125" style="110" customWidth="1"/>
    <col min="13584" max="13584" width="9.7109375" style="110" bestFit="1" customWidth="1"/>
    <col min="13585" max="13828" width="9.140625" style="110"/>
    <col min="13829" max="13829" width="5" style="110" customWidth="1"/>
    <col min="13830" max="13830" width="21.85546875" style="110" customWidth="1"/>
    <col min="13831" max="13831" width="6.7109375" style="110" customWidth="1"/>
    <col min="13832" max="13832" width="9.5703125" style="110" customWidth="1"/>
    <col min="13833" max="13833" width="3.7109375" style="110" customWidth="1"/>
    <col min="13834" max="13834" width="18" style="110" customWidth="1"/>
    <col min="13835" max="13835" width="3.5703125" style="110" customWidth="1"/>
    <col min="13836" max="13836" width="11.7109375" style="110" customWidth="1"/>
    <col min="13837" max="13837" width="10.7109375" style="110" customWidth="1"/>
    <col min="13838" max="13838" width="11.140625" style="110" customWidth="1"/>
    <col min="13839" max="13839" width="10.5703125" style="110" customWidth="1"/>
    <col min="13840" max="13840" width="9.7109375" style="110" bestFit="1" customWidth="1"/>
    <col min="13841" max="14084" width="9.140625" style="110"/>
    <col min="14085" max="14085" width="5" style="110" customWidth="1"/>
    <col min="14086" max="14086" width="21.85546875" style="110" customWidth="1"/>
    <col min="14087" max="14087" width="6.7109375" style="110" customWidth="1"/>
    <col min="14088" max="14088" width="9.5703125" style="110" customWidth="1"/>
    <col min="14089" max="14089" width="3.7109375" style="110" customWidth="1"/>
    <col min="14090" max="14090" width="18" style="110" customWidth="1"/>
    <col min="14091" max="14091" width="3.5703125" style="110" customWidth="1"/>
    <col min="14092" max="14092" width="11.7109375" style="110" customWidth="1"/>
    <col min="14093" max="14093" width="10.7109375" style="110" customWidth="1"/>
    <col min="14094" max="14094" width="11.140625" style="110" customWidth="1"/>
    <col min="14095" max="14095" width="10.5703125" style="110" customWidth="1"/>
    <col min="14096" max="14096" width="9.7109375" style="110" bestFit="1" customWidth="1"/>
    <col min="14097" max="14340" width="9.140625" style="110"/>
    <col min="14341" max="14341" width="5" style="110" customWidth="1"/>
    <col min="14342" max="14342" width="21.85546875" style="110" customWidth="1"/>
    <col min="14343" max="14343" width="6.7109375" style="110" customWidth="1"/>
    <col min="14344" max="14344" width="9.5703125" style="110" customWidth="1"/>
    <col min="14345" max="14345" width="3.7109375" style="110" customWidth="1"/>
    <col min="14346" max="14346" width="18" style="110" customWidth="1"/>
    <col min="14347" max="14347" width="3.5703125" style="110" customWidth="1"/>
    <col min="14348" max="14348" width="11.7109375" style="110" customWidth="1"/>
    <col min="14349" max="14349" width="10.7109375" style="110" customWidth="1"/>
    <col min="14350" max="14350" width="11.140625" style="110" customWidth="1"/>
    <col min="14351" max="14351" width="10.5703125" style="110" customWidth="1"/>
    <col min="14352" max="14352" width="9.7109375" style="110" bestFit="1" customWidth="1"/>
    <col min="14353" max="14596" width="9.140625" style="110"/>
    <col min="14597" max="14597" width="5" style="110" customWidth="1"/>
    <col min="14598" max="14598" width="21.85546875" style="110" customWidth="1"/>
    <col min="14599" max="14599" width="6.7109375" style="110" customWidth="1"/>
    <col min="14600" max="14600" width="9.5703125" style="110" customWidth="1"/>
    <col min="14601" max="14601" width="3.7109375" style="110" customWidth="1"/>
    <col min="14602" max="14602" width="18" style="110" customWidth="1"/>
    <col min="14603" max="14603" width="3.5703125" style="110" customWidth="1"/>
    <col min="14604" max="14604" width="11.7109375" style="110" customWidth="1"/>
    <col min="14605" max="14605" width="10.7109375" style="110" customWidth="1"/>
    <col min="14606" max="14606" width="11.140625" style="110" customWidth="1"/>
    <col min="14607" max="14607" width="10.5703125" style="110" customWidth="1"/>
    <col min="14608" max="14608" width="9.7109375" style="110" bestFit="1" customWidth="1"/>
    <col min="14609" max="14852" width="9.140625" style="110"/>
    <col min="14853" max="14853" width="5" style="110" customWidth="1"/>
    <col min="14854" max="14854" width="21.85546875" style="110" customWidth="1"/>
    <col min="14855" max="14855" width="6.7109375" style="110" customWidth="1"/>
    <col min="14856" max="14856" width="9.5703125" style="110" customWidth="1"/>
    <col min="14857" max="14857" width="3.7109375" style="110" customWidth="1"/>
    <col min="14858" max="14858" width="18" style="110" customWidth="1"/>
    <col min="14859" max="14859" width="3.5703125" style="110" customWidth="1"/>
    <col min="14860" max="14860" width="11.7109375" style="110" customWidth="1"/>
    <col min="14861" max="14861" width="10.7109375" style="110" customWidth="1"/>
    <col min="14862" max="14862" width="11.140625" style="110" customWidth="1"/>
    <col min="14863" max="14863" width="10.5703125" style="110" customWidth="1"/>
    <col min="14864" max="14864" width="9.7109375" style="110" bestFit="1" customWidth="1"/>
    <col min="14865" max="15108" width="9.140625" style="110"/>
    <col min="15109" max="15109" width="5" style="110" customWidth="1"/>
    <col min="15110" max="15110" width="21.85546875" style="110" customWidth="1"/>
    <col min="15111" max="15111" width="6.7109375" style="110" customWidth="1"/>
    <col min="15112" max="15112" width="9.5703125" style="110" customWidth="1"/>
    <col min="15113" max="15113" width="3.7109375" style="110" customWidth="1"/>
    <col min="15114" max="15114" width="18" style="110" customWidth="1"/>
    <col min="15115" max="15115" width="3.5703125" style="110" customWidth="1"/>
    <col min="15116" max="15116" width="11.7109375" style="110" customWidth="1"/>
    <col min="15117" max="15117" width="10.7109375" style="110" customWidth="1"/>
    <col min="15118" max="15118" width="11.140625" style="110" customWidth="1"/>
    <col min="15119" max="15119" width="10.5703125" style="110" customWidth="1"/>
    <col min="15120" max="15120" width="9.7109375" style="110" bestFit="1" customWidth="1"/>
    <col min="15121" max="15364" width="9.140625" style="110"/>
    <col min="15365" max="15365" width="5" style="110" customWidth="1"/>
    <col min="15366" max="15366" width="21.85546875" style="110" customWidth="1"/>
    <col min="15367" max="15367" width="6.7109375" style="110" customWidth="1"/>
    <col min="15368" max="15368" width="9.5703125" style="110" customWidth="1"/>
    <col min="15369" max="15369" width="3.7109375" style="110" customWidth="1"/>
    <col min="15370" max="15370" width="18" style="110" customWidth="1"/>
    <col min="15371" max="15371" width="3.5703125" style="110" customWidth="1"/>
    <col min="15372" max="15372" width="11.7109375" style="110" customWidth="1"/>
    <col min="15373" max="15373" width="10.7109375" style="110" customWidth="1"/>
    <col min="15374" max="15374" width="11.140625" style="110" customWidth="1"/>
    <col min="15375" max="15375" width="10.5703125" style="110" customWidth="1"/>
    <col min="15376" max="15376" width="9.7109375" style="110" bestFit="1" customWidth="1"/>
    <col min="15377" max="15620" width="9.140625" style="110"/>
    <col min="15621" max="15621" width="5" style="110" customWidth="1"/>
    <col min="15622" max="15622" width="21.85546875" style="110" customWidth="1"/>
    <col min="15623" max="15623" width="6.7109375" style="110" customWidth="1"/>
    <col min="15624" max="15624" width="9.5703125" style="110" customWidth="1"/>
    <col min="15625" max="15625" width="3.7109375" style="110" customWidth="1"/>
    <col min="15626" max="15626" width="18" style="110" customWidth="1"/>
    <col min="15627" max="15627" width="3.5703125" style="110" customWidth="1"/>
    <col min="15628" max="15628" width="11.7109375" style="110" customWidth="1"/>
    <col min="15629" max="15629" width="10.7109375" style="110" customWidth="1"/>
    <col min="15630" max="15630" width="11.140625" style="110" customWidth="1"/>
    <col min="15631" max="15631" width="10.5703125" style="110" customWidth="1"/>
    <col min="15632" max="15632" width="9.7109375" style="110" bestFit="1" customWidth="1"/>
    <col min="15633" max="15876" width="9.140625" style="110"/>
    <col min="15877" max="15877" width="5" style="110" customWidth="1"/>
    <col min="15878" max="15878" width="21.85546875" style="110" customWidth="1"/>
    <col min="15879" max="15879" width="6.7109375" style="110" customWidth="1"/>
    <col min="15880" max="15880" width="9.5703125" style="110" customWidth="1"/>
    <col min="15881" max="15881" width="3.7109375" style="110" customWidth="1"/>
    <col min="15882" max="15882" width="18" style="110" customWidth="1"/>
    <col min="15883" max="15883" width="3.5703125" style="110" customWidth="1"/>
    <col min="15884" max="15884" width="11.7109375" style="110" customWidth="1"/>
    <col min="15885" max="15885" width="10.7109375" style="110" customWidth="1"/>
    <col min="15886" max="15886" width="11.140625" style="110" customWidth="1"/>
    <col min="15887" max="15887" width="10.5703125" style="110" customWidth="1"/>
    <col min="15888" max="15888" width="9.7109375" style="110" bestFit="1" customWidth="1"/>
    <col min="15889" max="16132" width="9.140625" style="110"/>
    <col min="16133" max="16133" width="5" style="110" customWidth="1"/>
    <col min="16134" max="16134" width="21.85546875" style="110" customWidth="1"/>
    <col min="16135" max="16135" width="6.7109375" style="110" customWidth="1"/>
    <col min="16136" max="16136" width="9.5703125" style="110" customWidth="1"/>
    <col min="16137" max="16137" width="3.7109375" style="110" customWidth="1"/>
    <col min="16138" max="16138" width="18" style="110" customWidth="1"/>
    <col min="16139" max="16139" width="3.5703125" style="110" customWidth="1"/>
    <col min="16140" max="16140" width="11.7109375" style="110" customWidth="1"/>
    <col min="16141" max="16141" width="10.7109375" style="110" customWidth="1"/>
    <col min="16142" max="16142" width="11.140625" style="110" customWidth="1"/>
    <col min="16143" max="16143" width="10.5703125" style="110" customWidth="1"/>
    <col min="16144" max="16144" width="9.7109375" style="110" bestFit="1" customWidth="1"/>
    <col min="16145" max="16384" width="9.140625" style="110"/>
  </cols>
  <sheetData>
    <row r="1" spans="1:16" ht="21.75" customHeight="1">
      <c r="A1" s="1139" t="s">
        <v>136</v>
      </c>
      <c r="B1" s="1140"/>
      <c r="C1" s="1140"/>
      <c r="D1" s="1140"/>
      <c r="E1" s="1140"/>
      <c r="F1" s="1140"/>
      <c r="G1" s="1140"/>
      <c r="H1" s="1140"/>
      <c r="I1" s="1140"/>
      <c r="J1" s="1140"/>
      <c r="K1" s="1140"/>
      <c r="L1" s="1140"/>
      <c r="M1" s="1140"/>
      <c r="N1" s="1140"/>
      <c r="O1" s="1140"/>
    </row>
    <row r="2" spans="1:16" ht="55.5" customHeight="1">
      <c r="A2" s="1141" t="str">
        <f>'lead 2025-26'!B3&amp;'lead 2025-26'!C3</f>
        <v>Name of the work : Providing BT Surface to the road from Inimerla SC colony to National Highway at Nuchupoda in Inimerla GP of Pamuru Mandal.</v>
      </c>
      <c r="B2" s="1141"/>
      <c r="C2" s="1141"/>
      <c r="D2" s="1141"/>
      <c r="E2" s="1141"/>
      <c r="F2" s="1141"/>
      <c r="G2" s="1141"/>
      <c r="H2" s="1141"/>
      <c r="I2" s="1141"/>
      <c r="J2" s="1141"/>
      <c r="K2" s="1141"/>
      <c r="L2" s="1141"/>
      <c r="M2" s="1141"/>
      <c r="N2" s="1141"/>
      <c r="O2" s="1141"/>
    </row>
    <row r="3" spans="1:16" ht="21" customHeight="1">
      <c r="A3" s="111"/>
      <c r="B3" s="134"/>
      <c r="C3" s="133"/>
      <c r="D3" s="132"/>
      <c r="E3" s="111"/>
      <c r="F3" s="111"/>
      <c r="G3" s="112"/>
      <c r="J3" s="284"/>
      <c r="K3" s="343"/>
      <c r="L3" s="283" t="s">
        <v>93</v>
      </c>
      <c r="M3" s="1145" t="str">
        <f>'lead 2025-26'!K4</f>
        <v>140.00 Lakhs</v>
      </c>
      <c r="N3" s="1145"/>
      <c r="O3" s="284"/>
    </row>
    <row r="4" spans="1:16" s="115" customFormat="1" ht="36.75" customHeight="1">
      <c r="A4" s="113" t="s">
        <v>35</v>
      </c>
      <c r="B4" s="1142" t="s">
        <v>15</v>
      </c>
      <c r="C4" s="1143"/>
      <c r="D4" s="1143"/>
      <c r="E4" s="1143"/>
      <c r="F4" s="1144"/>
      <c r="G4" s="114"/>
      <c r="H4" s="285" t="s">
        <v>266</v>
      </c>
      <c r="I4" s="285" t="s">
        <v>61</v>
      </c>
      <c r="J4" s="285" t="s">
        <v>96</v>
      </c>
      <c r="K4" s="285" t="s">
        <v>433</v>
      </c>
      <c r="L4" s="285" t="s">
        <v>343</v>
      </c>
      <c r="M4" s="285" t="s">
        <v>344</v>
      </c>
      <c r="N4" s="285" t="s">
        <v>902</v>
      </c>
      <c r="O4" s="285" t="s">
        <v>34</v>
      </c>
    </row>
    <row r="5" spans="1:16" s="117" customFormat="1" ht="32.25" hidden="1" customHeight="1">
      <c r="A5" s="116">
        <v>5</v>
      </c>
      <c r="B5" s="118" t="s">
        <v>900</v>
      </c>
      <c r="C5" s="119" t="s">
        <v>266</v>
      </c>
      <c r="D5" s="120">
        <f>MAIN!I21</f>
        <v>0</v>
      </c>
      <c r="E5" s="121"/>
      <c r="F5" s="122"/>
      <c r="G5" s="123" t="s">
        <v>94</v>
      </c>
      <c r="H5" s="120">
        <f>D5</f>
        <v>0</v>
      </c>
      <c r="I5" s="120"/>
      <c r="J5" s="120"/>
      <c r="K5" s="120"/>
      <c r="L5" s="120"/>
      <c r="M5" s="120"/>
      <c r="N5" s="120"/>
      <c r="O5" s="120"/>
      <c r="P5" s="282"/>
    </row>
    <row r="6" spans="1:16" s="117" customFormat="1" ht="32.25" customHeight="1">
      <c r="A6" s="116">
        <v>1</v>
      </c>
      <c r="B6" s="118" t="s">
        <v>901</v>
      </c>
      <c r="C6" s="119" t="s">
        <v>266</v>
      </c>
      <c r="D6" s="120">
        <f>MAIN!I25</f>
        <v>3360</v>
      </c>
      <c r="E6" s="121"/>
      <c r="F6" s="122"/>
      <c r="G6" s="123" t="s">
        <v>94</v>
      </c>
      <c r="H6" s="120">
        <f>D6</f>
        <v>3360</v>
      </c>
      <c r="I6" s="120"/>
      <c r="J6" s="120"/>
      <c r="K6" s="120"/>
      <c r="L6" s="120"/>
      <c r="M6" s="120"/>
      <c r="N6" s="120"/>
      <c r="O6" s="120"/>
      <c r="P6" s="282"/>
    </row>
    <row r="7" spans="1:16" s="117" customFormat="1" ht="20.25" customHeight="1">
      <c r="A7" s="116">
        <v>2</v>
      </c>
      <c r="B7" s="118" t="s">
        <v>96</v>
      </c>
      <c r="C7" s="119" t="s">
        <v>50</v>
      </c>
      <c r="D7" s="120">
        <f>MAIN!I47</f>
        <v>672</v>
      </c>
      <c r="E7" s="121" t="s">
        <v>46</v>
      </c>
      <c r="F7" s="122">
        <v>1.2</v>
      </c>
      <c r="G7" s="123" t="s">
        <v>94</v>
      </c>
      <c r="H7" s="302"/>
      <c r="I7" s="120"/>
      <c r="J7" s="120">
        <f>ROUND((D7*1.2)/1*1,2)</f>
        <v>806.4</v>
      </c>
      <c r="K7" s="120"/>
      <c r="L7" s="120"/>
      <c r="M7" s="120"/>
      <c r="N7" s="120"/>
      <c r="O7" s="745"/>
    </row>
    <row r="8" spans="1:16" s="117" customFormat="1" ht="20.25" customHeight="1">
      <c r="A8" s="116">
        <v>3</v>
      </c>
      <c r="B8" s="118" t="s">
        <v>760</v>
      </c>
      <c r="C8" s="119" t="s">
        <v>50</v>
      </c>
      <c r="D8" s="120">
        <f>MAIN!I51</f>
        <v>945</v>
      </c>
      <c r="E8" s="121" t="s">
        <v>46</v>
      </c>
      <c r="F8" s="122">
        <v>1.33</v>
      </c>
      <c r="G8" s="123" t="s">
        <v>94</v>
      </c>
      <c r="H8" s="302"/>
      <c r="I8" s="120"/>
      <c r="J8" s="120"/>
      <c r="K8" s="120"/>
      <c r="L8" s="120"/>
      <c r="M8" s="120"/>
      <c r="N8" s="120">
        <f>ROUND((D8*1.33)/1*1,2)</f>
        <v>1256.8499999999999</v>
      </c>
      <c r="O8" s="745"/>
    </row>
    <row r="9" spans="1:16" s="117" customFormat="1" ht="20.25" customHeight="1">
      <c r="A9" s="116">
        <v>4</v>
      </c>
      <c r="B9" s="118" t="s">
        <v>761</v>
      </c>
      <c r="C9" s="119" t="s">
        <v>50</v>
      </c>
      <c r="D9" s="120">
        <f>MAIN!I73</f>
        <v>157.5</v>
      </c>
      <c r="E9" s="121" t="s">
        <v>46</v>
      </c>
      <c r="F9" s="122">
        <f>285/195</f>
        <v>1.4615384615384615</v>
      </c>
      <c r="G9" s="123" t="s">
        <v>94</v>
      </c>
      <c r="H9" s="302"/>
      <c r="I9" s="120"/>
      <c r="J9" s="120"/>
      <c r="K9" s="120"/>
      <c r="L9" s="120"/>
      <c r="M9" s="120"/>
      <c r="N9" s="120">
        <f>ROUND((D9*1.46)/1*1,2)</f>
        <v>229.95</v>
      </c>
      <c r="O9" s="745"/>
    </row>
    <row r="10" spans="1:16" s="117" customFormat="1" ht="32.25" customHeight="1">
      <c r="A10" s="116">
        <v>5</v>
      </c>
      <c r="B10" s="118" t="s">
        <v>903</v>
      </c>
      <c r="C10" s="119" t="s">
        <v>266</v>
      </c>
      <c r="D10" s="120">
        <f>MAIN!I77</f>
        <v>907.2</v>
      </c>
      <c r="E10" s="121"/>
      <c r="F10" s="122"/>
      <c r="G10" s="123" t="s">
        <v>94</v>
      </c>
      <c r="H10" s="120">
        <f>D10</f>
        <v>907.2</v>
      </c>
      <c r="I10" s="120"/>
      <c r="J10" s="120"/>
      <c r="K10" s="120"/>
      <c r="L10" s="120"/>
      <c r="M10" s="120"/>
      <c r="N10" s="120"/>
      <c r="O10" s="120"/>
    </row>
    <row r="11" spans="1:16" s="117" customFormat="1" ht="24" customHeight="1">
      <c r="A11" s="116"/>
      <c r="B11" s="118" t="s">
        <v>904</v>
      </c>
      <c r="C11" s="119"/>
      <c r="D11" s="120"/>
      <c r="E11" s="121"/>
      <c r="F11" s="122"/>
      <c r="G11" s="123"/>
      <c r="H11" s="120"/>
      <c r="I11" s="120"/>
      <c r="J11" s="120"/>
      <c r="K11" s="120"/>
      <c r="L11" s="120"/>
      <c r="M11" s="120"/>
      <c r="N11" s="120"/>
      <c r="O11" s="120"/>
    </row>
    <row r="12" spans="1:16" s="117" customFormat="1" ht="32.25" customHeight="1">
      <c r="A12" s="116">
        <v>6</v>
      </c>
      <c r="B12" s="118" t="s">
        <v>654</v>
      </c>
      <c r="C12" s="119" t="s">
        <v>266</v>
      </c>
      <c r="D12" s="120">
        <f>'SUB-1'!I19</f>
        <v>0</v>
      </c>
      <c r="E12" s="121"/>
      <c r="F12" s="122"/>
      <c r="G12" s="123" t="s">
        <v>94</v>
      </c>
      <c r="H12" s="120">
        <f>D12</f>
        <v>0</v>
      </c>
      <c r="I12" s="120"/>
      <c r="J12" s="120"/>
      <c r="K12" s="120"/>
      <c r="L12" s="120"/>
      <c r="M12" s="120"/>
      <c r="N12" s="120"/>
      <c r="O12" s="120"/>
      <c r="P12" s="282"/>
    </row>
    <row r="13" spans="1:16" s="117" customFormat="1" ht="20.25" customHeight="1">
      <c r="A13" s="116">
        <v>7</v>
      </c>
      <c r="B13" s="118" t="s">
        <v>905</v>
      </c>
      <c r="C13" s="119" t="s">
        <v>50</v>
      </c>
      <c r="D13" s="120">
        <f>'SUB-1'!I26</f>
        <v>0</v>
      </c>
      <c r="E13" s="121" t="s">
        <v>46</v>
      </c>
      <c r="F13" s="330">
        <v>0.9</v>
      </c>
      <c r="G13" s="123" t="s">
        <v>94</v>
      </c>
      <c r="H13" s="282"/>
      <c r="I13" s="120"/>
      <c r="J13" s="120"/>
      <c r="K13" s="120">
        <f>ROUND(D13*F13,2)</f>
        <v>0</v>
      </c>
      <c r="L13" s="120"/>
      <c r="M13" s="120"/>
      <c r="N13" s="120"/>
      <c r="O13" s="745">
        <f>ROUND(D13*220/1000,2)</f>
        <v>0</v>
      </c>
    </row>
    <row r="14" spans="1:16" s="117" customFormat="1" ht="20.25" customHeight="1">
      <c r="A14" s="116"/>
      <c r="B14" s="118"/>
      <c r="C14" s="119" t="s">
        <v>61</v>
      </c>
      <c r="D14" s="120">
        <f>D13</f>
        <v>0</v>
      </c>
      <c r="E14" s="121" t="s">
        <v>46</v>
      </c>
      <c r="F14" s="122">
        <v>0.45</v>
      </c>
      <c r="G14" s="123" t="s">
        <v>94</v>
      </c>
      <c r="H14" s="282"/>
      <c r="I14" s="120">
        <f>ROUND(D14*F14,2)</f>
        <v>0</v>
      </c>
      <c r="J14" s="120"/>
      <c r="K14" s="120"/>
      <c r="L14" s="120"/>
      <c r="M14" s="120"/>
      <c r="N14" s="120"/>
      <c r="O14" s="745"/>
    </row>
    <row r="15" spans="1:16" s="117" customFormat="1" ht="20.25" customHeight="1">
      <c r="A15" s="116">
        <v>9</v>
      </c>
      <c r="B15" s="118" t="s">
        <v>434</v>
      </c>
      <c r="C15" s="119" t="s">
        <v>50</v>
      </c>
      <c r="D15" s="120">
        <f>'SUB-1'!I37</f>
        <v>0</v>
      </c>
      <c r="E15" s="121" t="s">
        <v>46</v>
      </c>
      <c r="F15" s="330">
        <v>0.48</v>
      </c>
      <c r="G15" s="123" t="s">
        <v>94</v>
      </c>
      <c r="H15" s="282"/>
      <c r="I15" s="120"/>
      <c r="J15" s="120"/>
      <c r="K15" s="120">
        <f>ROUND(D15*F15,2)</f>
        <v>0</v>
      </c>
      <c r="L15" s="120"/>
      <c r="M15" s="120"/>
      <c r="N15" s="120"/>
      <c r="O15" s="745">
        <f>ROUND(D15*275/1000,2)</f>
        <v>0</v>
      </c>
    </row>
    <row r="16" spans="1:16" s="117" customFormat="1" ht="20.25" customHeight="1">
      <c r="A16" s="116"/>
      <c r="B16" s="118"/>
      <c r="C16" s="119" t="s">
        <v>50</v>
      </c>
      <c r="D16" s="120">
        <f>D15</f>
        <v>0</v>
      </c>
      <c r="E16" s="121" t="s">
        <v>46</v>
      </c>
      <c r="F16" s="330">
        <v>0.24</v>
      </c>
      <c r="G16" s="123" t="s">
        <v>94</v>
      </c>
      <c r="H16" s="282"/>
      <c r="I16" s="120"/>
      <c r="J16" s="120"/>
      <c r="K16" s="120"/>
      <c r="L16" s="120">
        <f>ROUND(D16*F16,2)</f>
        <v>0</v>
      </c>
      <c r="M16" s="120"/>
      <c r="N16" s="120"/>
      <c r="O16" s="745"/>
    </row>
    <row r="17" spans="1:16" s="117" customFormat="1" ht="20.25" customHeight="1">
      <c r="A17" s="116"/>
      <c r="B17" s="118"/>
      <c r="C17" s="119" t="s">
        <v>50</v>
      </c>
      <c r="D17" s="120">
        <f>D16</f>
        <v>0</v>
      </c>
      <c r="E17" s="121" t="s">
        <v>46</v>
      </c>
      <c r="F17" s="330">
        <v>0.08</v>
      </c>
      <c r="G17" s="123" t="s">
        <v>94</v>
      </c>
      <c r="H17" s="282"/>
      <c r="I17" s="120"/>
      <c r="J17" s="120"/>
      <c r="K17" s="120"/>
      <c r="L17" s="120"/>
      <c r="M17" s="120">
        <f>ROUND(D17*F17,2)</f>
        <v>0</v>
      </c>
      <c r="N17" s="120"/>
      <c r="O17" s="745"/>
    </row>
    <row r="18" spans="1:16" s="117" customFormat="1" ht="20.25" customHeight="1">
      <c r="A18" s="116"/>
      <c r="B18" s="118"/>
      <c r="C18" s="119" t="s">
        <v>61</v>
      </c>
      <c r="D18" s="120">
        <f>D17</f>
        <v>0</v>
      </c>
      <c r="E18" s="121" t="s">
        <v>46</v>
      </c>
      <c r="F18" s="122">
        <v>0.48</v>
      </c>
      <c r="G18" s="123" t="s">
        <v>94</v>
      </c>
      <c r="H18" s="282"/>
      <c r="I18" s="120">
        <f>ROUND(D18*F18,2)</f>
        <v>0</v>
      </c>
      <c r="J18" s="120"/>
      <c r="K18" s="120"/>
      <c r="L18" s="120"/>
      <c r="M18" s="120"/>
      <c r="N18" s="120"/>
      <c r="O18" s="745"/>
    </row>
    <row r="19" spans="1:16" s="117" customFormat="1" ht="20.25" customHeight="1">
      <c r="A19" s="116">
        <v>10</v>
      </c>
      <c r="B19" s="118" t="s">
        <v>893</v>
      </c>
      <c r="C19" s="119" t="s">
        <v>50</v>
      </c>
      <c r="D19" s="120">
        <f>'SUB-1'!I42</f>
        <v>0</v>
      </c>
      <c r="E19" s="121" t="s">
        <v>46</v>
      </c>
      <c r="F19" s="330">
        <v>0.59399999999999997</v>
      </c>
      <c r="G19" s="123" t="s">
        <v>94</v>
      </c>
      <c r="H19" s="282"/>
      <c r="I19" s="120"/>
      <c r="J19" s="120"/>
      <c r="K19" s="120"/>
      <c r="L19" s="120">
        <f>ROUND(D19*F19,2)</f>
        <v>0</v>
      </c>
      <c r="M19" s="120"/>
      <c r="N19" s="120"/>
      <c r="O19" s="745">
        <f>ROUND(D19*403/1000,2)</f>
        <v>0</v>
      </c>
      <c r="P19" s="286">
        <f>ROUND(D19*403/1000,2)</f>
        <v>0</v>
      </c>
    </row>
    <row r="20" spans="1:16" s="117" customFormat="1" ht="20.25" customHeight="1">
      <c r="A20" s="116"/>
      <c r="B20" s="118"/>
      <c r="C20" s="119" t="s">
        <v>50</v>
      </c>
      <c r="D20" s="120">
        <f>D19</f>
        <v>0</v>
      </c>
      <c r="E20" s="121" t="s">
        <v>46</v>
      </c>
      <c r="F20" s="330">
        <v>0.30599999999999999</v>
      </c>
      <c r="G20" s="123" t="s">
        <v>94</v>
      </c>
      <c r="H20" s="282"/>
      <c r="I20" s="120"/>
      <c r="J20" s="120"/>
      <c r="K20" s="120"/>
      <c r="L20" s="120"/>
      <c r="M20" s="120">
        <f>ROUND(D20*F20,2)</f>
        <v>0</v>
      </c>
      <c r="N20" s="120"/>
      <c r="O20" s="120"/>
      <c r="P20" s="286"/>
    </row>
    <row r="21" spans="1:16" s="117" customFormat="1" ht="20.25" customHeight="1">
      <c r="A21" s="116"/>
      <c r="B21" s="118"/>
      <c r="C21" s="119" t="s">
        <v>61</v>
      </c>
      <c r="D21" s="120">
        <f>D20</f>
        <v>0</v>
      </c>
      <c r="E21" s="121" t="s">
        <v>46</v>
      </c>
      <c r="F21" s="122">
        <v>0.45</v>
      </c>
      <c r="G21" s="123" t="s">
        <v>94</v>
      </c>
      <c r="H21" s="282"/>
      <c r="I21" s="120">
        <f>ROUND(D21*F21,2)</f>
        <v>0</v>
      </c>
      <c r="J21" s="120"/>
      <c r="K21" s="120"/>
      <c r="L21" s="120"/>
      <c r="M21" s="120"/>
      <c r="N21" s="120"/>
      <c r="O21" s="120"/>
      <c r="P21" s="286"/>
    </row>
    <row r="22" spans="1:16" s="117" customFormat="1" ht="20.25" customHeight="1">
      <c r="A22" s="116">
        <v>11</v>
      </c>
      <c r="B22" s="118" t="s">
        <v>104</v>
      </c>
      <c r="C22" s="119" t="s">
        <v>50</v>
      </c>
      <c r="D22" s="120">
        <f>'SUB-1'!I55</f>
        <v>0</v>
      </c>
      <c r="E22" s="121" t="s">
        <v>46</v>
      </c>
      <c r="F22" s="330">
        <v>0.59399999999999997</v>
      </c>
      <c r="G22" s="123" t="s">
        <v>94</v>
      </c>
      <c r="H22" s="282"/>
      <c r="I22" s="120"/>
      <c r="J22" s="120"/>
      <c r="K22" s="120"/>
      <c r="L22" s="120">
        <f>ROUND(D22*F22,2)</f>
        <v>0</v>
      </c>
      <c r="M22" s="120"/>
      <c r="N22" s="120"/>
      <c r="O22" s="745">
        <f>ROUND(D22*330/1000,2)</f>
        <v>0</v>
      </c>
    </row>
    <row r="23" spans="1:16" s="117" customFormat="1" ht="20.25" customHeight="1">
      <c r="A23" s="116"/>
      <c r="B23" s="118"/>
      <c r="C23" s="119" t="s">
        <v>50</v>
      </c>
      <c r="D23" s="120">
        <f>D22</f>
        <v>0</v>
      </c>
      <c r="E23" s="121" t="s">
        <v>46</v>
      </c>
      <c r="F23" s="330">
        <v>0.30599999999999999</v>
      </c>
      <c r="G23" s="123"/>
      <c r="H23" s="282"/>
      <c r="I23" s="120"/>
      <c r="J23" s="120"/>
      <c r="K23" s="120"/>
      <c r="L23" s="120"/>
      <c r="M23" s="120">
        <f>ROUND(D23*F23,2)</f>
        <v>0</v>
      </c>
      <c r="N23" s="120"/>
      <c r="O23" s="745"/>
    </row>
    <row r="24" spans="1:16" s="117" customFormat="1" ht="20.25" customHeight="1">
      <c r="A24" s="116"/>
      <c r="B24" s="118"/>
      <c r="C24" s="119" t="s">
        <v>61</v>
      </c>
      <c r="D24" s="120">
        <f>D23</f>
        <v>0</v>
      </c>
      <c r="E24" s="121" t="s">
        <v>46</v>
      </c>
      <c r="F24" s="122">
        <v>0.45</v>
      </c>
      <c r="G24" s="123" t="s">
        <v>94</v>
      </c>
      <c r="H24" s="282"/>
      <c r="I24" s="120">
        <f>ROUND(D24*F24,2)</f>
        <v>0</v>
      </c>
      <c r="J24" s="120"/>
      <c r="K24" s="120"/>
      <c r="L24" s="120"/>
      <c r="M24" s="120"/>
      <c r="N24" s="120"/>
      <c r="O24" s="745"/>
    </row>
    <row r="25" spans="1:16" s="117" customFormat="1" ht="24" customHeight="1">
      <c r="A25" s="116"/>
      <c r="B25" s="118" t="s">
        <v>904</v>
      </c>
      <c r="C25" s="119"/>
      <c r="D25" s="120"/>
      <c r="E25" s="121"/>
      <c r="F25" s="122"/>
      <c r="G25" s="123"/>
      <c r="H25" s="120"/>
      <c r="I25" s="120"/>
      <c r="J25" s="120"/>
      <c r="K25" s="120"/>
      <c r="L25" s="120"/>
      <c r="M25" s="120"/>
      <c r="N25" s="120"/>
      <c r="O25" s="120"/>
    </row>
    <row r="26" spans="1:16" s="117" customFormat="1" ht="32.25" customHeight="1">
      <c r="A26" s="116">
        <v>12</v>
      </c>
      <c r="B26" s="118" t="s">
        <v>654</v>
      </c>
      <c r="C26" s="119" t="s">
        <v>266</v>
      </c>
      <c r="D26" s="120">
        <f>'SUB-2'!I15</f>
        <v>0</v>
      </c>
      <c r="E26" s="121"/>
      <c r="F26" s="122"/>
      <c r="G26" s="123" t="s">
        <v>94</v>
      </c>
      <c r="H26" s="120">
        <f>D26</f>
        <v>0</v>
      </c>
      <c r="I26" s="120"/>
      <c r="J26" s="120"/>
      <c r="K26" s="120"/>
      <c r="L26" s="120"/>
      <c r="M26" s="120"/>
      <c r="N26" s="120"/>
      <c r="O26" s="120"/>
      <c r="P26" s="282"/>
    </row>
    <row r="27" spans="1:16" s="117" customFormat="1" ht="20.25" customHeight="1">
      <c r="A27" s="116">
        <v>13</v>
      </c>
      <c r="B27" s="118" t="s">
        <v>905</v>
      </c>
      <c r="C27" s="119" t="s">
        <v>50</v>
      </c>
      <c r="D27" s="120">
        <f>'SUB-2'!I27</f>
        <v>0</v>
      </c>
      <c r="E27" s="121" t="s">
        <v>46</v>
      </c>
      <c r="F27" s="330">
        <v>0.9</v>
      </c>
      <c r="G27" s="123" t="s">
        <v>94</v>
      </c>
      <c r="H27" s="282"/>
      <c r="I27" s="120"/>
      <c r="J27" s="120"/>
      <c r="K27" s="120">
        <f>ROUND(D27*F27,2)</f>
        <v>0</v>
      </c>
      <c r="L27" s="120"/>
      <c r="M27" s="120"/>
      <c r="N27" s="120"/>
      <c r="O27" s="745">
        <f>ROUND(D27*220/1000,2)</f>
        <v>0</v>
      </c>
    </row>
    <row r="28" spans="1:16" s="117" customFormat="1" ht="20.25" customHeight="1">
      <c r="A28" s="116"/>
      <c r="B28" s="118"/>
      <c r="C28" s="119" t="s">
        <v>61</v>
      </c>
      <c r="D28" s="120">
        <f>D27</f>
        <v>0</v>
      </c>
      <c r="E28" s="121" t="s">
        <v>46</v>
      </c>
      <c r="F28" s="122">
        <v>0.45</v>
      </c>
      <c r="G28" s="123" t="s">
        <v>94</v>
      </c>
      <c r="H28" s="282"/>
      <c r="I28" s="120">
        <f>ROUND(D28*F28,2)</f>
        <v>0</v>
      </c>
      <c r="J28" s="120"/>
      <c r="K28" s="120"/>
      <c r="L28" s="120"/>
      <c r="M28" s="120"/>
      <c r="N28" s="120"/>
      <c r="O28" s="745"/>
    </row>
    <row r="29" spans="1:16" s="117" customFormat="1" ht="20.25" customHeight="1">
      <c r="A29" s="116">
        <v>14</v>
      </c>
      <c r="B29" s="118" t="s">
        <v>434</v>
      </c>
      <c r="C29" s="119" t="s">
        <v>50</v>
      </c>
      <c r="D29" s="120">
        <f>'SUB-2'!I44</f>
        <v>0</v>
      </c>
      <c r="E29" s="121" t="s">
        <v>46</v>
      </c>
      <c r="F29" s="330">
        <v>0.48</v>
      </c>
      <c r="G29" s="123" t="s">
        <v>94</v>
      </c>
      <c r="H29" s="282"/>
      <c r="I29" s="120"/>
      <c r="J29" s="120"/>
      <c r="K29" s="120">
        <f>ROUND(D29*F29,2)</f>
        <v>0</v>
      </c>
      <c r="L29" s="120"/>
      <c r="M29" s="120"/>
      <c r="N29" s="120"/>
      <c r="O29" s="745">
        <f>ROUND(D29*275/1000,2)</f>
        <v>0</v>
      </c>
    </row>
    <row r="30" spans="1:16" s="117" customFormat="1" ht="20.25" customHeight="1">
      <c r="A30" s="116"/>
      <c r="B30" s="118"/>
      <c r="C30" s="119" t="s">
        <v>50</v>
      </c>
      <c r="D30" s="120">
        <f>D29</f>
        <v>0</v>
      </c>
      <c r="E30" s="121" t="s">
        <v>46</v>
      </c>
      <c r="F30" s="330">
        <v>0.24</v>
      </c>
      <c r="G30" s="123" t="s">
        <v>94</v>
      </c>
      <c r="H30" s="282"/>
      <c r="I30" s="120"/>
      <c r="J30" s="120"/>
      <c r="K30" s="120"/>
      <c r="L30" s="120">
        <f>ROUND(D30*F30,2)</f>
        <v>0</v>
      </c>
      <c r="M30" s="120"/>
      <c r="N30" s="120"/>
      <c r="O30" s="745"/>
    </row>
    <row r="31" spans="1:16" s="117" customFormat="1" ht="20.25" customHeight="1">
      <c r="A31" s="116"/>
      <c r="B31" s="118"/>
      <c r="C31" s="119" t="s">
        <v>50</v>
      </c>
      <c r="D31" s="120">
        <f>D30</f>
        <v>0</v>
      </c>
      <c r="E31" s="121" t="s">
        <v>46</v>
      </c>
      <c r="F31" s="330">
        <v>0.08</v>
      </c>
      <c r="G31" s="123" t="s">
        <v>94</v>
      </c>
      <c r="H31" s="282"/>
      <c r="I31" s="120"/>
      <c r="J31" s="120"/>
      <c r="K31" s="120"/>
      <c r="L31" s="120"/>
      <c r="M31" s="120">
        <f>ROUND(D31*F31,2)</f>
        <v>0</v>
      </c>
      <c r="N31" s="120"/>
      <c r="O31" s="745"/>
    </row>
    <row r="32" spans="1:16" s="117" customFormat="1" ht="20.25" customHeight="1">
      <c r="A32" s="116"/>
      <c r="B32" s="118"/>
      <c r="C32" s="119" t="s">
        <v>61</v>
      </c>
      <c r="D32" s="120">
        <f>D31</f>
        <v>0</v>
      </c>
      <c r="E32" s="121" t="s">
        <v>46</v>
      </c>
      <c r="F32" s="122">
        <v>0.48</v>
      </c>
      <c r="G32" s="123" t="s">
        <v>94</v>
      </c>
      <c r="H32" s="282"/>
      <c r="I32" s="120">
        <f>ROUND(D32*F32,2)</f>
        <v>0</v>
      </c>
      <c r="J32" s="120"/>
      <c r="K32" s="120"/>
      <c r="L32" s="120"/>
      <c r="M32" s="120"/>
      <c r="N32" s="120"/>
      <c r="O32" s="745"/>
    </row>
    <row r="33" spans="1:16" s="117" customFormat="1" ht="20.25" customHeight="1">
      <c r="A33" s="116">
        <v>15</v>
      </c>
      <c r="B33" s="118" t="s">
        <v>893</v>
      </c>
      <c r="C33" s="119" t="s">
        <v>50</v>
      </c>
      <c r="D33" s="120">
        <f>'SUB-2'!I48</f>
        <v>0</v>
      </c>
      <c r="E33" s="121" t="s">
        <v>46</v>
      </c>
      <c r="F33" s="330">
        <v>0.59399999999999997</v>
      </c>
      <c r="G33" s="123" t="s">
        <v>94</v>
      </c>
      <c r="H33" s="282"/>
      <c r="I33" s="120"/>
      <c r="J33" s="120"/>
      <c r="K33" s="120"/>
      <c r="L33" s="120">
        <f>ROUND(D33*F33,2)</f>
        <v>0</v>
      </c>
      <c r="M33" s="120"/>
      <c r="N33" s="120"/>
      <c r="O33" s="745">
        <f>ROUND(D33*403/1000,2)</f>
        <v>0</v>
      </c>
      <c r="P33" s="286">
        <f>ROUND(D33*403/1000,2)</f>
        <v>0</v>
      </c>
    </row>
    <row r="34" spans="1:16" s="117" customFormat="1" ht="20.25" customHeight="1">
      <c r="A34" s="116"/>
      <c r="B34" s="118"/>
      <c r="C34" s="119" t="s">
        <v>50</v>
      </c>
      <c r="D34" s="120">
        <f>D33</f>
        <v>0</v>
      </c>
      <c r="E34" s="121" t="s">
        <v>46</v>
      </c>
      <c r="F34" s="330">
        <v>0.30599999999999999</v>
      </c>
      <c r="G34" s="123" t="s">
        <v>94</v>
      </c>
      <c r="H34" s="282"/>
      <c r="I34" s="120"/>
      <c r="J34" s="120"/>
      <c r="K34" s="120"/>
      <c r="L34" s="120"/>
      <c r="M34" s="120">
        <f>ROUND(D34*F34,2)</f>
        <v>0</v>
      </c>
      <c r="N34" s="120"/>
      <c r="O34" s="120"/>
      <c r="P34" s="286"/>
    </row>
    <row r="35" spans="1:16" s="117" customFormat="1" ht="20.25" customHeight="1">
      <c r="A35" s="116"/>
      <c r="B35" s="118"/>
      <c r="C35" s="119" t="s">
        <v>61</v>
      </c>
      <c r="D35" s="120">
        <f>D34</f>
        <v>0</v>
      </c>
      <c r="E35" s="121" t="s">
        <v>46</v>
      </c>
      <c r="F35" s="122">
        <v>0.45</v>
      </c>
      <c r="G35" s="123" t="s">
        <v>94</v>
      </c>
      <c r="H35" s="282"/>
      <c r="I35" s="120">
        <f>ROUND(D35*F35,2)</f>
        <v>0</v>
      </c>
      <c r="J35" s="120"/>
      <c r="K35" s="120"/>
      <c r="L35" s="120"/>
      <c r="M35" s="120"/>
      <c r="N35" s="120"/>
      <c r="O35" s="120"/>
      <c r="P35" s="286"/>
    </row>
    <row r="36" spans="1:16" s="117" customFormat="1" ht="20.25" customHeight="1">
      <c r="A36" s="116">
        <v>16</v>
      </c>
      <c r="B36" s="118" t="s">
        <v>104</v>
      </c>
      <c r="C36" s="119" t="s">
        <v>50</v>
      </c>
      <c r="D36" s="120">
        <f>'SUB-2'!I61</f>
        <v>0</v>
      </c>
      <c r="E36" s="121" t="s">
        <v>46</v>
      </c>
      <c r="F36" s="330">
        <v>0.59399999999999997</v>
      </c>
      <c r="G36" s="123" t="s">
        <v>94</v>
      </c>
      <c r="H36" s="282"/>
      <c r="I36" s="120"/>
      <c r="J36" s="120"/>
      <c r="K36" s="120"/>
      <c r="L36" s="120">
        <f>ROUND(D36*F36,2)</f>
        <v>0</v>
      </c>
      <c r="M36" s="120"/>
      <c r="N36" s="120"/>
      <c r="O36" s="745">
        <f>ROUND(D36*330/1000,2)</f>
        <v>0</v>
      </c>
    </row>
    <row r="37" spans="1:16" s="117" customFormat="1" ht="20.25" customHeight="1">
      <c r="A37" s="116"/>
      <c r="B37" s="118"/>
      <c r="C37" s="119" t="s">
        <v>50</v>
      </c>
      <c r="D37" s="120">
        <f>D36</f>
        <v>0</v>
      </c>
      <c r="E37" s="121" t="s">
        <v>46</v>
      </c>
      <c r="F37" s="330">
        <v>0.30599999999999999</v>
      </c>
      <c r="G37" s="123"/>
      <c r="H37" s="282"/>
      <c r="I37" s="120"/>
      <c r="J37" s="120"/>
      <c r="K37" s="120"/>
      <c r="L37" s="120"/>
      <c r="M37" s="120">
        <f>ROUND(D37*F37,2)</f>
        <v>0</v>
      </c>
      <c r="N37" s="120"/>
      <c r="O37" s="745"/>
    </row>
    <row r="38" spans="1:16" s="117" customFormat="1" ht="20.25" customHeight="1">
      <c r="A38" s="116"/>
      <c r="B38" s="118"/>
      <c r="C38" s="119" t="s">
        <v>61</v>
      </c>
      <c r="D38" s="120">
        <f>D37</f>
        <v>0</v>
      </c>
      <c r="E38" s="121" t="s">
        <v>46</v>
      </c>
      <c r="F38" s="122">
        <v>0.45</v>
      </c>
      <c r="G38" s="123" t="s">
        <v>94</v>
      </c>
      <c r="H38" s="282"/>
      <c r="I38" s="120">
        <f>ROUND(D38*F38,2)</f>
        <v>0</v>
      </c>
      <c r="J38" s="120"/>
      <c r="K38" s="120"/>
      <c r="L38" s="120"/>
      <c r="M38" s="120"/>
      <c r="N38" s="120"/>
      <c r="O38" s="745"/>
    </row>
    <row r="39" spans="1:16" s="117" customFormat="1" ht="24" customHeight="1">
      <c r="A39" s="116"/>
      <c r="B39" s="118" t="s">
        <v>904</v>
      </c>
      <c r="C39" s="119"/>
      <c r="D39" s="120"/>
      <c r="E39" s="121"/>
      <c r="F39" s="122"/>
      <c r="G39" s="123"/>
      <c r="H39" s="120"/>
      <c r="I39" s="120"/>
      <c r="J39" s="120"/>
      <c r="K39" s="120"/>
      <c r="L39" s="120"/>
      <c r="M39" s="120"/>
      <c r="N39" s="120"/>
      <c r="O39" s="120"/>
    </row>
    <row r="40" spans="1:16" s="117" customFormat="1" ht="32.25" customHeight="1">
      <c r="A40" s="116">
        <v>17</v>
      </c>
      <c r="B40" s="118" t="s">
        <v>654</v>
      </c>
      <c r="C40" s="119" t="s">
        <v>266</v>
      </c>
      <c r="D40" s="120">
        <f>'SUB-3'!I12</f>
        <v>78.239999999999995</v>
      </c>
      <c r="E40" s="121"/>
      <c r="F40" s="122"/>
      <c r="G40" s="123" t="s">
        <v>94</v>
      </c>
      <c r="H40" s="120">
        <f>D40</f>
        <v>78.239999999999995</v>
      </c>
      <c r="I40" s="120"/>
      <c r="J40" s="120"/>
      <c r="K40" s="120"/>
      <c r="L40" s="120"/>
      <c r="M40" s="120"/>
      <c r="N40" s="120"/>
      <c r="O40" s="120"/>
      <c r="P40" s="282"/>
    </row>
    <row r="41" spans="1:16" s="117" customFormat="1" ht="20.25" customHeight="1">
      <c r="A41" s="116">
        <v>18</v>
      </c>
      <c r="B41" s="118" t="s">
        <v>905</v>
      </c>
      <c r="C41" s="119" t="s">
        <v>50</v>
      </c>
      <c r="D41" s="120">
        <f>'SUB-3'!I22</f>
        <v>17.53</v>
      </c>
      <c r="E41" s="121" t="s">
        <v>46</v>
      </c>
      <c r="F41" s="330">
        <v>0.9</v>
      </c>
      <c r="G41" s="123" t="s">
        <v>94</v>
      </c>
      <c r="H41" s="282"/>
      <c r="I41" s="120"/>
      <c r="J41" s="120"/>
      <c r="K41" s="120">
        <f>ROUND(D41*F41,2)</f>
        <v>15.78</v>
      </c>
      <c r="L41" s="120"/>
      <c r="M41" s="120"/>
      <c r="N41" s="120"/>
      <c r="O41" s="745">
        <f>ROUND(D41*220/1000,2)</f>
        <v>3.86</v>
      </c>
    </row>
    <row r="42" spans="1:16" s="117" customFormat="1" ht="20.25" customHeight="1">
      <c r="A42" s="116"/>
      <c r="B42" s="118"/>
      <c r="C42" s="119" t="s">
        <v>61</v>
      </c>
      <c r="D42" s="120">
        <f>D41</f>
        <v>17.53</v>
      </c>
      <c r="E42" s="121" t="s">
        <v>46</v>
      </c>
      <c r="F42" s="122">
        <v>0.45</v>
      </c>
      <c r="G42" s="123" t="s">
        <v>94</v>
      </c>
      <c r="H42" s="282"/>
      <c r="I42" s="120">
        <f>ROUND(D42*F42,2)</f>
        <v>7.89</v>
      </c>
      <c r="J42" s="120"/>
      <c r="K42" s="120"/>
      <c r="L42" s="120"/>
      <c r="M42" s="120"/>
      <c r="N42" s="120"/>
      <c r="O42" s="745"/>
    </row>
    <row r="43" spans="1:16" s="117" customFormat="1" ht="20.25" customHeight="1">
      <c r="A43" s="116">
        <v>19</v>
      </c>
      <c r="B43" s="118" t="s">
        <v>434</v>
      </c>
      <c r="C43" s="119" t="s">
        <v>50</v>
      </c>
      <c r="D43" s="120">
        <f>'SUB-3'!I32</f>
        <v>41.489999999999995</v>
      </c>
      <c r="E43" s="121" t="s">
        <v>46</v>
      </c>
      <c r="F43" s="330">
        <v>0.48</v>
      </c>
      <c r="G43" s="123" t="s">
        <v>94</v>
      </c>
      <c r="H43" s="282"/>
      <c r="I43" s="120"/>
      <c r="J43" s="120"/>
      <c r="K43" s="120">
        <f>ROUND(D43*F43,2)</f>
        <v>19.920000000000002</v>
      </c>
      <c r="L43" s="120"/>
      <c r="M43" s="120"/>
      <c r="N43" s="120"/>
      <c r="O43" s="745">
        <f>ROUND(D43*275/1000,2)</f>
        <v>11.41</v>
      </c>
    </row>
    <row r="44" spans="1:16" s="117" customFormat="1" ht="20.25" customHeight="1">
      <c r="A44" s="116"/>
      <c r="B44" s="118"/>
      <c r="C44" s="119" t="s">
        <v>50</v>
      </c>
      <c r="D44" s="120">
        <f>D43</f>
        <v>41.489999999999995</v>
      </c>
      <c r="E44" s="121" t="s">
        <v>46</v>
      </c>
      <c r="F44" s="330">
        <v>0.24</v>
      </c>
      <c r="G44" s="123" t="s">
        <v>94</v>
      </c>
      <c r="H44" s="282"/>
      <c r="I44" s="120"/>
      <c r="J44" s="120"/>
      <c r="K44" s="120"/>
      <c r="L44" s="120">
        <f>ROUND(D44*F44,2)</f>
        <v>9.9600000000000009</v>
      </c>
      <c r="M44" s="120"/>
      <c r="N44" s="120"/>
      <c r="O44" s="745"/>
    </row>
    <row r="45" spans="1:16" s="117" customFormat="1" ht="20.25" customHeight="1">
      <c r="A45" s="116"/>
      <c r="B45" s="118"/>
      <c r="C45" s="119" t="s">
        <v>50</v>
      </c>
      <c r="D45" s="120">
        <f>D44</f>
        <v>41.489999999999995</v>
      </c>
      <c r="E45" s="121" t="s">
        <v>46</v>
      </c>
      <c r="F45" s="330">
        <v>0.08</v>
      </c>
      <c r="G45" s="123" t="s">
        <v>94</v>
      </c>
      <c r="H45" s="282"/>
      <c r="I45" s="120"/>
      <c r="J45" s="120"/>
      <c r="K45" s="120"/>
      <c r="L45" s="120"/>
      <c r="M45" s="120">
        <f>ROUND(D45*F45,2)</f>
        <v>3.32</v>
      </c>
      <c r="N45" s="120"/>
      <c r="O45" s="745"/>
    </row>
    <row r="46" spans="1:16" s="117" customFormat="1" ht="20.25" customHeight="1">
      <c r="A46" s="116"/>
      <c r="B46" s="118"/>
      <c r="C46" s="119" t="s">
        <v>61</v>
      </c>
      <c r="D46" s="120">
        <f>D45</f>
        <v>41.489999999999995</v>
      </c>
      <c r="E46" s="121" t="s">
        <v>46</v>
      </c>
      <c r="F46" s="122">
        <v>0.48</v>
      </c>
      <c r="G46" s="123" t="s">
        <v>94</v>
      </c>
      <c r="H46" s="282"/>
      <c r="I46" s="120">
        <f>ROUND(D46*F46,2)</f>
        <v>19.920000000000002</v>
      </c>
      <c r="J46" s="120"/>
      <c r="K46" s="120"/>
      <c r="L46" s="120"/>
      <c r="M46" s="120"/>
      <c r="N46" s="120"/>
      <c r="O46" s="745"/>
    </row>
    <row r="47" spans="1:16" s="117" customFormat="1" ht="20.25" customHeight="1">
      <c r="A47" s="116">
        <v>20</v>
      </c>
      <c r="B47" s="118" t="s">
        <v>893</v>
      </c>
      <c r="C47" s="119" t="s">
        <v>50</v>
      </c>
      <c r="D47" s="120">
        <f>'SUB-3'!I36</f>
        <v>0</v>
      </c>
      <c r="E47" s="121" t="s">
        <v>46</v>
      </c>
      <c r="F47" s="330">
        <v>0.59399999999999997</v>
      </c>
      <c r="G47" s="123" t="s">
        <v>94</v>
      </c>
      <c r="H47" s="282"/>
      <c r="I47" s="120"/>
      <c r="J47" s="120"/>
      <c r="K47" s="120"/>
      <c r="L47" s="120">
        <f>ROUND(D47*F47,2)</f>
        <v>0</v>
      </c>
      <c r="M47" s="120"/>
      <c r="N47" s="120"/>
      <c r="O47" s="745">
        <f>ROUND(D47*403/1000,2)</f>
        <v>0</v>
      </c>
      <c r="P47" s="286">
        <f>ROUND(D47*403/1000,2)</f>
        <v>0</v>
      </c>
    </row>
    <row r="48" spans="1:16" s="117" customFormat="1" ht="20.25" customHeight="1">
      <c r="A48" s="116"/>
      <c r="B48" s="118"/>
      <c r="C48" s="119" t="s">
        <v>50</v>
      </c>
      <c r="D48" s="120">
        <f>D47</f>
        <v>0</v>
      </c>
      <c r="E48" s="121" t="s">
        <v>46</v>
      </c>
      <c r="F48" s="330">
        <v>0.30599999999999999</v>
      </c>
      <c r="G48" s="123" t="s">
        <v>94</v>
      </c>
      <c r="H48" s="282"/>
      <c r="I48" s="120"/>
      <c r="J48" s="120"/>
      <c r="K48" s="120"/>
      <c r="L48" s="120"/>
      <c r="M48" s="120">
        <f>ROUND(D48*F48,2)</f>
        <v>0</v>
      </c>
      <c r="N48" s="120"/>
      <c r="O48" s="120"/>
      <c r="P48" s="286"/>
    </row>
    <row r="49" spans="1:16" s="117" customFormat="1" ht="20.25" customHeight="1">
      <c r="A49" s="116"/>
      <c r="B49" s="118"/>
      <c r="C49" s="119" t="s">
        <v>61</v>
      </c>
      <c r="D49" s="120">
        <f>D48</f>
        <v>0</v>
      </c>
      <c r="E49" s="121" t="s">
        <v>46</v>
      </c>
      <c r="F49" s="122">
        <v>0.45</v>
      </c>
      <c r="G49" s="123" t="s">
        <v>94</v>
      </c>
      <c r="H49" s="282"/>
      <c r="I49" s="120">
        <f>ROUND(D49*F49,2)</f>
        <v>0</v>
      </c>
      <c r="J49" s="120"/>
      <c r="K49" s="120"/>
      <c r="L49" s="120"/>
      <c r="M49" s="120"/>
      <c r="N49" s="120"/>
      <c r="O49" s="120"/>
      <c r="P49" s="286"/>
    </row>
    <row r="50" spans="1:16" s="117" customFormat="1" ht="20.25" customHeight="1">
      <c r="A50" s="116">
        <v>21</v>
      </c>
      <c r="B50" s="118" t="s">
        <v>104</v>
      </c>
      <c r="C50" s="119" t="s">
        <v>50</v>
      </c>
      <c r="D50" s="120">
        <f>'SUB-3'!I49</f>
        <v>0</v>
      </c>
      <c r="E50" s="121" t="s">
        <v>46</v>
      </c>
      <c r="F50" s="330">
        <v>0.59399999999999997</v>
      </c>
      <c r="G50" s="123" t="s">
        <v>94</v>
      </c>
      <c r="H50" s="282"/>
      <c r="I50" s="120"/>
      <c r="J50" s="120"/>
      <c r="K50" s="120"/>
      <c r="L50" s="120">
        <f>ROUND(D50*F50,2)</f>
        <v>0</v>
      </c>
      <c r="M50" s="120"/>
      <c r="N50" s="120"/>
      <c r="O50" s="745">
        <f>ROUND(D50*330/1000,2)</f>
        <v>0</v>
      </c>
    </row>
    <row r="51" spans="1:16" s="117" customFormat="1" ht="20.25" customHeight="1">
      <c r="A51" s="116"/>
      <c r="B51" s="118"/>
      <c r="C51" s="119" t="s">
        <v>50</v>
      </c>
      <c r="D51" s="120">
        <f>D50</f>
        <v>0</v>
      </c>
      <c r="E51" s="121" t="s">
        <v>46</v>
      </c>
      <c r="F51" s="330">
        <v>0.30599999999999999</v>
      </c>
      <c r="G51" s="123"/>
      <c r="H51" s="282"/>
      <c r="I51" s="120"/>
      <c r="J51" s="120"/>
      <c r="K51" s="120"/>
      <c r="L51" s="120"/>
      <c r="M51" s="120">
        <f>ROUND(D51*F51,2)</f>
        <v>0</v>
      </c>
      <c r="N51" s="120"/>
      <c r="O51" s="745"/>
    </row>
    <row r="52" spans="1:16" s="117" customFormat="1" ht="20.25" customHeight="1">
      <c r="A52" s="116"/>
      <c r="B52" s="118"/>
      <c r="C52" s="119" t="s">
        <v>61</v>
      </c>
      <c r="D52" s="120">
        <f>D51</f>
        <v>0</v>
      </c>
      <c r="E52" s="121" t="s">
        <v>46</v>
      </c>
      <c r="F52" s="122">
        <v>0.45</v>
      </c>
      <c r="G52" s="123" t="s">
        <v>94</v>
      </c>
      <c r="H52" s="282"/>
      <c r="I52" s="120">
        <f>ROUND(D52*F52,2)</f>
        <v>0</v>
      </c>
      <c r="J52" s="120"/>
      <c r="K52" s="120"/>
      <c r="L52" s="120"/>
      <c r="M52" s="120"/>
      <c r="N52" s="120"/>
      <c r="O52" s="745"/>
    </row>
    <row r="53" spans="1:16" s="117" customFormat="1" ht="24" customHeight="1">
      <c r="A53" s="116"/>
      <c r="B53" s="118" t="s">
        <v>904</v>
      </c>
      <c r="C53" s="119"/>
      <c r="D53" s="120"/>
      <c r="E53" s="121"/>
      <c r="F53" s="122"/>
      <c r="G53" s="123"/>
      <c r="H53" s="120"/>
      <c r="I53" s="120"/>
      <c r="J53" s="120"/>
      <c r="K53" s="120"/>
      <c r="L53" s="120"/>
      <c r="M53" s="120"/>
      <c r="N53" s="120"/>
      <c r="O53" s="120"/>
    </row>
    <row r="54" spans="1:16" s="117" customFormat="1" ht="32.25" customHeight="1">
      <c r="A54" s="116">
        <v>22</v>
      </c>
      <c r="B54" s="118" t="s">
        <v>654</v>
      </c>
      <c r="C54" s="119" t="s">
        <v>266</v>
      </c>
      <c r="D54" s="120">
        <f>'SUB-4'!I12</f>
        <v>0</v>
      </c>
      <c r="E54" s="121"/>
      <c r="F54" s="122"/>
      <c r="G54" s="123" t="s">
        <v>94</v>
      </c>
      <c r="H54" s="120">
        <f>D54</f>
        <v>0</v>
      </c>
      <c r="I54" s="120"/>
      <c r="J54" s="120"/>
      <c r="K54" s="120"/>
      <c r="L54" s="120"/>
      <c r="M54" s="120"/>
      <c r="N54" s="120"/>
      <c r="O54" s="120"/>
      <c r="P54" s="282"/>
    </row>
    <row r="55" spans="1:16" s="117" customFormat="1" ht="20.25" customHeight="1">
      <c r="A55" s="116">
        <v>23</v>
      </c>
      <c r="B55" s="118" t="s">
        <v>905</v>
      </c>
      <c r="C55" s="119" t="s">
        <v>50</v>
      </c>
      <c r="D55" s="120">
        <f>'SUB-4'!I22</f>
        <v>0</v>
      </c>
      <c r="E55" s="121" t="s">
        <v>46</v>
      </c>
      <c r="F55" s="330">
        <v>0.9</v>
      </c>
      <c r="G55" s="123" t="s">
        <v>94</v>
      </c>
      <c r="H55" s="282"/>
      <c r="I55" s="120"/>
      <c r="J55" s="120"/>
      <c r="K55" s="120">
        <f>ROUND(D55*F55,2)</f>
        <v>0</v>
      </c>
      <c r="L55" s="120"/>
      <c r="M55" s="120"/>
      <c r="N55" s="120"/>
      <c r="O55" s="745">
        <f>ROUND(D55*220/1000,2)</f>
        <v>0</v>
      </c>
    </row>
    <row r="56" spans="1:16" s="117" customFormat="1" ht="20.25" customHeight="1">
      <c r="A56" s="116"/>
      <c r="B56" s="118"/>
      <c r="C56" s="119" t="s">
        <v>61</v>
      </c>
      <c r="D56" s="120">
        <f>D55</f>
        <v>0</v>
      </c>
      <c r="E56" s="121" t="s">
        <v>46</v>
      </c>
      <c r="F56" s="122">
        <v>0.45</v>
      </c>
      <c r="G56" s="123" t="s">
        <v>94</v>
      </c>
      <c r="H56" s="282"/>
      <c r="I56" s="120">
        <f>ROUND(D56*F56,2)</f>
        <v>0</v>
      </c>
      <c r="J56" s="120"/>
      <c r="K56" s="120"/>
      <c r="L56" s="120"/>
      <c r="M56" s="120"/>
      <c r="N56" s="120"/>
      <c r="O56" s="745"/>
    </row>
    <row r="57" spans="1:16" s="117" customFormat="1" ht="20.25" customHeight="1">
      <c r="A57" s="116">
        <v>24</v>
      </c>
      <c r="B57" s="118" t="s">
        <v>434</v>
      </c>
      <c r="C57" s="119" t="s">
        <v>50</v>
      </c>
      <c r="D57" s="120">
        <f>'SUB-4'!I32</f>
        <v>0</v>
      </c>
      <c r="E57" s="121" t="s">
        <v>46</v>
      </c>
      <c r="F57" s="330">
        <v>0.48</v>
      </c>
      <c r="G57" s="123" t="s">
        <v>94</v>
      </c>
      <c r="H57" s="282"/>
      <c r="I57" s="120"/>
      <c r="J57" s="120"/>
      <c r="K57" s="120">
        <f>ROUND(D57*F57,2)</f>
        <v>0</v>
      </c>
      <c r="L57" s="120"/>
      <c r="M57" s="120"/>
      <c r="N57" s="120"/>
      <c r="O57" s="745">
        <f>ROUND(D57*275/1000,2)</f>
        <v>0</v>
      </c>
    </row>
    <row r="58" spans="1:16" s="117" customFormat="1" ht="20.25" customHeight="1">
      <c r="A58" s="116"/>
      <c r="B58" s="118"/>
      <c r="C58" s="119" t="s">
        <v>50</v>
      </c>
      <c r="D58" s="120">
        <f>D57</f>
        <v>0</v>
      </c>
      <c r="E58" s="121" t="s">
        <v>46</v>
      </c>
      <c r="F58" s="330">
        <v>0.24</v>
      </c>
      <c r="G58" s="123" t="s">
        <v>94</v>
      </c>
      <c r="H58" s="282"/>
      <c r="I58" s="120"/>
      <c r="J58" s="120"/>
      <c r="K58" s="120"/>
      <c r="L58" s="120">
        <f>ROUND(D58*F58,2)</f>
        <v>0</v>
      </c>
      <c r="M58" s="120"/>
      <c r="N58" s="120"/>
      <c r="O58" s="745"/>
    </row>
    <row r="59" spans="1:16" s="117" customFormat="1" ht="20.25" customHeight="1">
      <c r="A59" s="116"/>
      <c r="B59" s="118"/>
      <c r="C59" s="119" t="s">
        <v>50</v>
      </c>
      <c r="D59" s="120">
        <f>D58</f>
        <v>0</v>
      </c>
      <c r="E59" s="121" t="s">
        <v>46</v>
      </c>
      <c r="F59" s="330">
        <v>0.08</v>
      </c>
      <c r="G59" s="123" t="s">
        <v>94</v>
      </c>
      <c r="H59" s="282"/>
      <c r="I59" s="120"/>
      <c r="J59" s="120"/>
      <c r="K59" s="120"/>
      <c r="L59" s="120"/>
      <c r="M59" s="120">
        <f>ROUND(D59*F59,2)</f>
        <v>0</v>
      </c>
      <c r="N59" s="120"/>
      <c r="O59" s="745"/>
    </row>
    <row r="60" spans="1:16" s="117" customFormat="1" ht="20.25" customHeight="1">
      <c r="A60" s="116"/>
      <c r="B60" s="118"/>
      <c r="C60" s="119" t="s">
        <v>61</v>
      </c>
      <c r="D60" s="120">
        <f>D59</f>
        <v>0</v>
      </c>
      <c r="E60" s="121" t="s">
        <v>46</v>
      </c>
      <c r="F60" s="122">
        <v>0.48</v>
      </c>
      <c r="G60" s="123" t="s">
        <v>94</v>
      </c>
      <c r="H60" s="282"/>
      <c r="I60" s="120">
        <f>ROUND(D60*F60,2)</f>
        <v>0</v>
      </c>
      <c r="J60" s="120"/>
      <c r="K60" s="120"/>
      <c r="L60" s="120"/>
      <c r="M60" s="120"/>
      <c r="N60" s="120"/>
      <c r="O60" s="745"/>
    </row>
    <row r="61" spans="1:16" s="117" customFormat="1" ht="20.25" customHeight="1">
      <c r="A61" s="116">
        <v>25</v>
      </c>
      <c r="B61" s="118" t="s">
        <v>893</v>
      </c>
      <c r="C61" s="119" t="s">
        <v>50</v>
      </c>
      <c r="D61" s="120">
        <f>'SUB-4'!I36</f>
        <v>0</v>
      </c>
      <c r="E61" s="121" t="s">
        <v>46</v>
      </c>
      <c r="F61" s="330">
        <v>0.59399999999999997</v>
      </c>
      <c r="G61" s="123" t="s">
        <v>94</v>
      </c>
      <c r="H61" s="282"/>
      <c r="I61" s="120"/>
      <c r="J61" s="120"/>
      <c r="K61" s="120"/>
      <c r="L61" s="120">
        <f>ROUND(D61*F61,2)</f>
        <v>0</v>
      </c>
      <c r="M61" s="120"/>
      <c r="N61" s="120"/>
      <c r="O61" s="745">
        <f>ROUND(D61*403/1000,2)</f>
        <v>0</v>
      </c>
      <c r="P61" s="286">
        <f>ROUND(D61*403/1000,2)</f>
        <v>0</v>
      </c>
    </row>
    <row r="62" spans="1:16" s="117" customFormat="1" ht="20.25" customHeight="1">
      <c r="A62" s="116"/>
      <c r="B62" s="118"/>
      <c r="C62" s="119" t="s">
        <v>50</v>
      </c>
      <c r="D62" s="120">
        <f>D61</f>
        <v>0</v>
      </c>
      <c r="E62" s="121" t="s">
        <v>46</v>
      </c>
      <c r="F62" s="330">
        <v>0.30599999999999999</v>
      </c>
      <c r="G62" s="123" t="s">
        <v>94</v>
      </c>
      <c r="H62" s="282"/>
      <c r="I62" s="120"/>
      <c r="J62" s="120"/>
      <c r="K62" s="120"/>
      <c r="L62" s="120"/>
      <c r="M62" s="120">
        <f>ROUND(D62*F62,2)</f>
        <v>0</v>
      </c>
      <c r="N62" s="120"/>
      <c r="O62" s="120"/>
      <c r="P62" s="286"/>
    </row>
    <row r="63" spans="1:16" s="117" customFormat="1" ht="20.25" customHeight="1">
      <c r="A63" s="116"/>
      <c r="B63" s="118"/>
      <c r="C63" s="119" t="s">
        <v>61</v>
      </c>
      <c r="D63" s="120">
        <f>D62</f>
        <v>0</v>
      </c>
      <c r="E63" s="121" t="s">
        <v>46</v>
      </c>
      <c r="F63" s="122">
        <v>0.45</v>
      </c>
      <c r="G63" s="123" t="s">
        <v>94</v>
      </c>
      <c r="H63" s="282"/>
      <c r="I63" s="120">
        <f>ROUND(D63*F63,2)</f>
        <v>0</v>
      </c>
      <c r="J63" s="120"/>
      <c r="K63" s="120"/>
      <c r="L63" s="120"/>
      <c r="M63" s="120"/>
      <c r="N63" s="120"/>
      <c r="O63" s="120"/>
      <c r="P63" s="286"/>
    </row>
    <row r="64" spans="1:16" s="117" customFormat="1" ht="20.25" customHeight="1">
      <c r="A64" s="116">
        <v>26</v>
      </c>
      <c r="B64" s="118" t="s">
        <v>104</v>
      </c>
      <c r="C64" s="119" t="s">
        <v>50</v>
      </c>
      <c r="D64" s="120">
        <f>'SUB-4'!I49</f>
        <v>0</v>
      </c>
      <c r="E64" s="121" t="s">
        <v>46</v>
      </c>
      <c r="F64" s="330">
        <v>0.59399999999999997</v>
      </c>
      <c r="G64" s="123" t="s">
        <v>94</v>
      </c>
      <c r="H64" s="282"/>
      <c r="I64" s="120"/>
      <c r="J64" s="120"/>
      <c r="K64" s="120"/>
      <c r="L64" s="120">
        <f>ROUND(D64*F64,2)</f>
        <v>0</v>
      </c>
      <c r="M64" s="120"/>
      <c r="N64" s="120"/>
      <c r="O64" s="745">
        <f>ROUND(D64*330/1000,2)</f>
        <v>0</v>
      </c>
    </row>
    <row r="65" spans="1:16" s="117" customFormat="1" ht="20.25" customHeight="1">
      <c r="A65" s="116"/>
      <c r="B65" s="118"/>
      <c r="C65" s="119" t="s">
        <v>50</v>
      </c>
      <c r="D65" s="120">
        <f>D64</f>
        <v>0</v>
      </c>
      <c r="E65" s="121" t="s">
        <v>46</v>
      </c>
      <c r="F65" s="330">
        <v>0.30599999999999999</v>
      </c>
      <c r="G65" s="123"/>
      <c r="H65" s="282"/>
      <c r="I65" s="120"/>
      <c r="J65" s="120"/>
      <c r="K65" s="120"/>
      <c r="L65" s="120"/>
      <c r="M65" s="120">
        <f>ROUND(D65*F65,2)</f>
        <v>0</v>
      </c>
      <c r="N65" s="120"/>
      <c r="O65" s="745"/>
    </row>
    <row r="66" spans="1:16" s="117" customFormat="1" ht="20.25" customHeight="1">
      <c r="A66" s="116"/>
      <c r="B66" s="118"/>
      <c r="C66" s="119" t="s">
        <v>61</v>
      </c>
      <c r="D66" s="120">
        <f>D65</f>
        <v>0</v>
      </c>
      <c r="E66" s="121" t="s">
        <v>46</v>
      </c>
      <c r="F66" s="122">
        <v>0.45</v>
      </c>
      <c r="G66" s="123" t="s">
        <v>94</v>
      </c>
      <c r="H66" s="282"/>
      <c r="I66" s="120">
        <f>ROUND(D66*F66,2)</f>
        <v>0</v>
      </c>
      <c r="J66" s="120"/>
      <c r="K66" s="120"/>
      <c r="L66" s="120"/>
      <c r="M66" s="120"/>
      <c r="N66" s="120"/>
      <c r="O66" s="745"/>
    </row>
    <row r="67" spans="1:16" s="117" customFormat="1" ht="24" customHeight="1">
      <c r="A67" s="116"/>
      <c r="B67" s="118" t="s">
        <v>904</v>
      </c>
      <c r="C67" s="119"/>
      <c r="D67" s="120"/>
      <c r="E67" s="121"/>
      <c r="F67" s="122"/>
      <c r="G67" s="123"/>
      <c r="H67" s="120"/>
      <c r="I67" s="120"/>
      <c r="J67" s="120"/>
      <c r="K67" s="120"/>
      <c r="L67" s="120"/>
      <c r="M67" s="120"/>
      <c r="N67" s="120"/>
      <c r="O67" s="120"/>
    </row>
    <row r="68" spans="1:16" s="117" customFormat="1" ht="32.25" customHeight="1">
      <c r="A68" s="116">
        <v>27</v>
      </c>
      <c r="B68" s="118" t="s">
        <v>654</v>
      </c>
      <c r="C68" s="119" t="s">
        <v>266</v>
      </c>
      <c r="D68" s="120">
        <f>'sub-5'!I11</f>
        <v>0</v>
      </c>
      <c r="E68" s="121"/>
      <c r="F68" s="122"/>
      <c r="G68" s="123" t="s">
        <v>94</v>
      </c>
      <c r="H68" s="120">
        <f>D68</f>
        <v>0</v>
      </c>
      <c r="I68" s="120"/>
      <c r="J68" s="120"/>
      <c r="K68" s="120"/>
      <c r="L68" s="120"/>
      <c r="M68" s="120"/>
      <c r="N68" s="120"/>
      <c r="O68" s="120"/>
      <c r="P68" s="282"/>
    </row>
    <row r="69" spans="1:16" s="117" customFormat="1" ht="20.25" customHeight="1">
      <c r="A69" s="116">
        <v>28</v>
      </c>
      <c r="B69" s="118" t="s">
        <v>905</v>
      </c>
      <c r="C69" s="119" t="s">
        <v>50</v>
      </c>
      <c r="D69" s="120">
        <f>'sub-5'!I18</f>
        <v>0</v>
      </c>
      <c r="E69" s="121" t="s">
        <v>46</v>
      </c>
      <c r="F69" s="330">
        <v>0.9</v>
      </c>
      <c r="G69" s="123" t="s">
        <v>94</v>
      </c>
      <c r="H69" s="282"/>
      <c r="I69" s="120"/>
      <c r="J69" s="120"/>
      <c r="K69" s="120">
        <f>ROUND(D69*F69,2)</f>
        <v>0</v>
      </c>
      <c r="L69" s="120"/>
      <c r="M69" s="120"/>
      <c r="N69" s="120"/>
      <c r="O69" s="745">
        <f>ROUND(D69*220/1000,2)</f>
        <v>0</v>
      </c>
    </row>
    <row r="70" spans="1:16" s="117" customFormat="1" ht="20.25" customHeight="1">
      <c r="A70" s="116"/>
      <c r="B70" s="118"/>
      <c r="C70" s="119" t="s">
        <v>61</v>
      </c>
      <c r="D70" s="120">
        <f>D69</f>
        <v>0</v>
      </c>
      <c r="E70" s="121" t="s">
        <v>46</v>
      </c>
      <c r="F70" s="122">
        <v>0.45</v>
      </c>
      <c r="G70" s="123" t="s">
        <v>94</v>
      </c>
      <c r="H70" s="282"/>
      <c r="I70" s="120">
        <f>ROUND(D70*F70,2)</f>
        <v>0</v>
      </c>
      <c r="J70" s="120"/>
      <c r="K70" s="120"/>
      <c r="L70" s="120"/>
      <c r="M70" s="120"/>
      <c r="N70" s="120"/>
      <c r="O70" s="745"/>
    </row>
    <row r="71" spans="1:16" s="117" customFormat="1" ht="20.25" customHeight="1">
      <c r="A71" s="116"/>
      <c r="B71" s="118"/>
      <c r="C71" s="119"/>
      <c r="D71" s="120"/>
      <c r="E71" s="121"/>
      <c r="F71" s="122"/>
      <c r="G71" s="123"/>
      <c r="H71" s="288"/>
      <c r="I71" s="288"/>
      <c r="J71" s="288"/>
      <c r="K71" s="288"/>
      <c r="L71" s="288"/>
      <c r="M71" s="288"/>
      <c r="N71" s="288"/>
      <c r="O71" s="286"/>
    </row>
    <row r="72" spans="1:16" s="117" customFormat="1" ht="22.5" customHeight="1">
      <c r="A72" s="116"/>
      <c r="B72" s="118"/>
      <c r="C72" s="119"/>
      <c r="D72" s="120"/>
      <c r="E72" s="121"/>
      <c r="F72" s="122"/>
      <c r="G72" s="123"/>
      <c r="H72" s="300">
        <f t="shared" ref="H72:O72" si="0">SUM(H5:H71)</f>
        <v>4345.4399999999996</v>
      </c>
      <c r="I72" s="300">
        <f t="shared" si="0"/>
        <v>27.810000000000002</v>
      </c>
      <c r="J72" s="300">
        <f t="shared" si="0"/>
        <v>806.4</v>
      </c>
      <c r="K72" s="300">
        <f t="shared" si="0"/>
        <v>35.700000000000003</v>
      </c>
      <c r="L72" s="300">
        <f t="shared" si="0"/>
        <v>9.9600000000000009</v>
      </c>
      <c r="M72" s="300">
        <f t="shared" si="0"/>
        <v>3.32</v>
      </c>
      <c r="N72" s="300">
        <f t="shared" si="0"/>
        <v>1486.8</v>
      </c>
      <c r="O72" s="300">
        <f t="shared" si="0"/>
        <v>15.27</v>
      </c>
    </row>
    <row r="73" spans="1:16" s="117" customFormat="1" ht="22.5" customHeight="1">
      <c r="A73" s="116"/>
      <c r="B73" s="118"/>
      <c r="C73" s="119"/>
      <c r="D73" s="120"/>
      <c r="E73" s="121"/>
      <c r="F73" s="122"/>
      <c r="G73" s="123"/>
      <c r="H73" s="301">
        <v>45</v>
      </c>
      <c r="I73" s="120">
        <v>100</v>
      </c>
      <c r="J73" s="120">
        <v>90</v>
      </c>
      <c r="K73" s="120">
        <v>90</v>
      </c>
      <c r="L73" s="120">
        <v>90</v>
      </c>
      <c r="M73" s="120">
        <v>90</v>
      </c>
      <c r="N73" s="120">
        <v>90</v>
      </c>
      <c r="O73" s="302" t="s">
        <v>45</v>
      </c>
    </row>
    <row r="74" spans="1:16" s="117" customFormat="1" ht="22.5" customHeight="1">
      <c r="A74" s="116"/>
      <c r="B74" s="124"/>
      <c r="C74" s="125"/>
      <c r="D74" s="120"/>
      <c r="E74" s="121"/>
      <c r="F74" s="126"/>
      <c r="G74" s="121" t="s">
        <v>94</v>
      </c>
      <c r="H74" s="302">
        <f t="shared" ref="H74:N74" si="1">ROUND(H72*H73,2)</f>
        <v>195544.8</v>
      </c>
      <c r="I74" s="302">
        <v>0</v>
      </c>
      <c r="J74" s="302">
        <f t="shared" si="1"/>
        <v>72576</v>
      </c>
      <c r="K74" s="302">
        <f t="shared" si="1"/>
        <v>3213</v>
      </c>
      <c r="L74" s="302">
        <f t="shared" si="1"/>
        <v>896.4</v>
      </c>
      <c r="M74" s="302">
        <f t="shared" si="1"/>
        <v>298.8</v>
      </c>
      <c r="N74" s="302">
        <f t="shared" si="1"/>
        <v>133812</v>
      </c>
      <c r="O74" s="302"/>
    </row>
    <row r="75" spans="1:16" s="117" customFormat="1" ht="22.5" customHeight="1">
      <c r="A75" s="116"/>
      <c r="B75" s="124"/>
      <c r="C75" s="125"/>
      <c r="D75" s="120"/>
      <c r="E75" s="126" t="s">
        <v>97</v>
      </c>
      <c r="F75" s="125"/>
      <c r="G75" s="121" t="s">
        <v>94</v>
      </c>
      <c r="H75" s="302">
        <f>SUM(H74:N74)</f>
        <v>406341</v>
      </c>
      <c r="I75" s="290" t="s">
        <v>98</v>
      </c>
      <c r="J75" s="639">
        <f>ROUND(H75,0)</f>
        <v>406341</v>
      </c>
      <c r="K75" s="120"/>
      <c r="L75" s="282"/>
      <c r="M75" s="282"/>
      <c r="N75" s="282"/>
      <c r="O75" s="289"/>
    </row>
    <row r="76" spans="1:16" s="117" customFormat="1" ht="22.5" customHeight="1">
      <c r="A76" s="128"/>
      <c r="B76" s="171"/>
      <c r="D76" s="162"/>
      <c r="E76" s="172"/>
      <c r="G76" s="173"/>
      <c r="H76" s="291"/>
      <c r="I76" s="292"/>
      <c r="J76" s="287"/>
      <c r="K76" s="287"/>
      <c r="L76" s="287"/>
      <c r="M76" s="287"/>
      <c r="N76" s="287"/>
      <c r="O76" s="291"/>
    </row>
    <row r="77" spans="1:16" s="117" customFormat="1" ht="15">
      <c r="F77" s="127"/>
      <c r="G77" s="128"/>
      <c r="H77" s="291"/>
      <c r="I77" s="287"/>
      <c r="J77" s="287"/>
      <c r="K77" s="287"/>
      <c r="L77" s="287"/>
      <c r="M77" s="287"/>
      <c r="N77" s="287"/>
      <c r="O77" s="291"/>
    </row>
    <row r="78" spans="1:16" s="117" customFormat="1" ht="15">
      <c r="G78" s="128"/>
      <c r="H78" s="291"/>
      <c r="I78" s="102" t="str">
        <f>'lead 2025-26'!G37</f>
        <v>Deputy Executive Engineer</v>
      </c>
      <c r="K78" s="293"/>
      <c r="L78" s="294"/>
      <c r="M78" s="293" t="str">
        <f>'lead 2025-26'!J37</f>
        <v>Assistant   Engineer</v>
      </c>
      <c r="N78" s="294"/>
      <c r="O78" s="291"/>
    </row>
    <row r="79" spans="1:16" s="117" customFormat="1" ht="15">
      <c r="G79" s="128"/>
      <c r="H79" s="291"/>
      <c r="I79" s="102" t="str">
        <f>'lead 2025-26'!G38</f>
        <v>PRI Sub Division: Kanigiri</v>
      </c>
      <c r="K79" s="293"/>
      <c r="L79" s="294"/>
      <c r="M79" s="293" t="str">
        <f>'lead 2025-26'!J38</f>
        <v>Mandal Praja Parishad</v>
      </c>
      <c r="N79" s="294"/>
      <c r="O79" s="291"/>
    </row>
    <row r="80" spans="1:16" s="117" customFormat="1" ht="15">
      <c r="F80" s="129"/>
      <c r="G80" s="128"/>
      <c r="H80" s="291"/>
      <c r="I80" s="287"/>
      <c r="K80" s="293"/>
      <c r="L80" s="294"/>
      <c r="M80" s="293" t="str">
        <f>'lead 2025-26'!J39</f>
        <v>Pamuru</v>
      </c>
      <c r="N80" s="294"/>
      <c r="O80" s="291"/>
    </row>
    <row r="81" spans="6:15" s="117" customFormat="1" ht="15">
      <c r="F81" s="127"/>
      <c r="G81" s="128"/>
      <c r="H81" s="291"/>
      <c r="I81" s="287"/>
      <c r="J81" s="287"/>
      <c r="K81" s="287"/>
      <c r="L81" s="287"/>
      <c r="M81" s="287"/>
      <c r="N81" s="287"/>
      <c r="O81" s="291"/>
    </row>
    <row r="82" spans="6:15" s="117" customFormat="1" ht="15">
      <c r="F82" s="127"/>
      <c r="G82" s="128"/>
      <c r="H82" s="291"/>
      <c r="I82" s="287"/>
      <c r="J82" s="287"/>
      <c r="K82" s="287"/>
      <c r="L82" s="287"/>
      <c r="M82" s="287"/>
      <c r="N82" s="287"/>
      <c r="O82" s="291"/>
    </row>
    <row r="83" spans="6:15" s="117" customFormat="1" ht="15">
      <c r="F83" s="127"/>
      <c r="G83" s="128"/>
      <c r="H83" s="291"/>
      <c r="I83" s="287"/>
      <c r="J83" s="287"/>
      <c r="K83" s="287"/>
      <c r="L83" s="287"/>
      <c r="M83" s="287"/>
      <c r="N83" s="287"/>
      <c r="O83" s="291"/>
    </row>
    <row r="84" spans="6:15" s="117" customFormat="1" ht="15">
      <c r="F84" s="127"/>
      <c r="G84" s="128"/>
      <c r="H84" s="291"/>
      <c r="I84" s="287"/>
      <c r="J84" s="287"/>
      <c r="K84" s="287"/>
      <c r="L84" s="287"/>
      <c r="M84" s="287"/>
      <c r="N84" s="287"/>
      <c r="O84" s="291"/>
    </row>
    <row r="85" spans="6:15" s="117" customFormat="1" ht="15">
      <c r="F85" s="127"/>
      <c r="G85" s="128"/>
      <c r="H85" s="291"/>
      <c r="I85" s="287"/>
      <c r="J85" s="287"/>
      <c r="K85" s="287"/>
      <c r="L85" s="287"/>
      <c r="M85" s="287"/>
      <c r="N85" s="287"/>
      <c r="O85" s="291"/>
    </row>
    <row r="86" spans="6:15" s="117" customFormat="1" ht="15">
      <c r="F86" s="127"/>
      <c r="G86" s="128"/>
      <c r="H86" s="291"/>
      <c r="I86" s="287"/>
      <c r="J86" s="287"/>
      <c r="K86" s="287"/>
      <c r="L86" s="287"/>
      <c r="M86" s="287"/>
      <c r="N86" s="287"/>
      <c r="O86" s="291"/>
    </row>
    <row r="87" spans="6:15" s="117" customFormat="1" ht="15">
      <c r="F87" s="127"/>
      <c r="G87" s="128"/>
      <c r="H87" s="291"/>
      <c r="I87" s="287"/>
      <c r="J87" s="287"/>
      <c r="K87" s="287"/>
      <c r="L87" s="287"/>
      <c r="M87" s="287"/>
      <c r="N87" s="287"/>
      <c r="O87" s="291"/>
    </row>
    <row r="88" spans="6:15" s="117" customFormat="1" ht="15">
      <c r="F88" s="127"/>
      <c r="G88" s="128"/>
      <c r="H88" s="291"/>
      <c r="I88" s="287"/>
      <c r="J88" s="287"/>
      <c r="K88" s="287"/>
      <c r="L88" s="287"/>
      <c r="M88" s="287"/>
      <c r="N88" s="287"/>
      <c r="O88" s="291"/>
    </row>
    <row r="89" spans="6:15" s="117" customFormat="1" ht="15">
      <c r="F89" s="127"/>
      <c r="G89" s="128"/>
      <c r="H89" s="291"/>
      <c r="I89" s="287"/>
      <c r="J89" s="287"/>
      <c r="K89" s="287"/>
      <c r="L89" s="287"/>
      <c r="M89" s="287"/>
      <c r="N89" s="287"/>
      <c r="O89" s="291"/>
    </row>
    <row r="90" spans="6:15" s="117" customFormat="1" ht="15">
      <c r="F90" s="127"/>
      <c r="G90" s="128"/>
      <c r="H90" s="291"/>
      <c r="I90" s="287"/>
      <c r="J90" s="287"/>
      <c r="K90" s="287"/>
      <c r="L90" s="287"/>
      <c r="M90" s="287"/>
      <c r="N90" s="287"/>
      <c r="O90" s="291"/>
    </row>
    <row r="91" spans="6:15" s="117" customFormat="1" ht="15">
      <c r="F91" s="127"/>
      <c r="G91" s="128"/>
      <c r="H91" s="291"/>
      <c r="I91" s="287"/>
      <c r="J91" s="287"/>
      <c r="K91" s="287"/>
      <c r="L91" s="287"/>
      <c r="M91" s="287"/>
      <c r="N91" s="287"/>
      <c r="O91" s="291"/>
    </row>
    <row r="92" spans="6:15" s="117" customFormat="1" ht="15">
      <c r="F92" s="127"/>
      <c r="G92" s="128"/>
      <c r="H92" s="291"/>
      <c r="I92" s="287"/>
      <c r="J92" s="287"/>
      <c r="K92" s="287"/>
      <c r="L92" s="287"/>
      <c r="M92" s="287"/>
      <c r="N92" s="287"/>
      <c r="O92" s="291"/>
    </row>
    <row r="93" spans="6:15" s="117" customFormat="1" ht="15">
      <c r="F93" s="127"/>
      <c r="G93" s="128"/>
      <c r="H93" s="291"/>
      <c r="I93" s="287"/>
      <c r="J93" s="287"/>
      <c r="K93" s="287"/>
      <c r="L93" s="287"/>
      <c r="M93" s="287"/>
      <c r="N93" s="287"/>
      <c r="O93" s="291"/>
    </row>
    <row r="94" spans="6:15" s="117" customFormat="1" ht="15">
      <c r="F94" s="127"/>
      <c r="G94" s="128"/>
      <c r="H94" s="291"/>
      <c r="I94" s="287"/>
      <c r="J94" s="287"/>
      <c r="K94" s="287"/>
      <c r="L94" s="287"/>
      <c r="M94" s="287"/>
      <c r="N94" s="287"/>
      <c r="O94" s="291"/>
    </row>
    <row r="95" spans="6:15" s="117" customFormat="1" ht="15">
      <c r="F95" s="127"/>
      <c r="G95" s="128"/>
      <c r="H95" s="291"/>
      <c r="I95" s="287"/>
      <c r="J95" s="287"/>
      <c r="K95" s="287"/>
      <c r="L95" s="287"/>
      <c r="M95" s="287"/>
      <c r="N95" s="287"/>
      <c r="O95" s="291"/>
    </row>
    <row r="96" spans="6:15" s="117" customFormat="1" ht="15">
      <c r="F96" s="127"/>
      <c r="G96" s="128"/>
      <c r="H96" s="291"/>
      <c r="I96" s="287"/>
      <c r="J96" s="287"/>
      <c r="K96" s="287"/>
      <c r="L96" s="287"/>
      <c r="M96" s="287"/>
      <c r="N96" s="287"/>
      <c r="O96" s="291"/>
    </row>
    <row r="97" spans="6:15" s="117" customFormat="1" ht="15">
      <c r="F97" s="127"/>
      <c r="G97" s="128"/>
      <c r="H97" s="291"/>
      <c r="I97" s="287"/>
      <c r="J97" s="287"/>
      <c r="K97" s="287"/>
      <c r="L97" s="287"/>
      <c r="M97" s="287"/>
      <c r="N97" s="287"/>
      <c r="O97" s="291"/>
    </row>
    <row r="98" spans="6:15" s="117" customFormat="1" ht="15">
      <c r="F98" s="127"/>
      <c r="G98" s="128"/>
      <c r="H98" s="291"/>
      <c r="I98" s="287"/>
      <c r="J98" s="287"/>
      <c r="K98" s="287"/>
      <c r="L98" s="287"/>
      <c r="M98" s="287"/>
      <c r="N98" s="287"/>
      <c r="O98" s="291"/>
    </row>
    <row r="99" spans="6:15" s="117" customFormat="1" ht="15">
      <c r="F99" s="127"/>
      <c r="G99" s="128"/>
      <c r="H99" s="291"/>
      <c r="I99" s="287"/>
      <c r="J99" s="287"/>
      <c r="K99" s="287"/>
      <c r="L99" s="287"/>
      <c r="M99" s="287"/>
      <c r="N99" s="287"/>
      <c r="O99" s="291"/>
    </row>
    <row r="100" spans="6:15" s="117" customFormat="1" ht="15">
      <c r="F100" s="127"/>
      <c r="G100" s="128"/>
      <c r="H100" s="291"/>
      <c r="I100" s="287"/>
      <c r="J100" s="287"/>
      <c r="K100" s="287"/>
      <c r="L100" s="287"/>
      <c r="M100" s="287"/>
      <c r="N100" s="287"/>
      <c r="O100" s="291"/>
    </row>
    <row r="101" spans="6:15" s="117" customFormat="1" ht="15">
      <c r="F101" s="127"/>
      <c r="G101" s="128"/>
      <c r="H101" s="291"/>
      <c r="I101" s="287"/>
      <c r="J101" s="287"/>
      <c r="K101" s="287"/>
      <c r="L101" s="287"/>
      <c r="M101" s="287"/>
      <c r="N101" s="287"/>
      <c r="O101" s="291"/>
    </row>
    <row r="102" spans="6:15" s="117" customFormat="1" ht="15">
      <c r="F102" s="127"/>
      <c r="G102" s="128"/>
      <c r="H102" s="291"/>
      <c r="I102" s="287"/>
      <c r="J102" s="287"/>
      <c r="K102" s="287"/>
      <c r="L102" s="287"/>
      <c r="M102" s="287"/>
      <c r="N102" s="287"/>
      <c r="O102" s="291"/>
    </row>
    <row r="103" spans="6:15" s="117" customFormat="1" ht="15">
      <c r="F103" s="127"/>
      <c r="G103" s="128"/>
      <c r="H103" s="291"/>
      <c r="I103" s="287"/>
      <c r="J103" s="287"/>
      <c r="K103" s="287"/>
      <c r="L103" s="287"/>
      <c r="M103" s="287"/>
      <c r="N103" s="287"/>
      <c r="O103" s="291"/>
    </row>
    <row r="104" spans="6:15" s="117" customFormat="1" ht="15">
      <c r="F104" s="127"/>
      <c r="G104" s="128"/>
      <c r="H104" s="291"/>
      <c r="I104" s="287"/>
      <c r="J104" s="287"/>
      <c r="K104" s="287"/>
      <c r="L104" s="287"/>
      <c r="M104" s="287"/>
      <c r="N104" s="287"/>
      <c r="O104" s="291"/>
    </row>
    <row r="105" spans="6:15" s="117" customFormat="1" ht="15">
      <c r="F105" s="127"/>
      <c r="G105" s="128"/>
      <c r="H105" s="291"/>
      <c r="I105" s="287"/>
      <c r="J105" s="287"/>
      <c r="K105" s="287"/>
      <c r="L105" s="287"/>
      <c r="M105" s="287"/>
      <c r="N105" s="287"/>
      <c r="O105" s="291"/>
    </row>
    <row r="106" spans="6:15" s="117" customFormat="1" ht="15">
      <c r="F106" s="127"/>
      <c r="G106" s="128"/>
      <c r="H106" s="291"/>
      <c r="I106" s="287"/>
      <c r="J106" s="287"/>
      <c r="K106" s="287"/>
      <c r="L106" s="287"/>
      <c r="M106" s="287"/>
      <c r="N106" s="287"/>
      <c r="O106" s="291"/>
    </row>
    <row r="107" spans="6:15" s="117" customFormat="1" ht="15">
      <c r="F107" s="127"/>
      <c r="G107" s="128"/>
      <c r="H107" s="291"/>
      <c r="I107" s="287"/>
      <c r="J107" s="287"/>
      <c r="K107" s="287"/>
      <c r="L107" s="287"/>
      <c r="M107" s="287"/>
      <c r="N107" s="287"/>
      <c r="O107" s="291"/>
    </row>
    <row r="108" spans="6:15" s="117" customFormat="1" ht="15">
      <c r="F108" s="127"/>
      <c r="G108" s="128"/>
      <c r="H108" s="291"/>
      <c r="I108" s="287"/>
      <c r="J108" s="287"/>
      <c r="K108" s="287"/>
      <c r="L108" s="287"/>
      <c r="M108" s="287"/>
      <c r="N108" s="287"/>
      <c r="O108" s="291"/>
    </row>
    <row r="109" spans="6:15" s="117" customFormat="1" ht="15">
      <c r="F109" s="127"/>
      <c r="G109" s="128"/>
      <c r="H109" s="291"/>
      <c r="I109" s="287"/>
      <c r="J109" s="287"/>
      <c r="K109" s="287"/>
      <c r="L109" s="287"/>
      <c r="M109" s="287"/>
      <c r="N109" s="287"/>
      <c r="O109" s="291"/>
    </row>
    <row r="110" spans="6:15" s="117" customFormat="1" ht="15">
      <c r="F110" s="127"/>
      <c r="G110" s="128"/>
      <c r="H110" s="291"/>
      <c r="I110" s="287"/>
      <c r="J110" s="287"/>
      <c r="K110" s="287"/>
      <c r="L110" s="287"/>
      <c r="M110" s="287"/>
      <c r="N110" s="287"/>
      <c r="O110" s="291"/>
    </row>
    <row r="111" spans="6:15" s="117" customFormat="1" ht="15">
      <c r="F111" s="127"/>
      <c r="G111" s="128"/>
      <c r="H111" s="291"/>
      <c r="I111" s="287"/>
      <c r="J111" s="287"/>
      <c r="K111" s="287"/>
      <c r="L111" s="287"/>
      <c r="M111" s="287"/>
      <c r="N111" s="287"/>
      <c r="O111" s="291"/>
    </row>
    <row r="112" spans="6:15" s="117" customFormat="1" ht="15">
      <c r="F112" s="127"/>
      <c r="G112" s="128"/>
      <c r="H112" s="291"/>
      <c r="I112" s="287"/>
      <c r="J112" s="287"/>
      <c r="K112" s="287"/>
      <c r="L112" s="287"/>
      <c r="M112" s="287"/>
      <c r="N112" s="287"/>
      <c r="O112" s="291"/>
    </row>
    <row r="113" spans="6:15" s="117" customFormat="1" ht="15">
      <c r="F113" s="127"/>
      <c r="G113" s="128"/>
      <c r="H113" s="291"/>
      <c r="I113" s="287"/>
      <c r="J113" s="287"/>
      <c r="K113" s="287"/>
      <c r="L113" s="287"/>
      <c r="M113" s="287"/>
      <c r="N113" s="287"/>
      <c r="O113" s="291"/>
    </row>
    <row r="114" spans="6:15" s="117" customFormat="1" ht="15">
      <c r="F114" s="127"/>
      <c r="G114" s="128"/>
      <c r="H114" s="291"/>
      <c r="I114" s="287"/>
      <c r="J114" s="287"/>
      <c r="K114" s="287"/>
      <c r="L114" s="287"/>
      <c r="M114" s="287"/>
      <c r="N114" s="287"/>
      <c r="O114" s="291"/>
    </row>
    <row r="115" spans="6:15" s="117" customFormat="1" ht="15">
      <c r="F115" s="127"/>
      <c r="G115" s="128"/>
      <c r="H115" s="291"/>
      <c r="I115" s="287"/>
      <c r="J115" s="287"/>
      <c r="K115" s="287"/>
      <c r="L115" s="287"/>
      <c r="M115" s="287"/>
      <c r="N115" s="287"/>
      <c r="O115" s="291"/>
    </row>
    <row r="116" spans="6:15" s="117" customFormat="1" ht="15">
      <c r="F116" s="127"/>
      <c r="G116" s="128"/>
      <c r="H116" s="291"/>
      <c r="I116" s="287"/>
      <c r="J116" s="287"/>
      <c r="K116" s="287"/>
      <c r="L116" s="287"/>
      <c r="M116" s="287"/>
      <c r="N116" s="287"/>
      <c r="O116" s="291"/>
    </row>
    <row r="117" spans="6:15" s="117" customFormat="1" ht="15">
      <c r="F117" s="127"/>
      <c r="G117" s="128"/>
      <c r="H117" s="291"/>
      <c r="I117" s="287"/>
      <c r="J117" s="287"/>
      <c r="K117" s="287"/>
      <c r="L117" s="287"/>
      <c r="M117" s="287"/>
      <c r="N117" s="287"/>
      <c r="O117" s="291"/>
    </row>
    <row r="118" spans="6:15" s="117" customFormat="1" ht="15">
      <c r="F118" s="127"/>
      <c r="G118" s="128"/>
      <c r="H118" s="291"/>
      <c r="I118" s="287"/>
      <c r="J118" s="287"/>
      <c r="K118" s="287"/>
      <c r="L118" s="287"/>
      <c r="M118" s="287"/>
      <c r="N118" s="287"/>
      <c r="O118" s="291"/>
    </row>
    <row r="119" spans="6:15" s="117" customFormat="1" ht="15">
      <c r="F119" s="127"/>
      <c r="G119" s="128"/>
      <c r="H119" s="291"/>
      <c r="I119" s="287"/>
      <c r="J119" s="287"/>
      <c r="K119" s="287"/>
      <c r="L119" s="287"/>
      <c r="M119" s="287"/>
      <c r="N119" s="287"/>
      <c r="O119" s="291"/>
    </row>
    <row r="120" spans="6:15" s="117" customFormat="1" ht="15">
      <c r="F120" s="127"/>
      <c r="G120" s="128"/>
      <c r="H120" s="291"/>
      <c r="I120" s="287"/>
      <c r="J120" s="287"/>
      <c r="K120" s="287"/>
      <c r="L120" s="287"/>
      <c r="M120" s="287"/>
      <c r="N120" s="287"/>
      <c r="O120" s="291"/>
    </row>
    <row r="121" spans="6:15" s="117" customFormat="1" ht="15">
      <c r="F121" s="127"/>
      <c r="G121" s="128"/>
      <c r="H121" s="291"/>
      <c r="I121" s="287"/>
      <c r="J121" s="287"/>
      <c r="K121" s="287"/>
      <c r="L121" s="287"/>
      <c r="M121" s="287"/>
      <c r="N121" s="287"/>
      <c r="O121" s="291"/>
    </row>
    <row r="122" spans="6:15" s="117" customFormat="1" ht="15">
      <c r="F122" s="127"/>
      <c r="G122" s="128"/>
      <c r="H122" s="291"/>
      <c r="I122" s="287"/>
      <c r="J122" s="287"/>
      <c r="K122" s="287"/>
      <c r="L122" s="287"/>
      <c r="M122" s="287"/>
      <c r="N122" s="287"/>
      <c r="O122" s="291"/>
    </row>
    <row r="123" spans="6:15" s="117" customFormat="1" ht="15">
      <c r="F123" s="127"/>
      <c r="G123" s="128"/>
      <c r="H123" s="291"/>
      <c r="I123" s="287"/>
      <c r="J123" s="287"/>
      <c r="K123" s="287"/>
      <c r="L123" s="287"/>
      <c r="M123" s="287"/>
      <c r="N123" s="287"/>
      <c r="O123" s="291"/>
    </row>
    <row r="124" spans="6:15" s="117" customFormat="1" ht="15">
      <c r="F124" s="127"/>
      <c r="G124" s="128"/>
      <c r="H124" s="291"/>
      <c r="I124" s="287"/>
      <c r="J124" s="287"/>
      <c r="K124" s="287"/>
      <c r="L124" s="287"/>
      <c r="M124" s="287"/>
      <c r="N124" s="287"/>
      <c r="O124" s="291"/>
    </row>
    <row r="125" spans="6:15" s="117" customFormat="1" ht="15">
      <c r="F125" s="127"/>
      <c r="G125" s="128"/>
      <c r="H125" s="291"/>
      <c r="I125" s="287"/>
      <c r="J125" s="287"/>
      <c r="K125" s="287"/>
      <c r="L125" s="287"/>
      <c r="M125" s="287"/>
      <c r="N125" s="287"/>
      <c r="O125" s="291"/>
    </row>
    <row r="126" spans="6:15" s="117" customFormat="1" ht="15">
      <c r="F126" s="127"/>
      <c r="G126" s="128"/>
      <c r="H126" s="291"/>
      <c r="I126" s="287"/>
      <c r="J126" s="287"/>
      <c r="K126" s="287"/>
      <c r="L126" s="287"/>
      <c r="M126" s="287"/>
      <c r="N126" s="287"/>
      <c r="O126" s="291"/>
    </row>
    <row r="127" spans="6:15" s="117" customFormat="1" ht="15">
      <c r="F127" s="127"/>
      <c r="G127" s="128"/>
      <c r="H127" s="291"/>
      <c r="I127" s="287"/>
      <c r="J127" s="287"/>
      <c r="K127" s="287"/>
      <c r="L127" s="287"/>
      <c r="M127" s="287"/>
      <c r="N127" s="287"/>
      <c r="O127" s="291"/>
    </row>
    <row r="128" spans="6:15" s="117" customFormat="1" ht="15">
      <c r="F128" s="127"/>
      <c r="G128" s="128"/>
      <c r="H128" s="291"/>
      <c r="I128" s="287"/>
      <c r="J128" s="287"/>
      <c r="K128" s="287"/>
      <c r="L128" s="287"/>
      <c r="M128" s="287"/>
      <c r="N128" s="287"/>
      <c r="O128" s="291"/>
    </row>
    <row r="129" spans="6:15" s="117" customFormat="1" ht="15">
      <c r="F129" s="127"/>
      <c r="G129" s="128"/>
      <c r="H129" s="291"/>
      <c r="I129" s="287"/>
      <c r="J129" s="287"/>
      <c r="K129" s="287"/>
      <c r="L129" s="287"/>
      <c r="M129" s="287"/>
      <c r="N129" s="287"/>
      <c r="O129" s="291"/>
    </row>
    <row r="130" spans="6:15" s="117" customFormat="1" ht="15">
      <c r="F130" s="127"/>
      <c r="G130" s="128"/>
      <c r="H130" s="291"/>
      <c r="I130" s="287"/>
      <c r="J130" s="287"/>
      <c r="K130" s="287"/>
      <c r="L130" s="287"/>
      <c r="M130" s="287"/>
      <c r="N130" s="287"/>
      <c r="O130" s="291"/>
    </row>
    <row r="131" spans="6:15" s="117" customFormat="1" ht="15">
      <c r="F131" s="127"/>
      <c r="G131" s="128"/>
      <c r="H131" s="291"/>
      <c r="I131" s="287"/>
      <c r="J131" s="287"/>
      <c r="K131" s="287"/>
      <c r="L131" s="287"/>
      <c r="M131" s="287"/>
      <c r="N131" s="287"/>
      <c r="O131" s="291"/>
    </row>
    <row r="132" spans="6:15" s="117" customFormat="1" ht="15">
      <c r="F132" s="127"/>
      <c r="G132" s="128"/>
      <c r="H132" s="291"/>
      <c r="I132" s="287"/>
      <c r="J132" s="287"/>
      <c r="K132" s="287"/>
      <c r="L132" s="287"/>
      <c r="M132" s="287"/>
      <c r="N132" s="287"/>
      <c r="O132" s="291"/>
    </row>
    <row r="133" spans="6:15" s="117" customFormat="1" ht="15">
      <c r="F133" s="127"/>
      <c r="G133" s="128"/>
      <c r="H133" s="291"/>
      <c r="I133" s="287"/>
      <c r="J133" s="287"/>
      <c r="K133" s="287"/>
      <c r="L133" s="287"/>
      <c r="M133" s="287"/>
      <c r="N133" s="287"/>
      <c r="O133" s="291"/>
    </row>
    <row r="134" spans="6:15" s="117" customFormat="1" ht="15">
      <c r="F134" s="127"/>
      <c r="G134" s="128"/>
      <c r="H134" s="291"/>
      <c r="I134" s="287"/>
      <c r="J134" s="287"/>
      <c r="K134" s="287"/>
      <c r="L134" s="287"/>
      <c r="M134" s="287"/>
      <c r="N134" s="287"/>
      <c r="O134" s="291"/>
    </row>
    <row r="135" spans="6:15" s="117" customFormat="1" ht="15">
      <c r="F135" s="127"/>
      <c r="G135" s="128"/>
      <c r="H135" s="291"/>
      <c r="I135" s="287"/>
      <c r="J135" s="287"/>
      <c r="K135" s="287"/>
      <c r="L135" s="287"/>
      <c r="M135" s="287"/>
      <c r="N135" s="287"/>
      <c r="O135" s="291"/>
    </row>
    <row r="136" spans="6:15" s="117" customFormat="1" ht="15">
      <c r="F136" s="127"/>
      <c r="G136" s="128"/>
      <c r="H136" s="291"/>
      <c r="I136" s="287"/>
      <c r="J136" s="287"/>
      <c r="K136" s="287"/>
      <c r="L136" s="287"/>
      <c r="M136" s="287"/>
      <c r="N136" s="287"/>
      <c r="O136" s="291"/>
    </row>
    <row r="137" spans="6:15" s="117" customFormat="1" ht="15">
      <c r="F137" s="127"/>
      <c r="G137" s="128"/>
      <c r="H137" s="291"/>
      <c r="I137" s="287"/>
      <c r="J137" s="287"/>
      <c r="K137" s="287"/>
      <c r="L137" s="287"/>
      <c r="M137" s="287"/>
      <c r="N137" s="287"/>
      <c r="O137" s="291"/>
    </row>
    <row r="138" spans="6:15" s="117" customFormat="1" ht="15">
      <c r="F138" s="127"/>
      <c r="G138" s="128"/>
      <c r="H138" s="291"/>
      <c r="I138" s="287"/>
      <c r="J138" s="287"/>
      <c r="K138" s="287"/>
      <c r="L138" s="287"/>
      <c r="M138" s="287"/>
      <c r="N138" s="287"/>
      <c r="O138" s="291"/>
    </row>
    <row r="139" spans="6:15" s="117" customFormat="1" ht="15">
      <c r="F139" s="127"/>
      <c r="G139" s="128"/>
      <c r="H139" s="291"/>
      <c r="I139" s="287"/>
      <c r="J139" s="287"/>
      <c r="K139" s="287"/>
      <c r="L139" s="287"/>
      <c r="M139" s="287"/>
      <c r="N139" s="287"/>
      <c r="O139" s="291"/>
    </row>
    <row r="140" spans="6:15" s="117" customFormat="1" ht="15">
      <c r="F140" s="127"/>
      <c r="G140" s="128"/>
      <c r="H140" s="291"/>
      <c r="I140" s="287"/>
      <c r="J140" s="287"/>
      <c r="K140" s="287"/>
      <c r="L140" s="287"/>
      <c r="M140" s="287"/>
      <c r="N140" s="287"/>
      <c r="O140" s="291"/>
    </row>
    <row r="141" spans="6:15" s="117" customFormat="1" ht="15">
      <c r="F141" s="127"/>
      <c r="G141" s="128"/>
      <c r="H141" s="291"/>
      <c r="I141" s="287"/>
      <c r="J141" s="287"/>
      <c r="K141" s="287"/>
      <c r="L141" s="287"/>
      <c r="M141" s="287"/>
      <c r="N141" s="287"/>
      <c r="O141" s="291"/>
    </row>
    <row r="142" spans="6:15" s="117" customFormat="1" ht="15">
      <c r="F142" s="127"/>
      <c r="G142" s="128"/>
      <c r="H142" s="291"/>
      <c r="I142" s="287"/>
      <c r="J142" s="287"/>
      <c r="K142" s="287"/>
      <c r="L142" s="287"/>
      <c r="M142" s="287"/>
      <c r="N142" s="287"/>
      <c r="O142" s="291"/>
    </row>
    <row r="143" spans="6:15" s="117" customFormat="1" ht="15">
      <c r="F143" s="127"/>
      <c r="G143" s="128"/>
      <c r="H143" s="291"/>
      <c r="I143" s="287"/>
      <c r="J143" s="287"/>
      <c r="K143" s="287"/>
      <c r="L143" s="287"/>
      <c r="M143" s="287"/>
      <c r="N143" s="287"/>
      <c r="O143" s="291"/>
    </row>
    <row r="144" spans="6:15" s="117" customFormat="1" ht="15">
      <c r="F144" s="127"/>
      <c r="G144" s="128"/>
      <c r="H144" s="291"/>
      <c r="I144" s="287"/>
      <c r="J144" s="287"/>
      <c r="K144" s="287"/>
      <c r="L144" s="287"/>
      <c r="M144" s="287"/>
      <c r="N144" s="287"/>
      <c r="O144" s="291"/>
    </row>
    <row r="145" spans="6:15" s="117" customFormat="1" ht="15">
      <c r="F145" s="127"/>
      <c r="G145" s="128"/>
      <c r="H145" s="291"/>
      <c r="I145" s="287"/>
      <c r="J145" s="287"/>
      <c r="K145" s="287"/>
      <c r="L145" s="287"/>
      <c r="M145" s="287"/>
      <c r="N145" s="287"/>
      <c r="O145" s="291"/>
    </row>
    <row r="146" spans="6:15" s="117" customFormat="1" ht="15">
      <c r="F146" s="127"/>
      <c r="G146" s="128"/>
      <c r="H146" s="291"/>
      <c r="I146" s="287"/>
      <c r="J146" s="287"/>
      <c r="K146" s="287"/>
      <c r="L146" s="287"/>
      <c r="M146" s="287"/>
      <c r="N146" s="287"/>
      <c r="O146" s="291"/>
    </row>
    <row r="147" spans="6:15" s="117" customFormat="1" ht="15">
      <c r="F147" s="127"/>
      <c r="G147" s="128"/>
      <c r="H147" s="291"/>
      <c r="I147" s="287"/>
      <c r="J147" s="287"/>
      <c r="K147" s="287"/>
      <c r="L147" s="287"/>
      <c r="M147" s="287"/>
      <c r="N147" s="287"/>
      <c r="O147" s="291"/>
    </row>
    <row r="148" spans="6:15" s="117" customFormat="1" ht="15">
      <c r="F148" s="127"/>
      <c r="G148" s="128"/>
      <c r="H148" s="291"/>
      <c r="I148" s="287"/>
      <c r="J148" s="287"/>
      <c r="K148" s="287"/>
      <c r="L148" s="287"/>
      <c r="M148" s="287"/>
      <c r="N148" s="287"/>
      <c r="O148" s="291"/>
    </row>
    <row r="149" spans="6:15" s="117" customFormat="1" ht="15">
      <c r="F149" s="127"/>
      <c r="G149" s="128"/>
      <c r="H149" s="291"/>
      <c r="I149" s="287"/>
      <c r="J149" s="287"/>
      <c r="K149" s="287"/>
      <c r="L149" s="287"/>
      <c r="M149" s="287"/>
      <c r="N149" s="287"/>
      <c r="O149" s="291"/>
    </row>
    <row r="150" spans="6:15" s="117" customFormat="1" ht="15">
      <c r="F150" s="127"/>
      <c r="G150" s="128"/>
      <c r="H150" s="291"/>
      <c r="I150" s="287"/>
      <c r="J150" s="287"/>
      <c r="K150" s="287"/>
      <c r="L150" s="287"/>
      <c r="M150" s="287"/>
      <c r="N150" s="287"/>
      <c r="O150" s="291"/>
    </row>
    <row r="151" spans="6:15" s="117" customFormat="1" ht="15">
      <c r="F151" s="127"/>
      <c r="G151" s="128"/>
      <c r="H151" s="291"/>
      <c r="I151" s="287"/>
      <c r="J151" s="287"/>
      <c r="K151" s="287"/>
      <c r="L151" s="287"/>
      <c r="M151" s="287"/>
      <c r="N151" s="287"/>
      <c r="O151" s="291"/>
    </row>
    <row r="152" spans="6:15" s="117" customFormat="1" ht="15">
      <c r="F152" s="127"/>
      <c r="G152" s="128"/>
      <c r="H152" s="291"/>
      <c r="I152" s="287"/>
      <c r="J152" s="287"/>
      <c r="K152" s="287"/>
      <c r="L152" s="287"/>
      <c r="M152" s="287"/>
      <c r="N152" s="287"/>
      <c r="O152" s="291"/>
    </row>
    <row r="153" spans="6:15" s="117" customFormat="1" ht="15">
      <c r="F153" s="127"/>
      <c r="G153" s="128"/>
      <c r="H153" s="291"/>
      <c r="I153" s="287"/>
      <c r="J153" s="287"/>
      <c r="K153" s="287"/>
      <c r="L153" s="287"/>
      <c r="M153" s="287"/>
      <c r="N153" s="287"/>
      <c r="O153" s="291"/>
    </row>
    <row r="154" spans="6:15" s="117" customFormat="1" ht="15">
      <c r="F154" s="127"/>
      <c r="G154" s="128"/>
      <c r="H154" s="291"/>
      <c r="I154" s="287"/>
      <c r="J154" s="287"/>
      <c r="K154" s="287"/>
      <c r="L154" s="287"/>
      <c r="M154" s="287"/>
      <c r="N154" s="287"/>
      <c r="O154" s="291"/>
    </row>
    <row r="155" spans="6:15" s="117" customFormat="1" ht="15">
      <c r="F155" s="127"/>
      <c r="G155" s="128"/>
      <c r="H155" s="291"/>
      <c r="I155" s="287"/>
      <c r="J155" s="287"/>
      <c r="K155" s="287"/>
      <c r="L155" s="287"/>
      <c r="M155" s="287"/>
      <c r="N155" s="287"/>
      <c r="O155" s="291"/>
    </row>
    <row r="156" spans="6:15" s="117" customFormat="1" ht="15">
      <c r="F156" s="127"/>
      <c r="G156" s="128"/>
      <c r="H156" s="291"/>
      <c r="I156" s="287"/>
      <c r="J156" s="287"/>
      <c r="K156" s="287"/>
      <c r="L156" s="287"/>
      <c r="M156" s="287"/>
      <c r="N156" s="287"/>
      <c r="O156" s="291"/>
    </row>
    <row r="157" spans="6:15" s="117" customFormat="1" ht="15">
      <c r="F157" s="127"/>
      <c r="G157" s="128"/>
      <c r="H157" s="291"/>
      <c r="I157" s="287"/>
      <c r="J157" s="287"/>
      <c r="K157" s="287"/>
      <c r="L157" s="287"/>
      <c r="M157" s="287"/>
      <c r="N157" s="287"/>
      <c r="O157" s="291"/>
    </row>
    <row r="158" spans="6:15" s="117" customFormat="1" ht="15">
      <c r="F158" s="127"/>
      <c r="G158" s="128"/>
      <c r="H158" s="291"/>
      <c r="I158" s="287"/>
      <c r="J158" s="287"/>
      <c r="K158" s="287"/>
      <c r="L158" s="287"/>
      <c r="M158" s="287"/>
      <c r="N158" s="287"/>
      <c r="O158" s="291"/>
    </row>
    <row r="159" spans="6:15" s="117" customFormat="1" ht="15">
      <c r="F159" s="127"/>
      <c r="G159" s="128"/>
      <c r="H159" s="291"/>
      <c r="I159" s="287"/>
      <c r="J159" s="287"/>
      <c r="K159" s="287"/>
      <c r="L159" s="287"/>
      <c r="M159" s="287"/>
      <c r="N159" s="287"/>
      <c r="O159" s="291"/>
    </row>
    <row r="160" spans="6:15" s="117" customFormat="1" ht="15">
      <c r="F160" s="127"/>
      <c r="G160" s="128"/>
      <c r="H160" s="291"/>
      <c r="I160" s="287"/>
      <c r="J160" s="287"/>
      <c r="K160" s="287"/>
      <c r="L160" s="287"/>
      <c r="M160" s="287"/>
      <c r="N160" s="287"/>
      <c r="O160" s="291"/>
    </row>
    <row r="161" spans="6:15" s="117" customFormat="1" ht="15">
      <c r="F161" s="127"/>
      <c r="G161" s="128"/>
      <c r="H161" s="291"/>
      <c r="I161" s="287"/>
      <c r="J161" s="287"/>
      <c r="K161" s="287"/>
      <c r="L161" s="287"/>
      <c r="M161" s="287"/>
      <c r="N161" s="287"/>
      <c r="O161" s="291"/>
    </row>
    <row r="162" spans="6:15" s="117" customFormat="1" ht="15">
      <c r="F162" s="127"/>
      <c r="G162" s="128"/>
      <c r="H162" s="291"/>
      <c r="I162" s="287"/>
      <c r="J162" s="287"/>
      <c r="K162" s="287"/>
      <c r="L162" s="287"/>
      <c r="M162" s="287"/>
      <c r="N162" s="287"/>
      <c r="O162" s="291"/>
    </row>
    <row r="163" spans="6:15" s="117" customFormat="1" ht="15">
      <c r="F163" s="127"/>
      <c r="G163" s="128"/>
      <c r="H163" s="291"/>
      <c r="I163" s="287"/>
      <c r="J163" s="287"/>
      <c r="K163" s="287"/>
      <c r="L163" s="287"/>
      <c r="M163" s="287"/>
      <c r="N163" s="287"/>
      <c r="O163" s="291"/>
    </row>
    <row r="164" spans="6:15" s="117" customFormat="1" ht="15">
      <c r="F164" s="127"/>
      <c r="G164" s="128"/>
      <c r="H164" s="291"/>
      <c r="I164" s="287"/>
      <c r="J164" s="287"/>
      <c r="K164" s="287"/>
      <c r="L164" s="287"/>
      <c r="M164" s="287"/>
      <c r="N164" s="287"/>
      <c r="O164" s="291"/>
    </row>
    <row r="165" spans="6:15" s="117" customFormat="1" ht="15">
      <c r="F165" s="127"/>
      <c r="G165" s="128"/>
      <c r="H165" s="291"/>
      <c r="I165" s="287"/>
      <c r="J165" s="287"/>
      <c r="K165" s="287"/>
      <c r="L165" s="287"/>
      <c r="M165" s="287"/>
      <c r="N165" s="287"/>
      <c r="O165" s="291"/>
    </row>
    <row r="166" spans="6:15" s="117" customFormat="1" ht="15">
      <c r="F166" s="127"/>
      <c r="G166" s="128"/>
      <c r="H166" s="291"/>
      <c r="I166" s="287"/>
      <c r="J166" s="287"/>
      <c r="K166" s="287"/>
      <c r="L166" s="287"/>
      <c r="M166" s="287"/>
      <c r="N166" s="287"/>
      <c r="O166" s="291"/>
    </row>
    <row r="167" spans="6:15" s="117" customFormat="1" ht="15">
      <c r="F167" s="127"/>
      <c r="G167" s="128"/>
      <c r="H167" s="291"/>
      <c r="I167" s="287"/>
      <c r="J167" s="287"/>
      <c r="K167" s="287"/>
      <c r="L167" s="287"/>
      <c r="M167" s="287"/>
      <c r="N167" s="287"/>
      <c r="O167" s="291"/>
    </row>
    <row r="168" spans="6:15" s="117" customFormat="1" ht="15">
      <c r="F168" s="127"/>
      <c r="G168" s="128"/>
      <c r="H168" s="291"/>
      <c r="I168" s="287"/>
      <c r="J168" s="287"/>
      <c r="K168" s="287"/>
      <c r="L168" s="287"/>
      <c r="M168" s="287"/>
      <c r="N168" s="287"/>
      <c r="O168" s="291"/>
    </row>
    <row r="169" spans="6:15" s="117" customFormat="1" ht="15">
      <c r="F169" s="127"/>
      <c r="G169" s="128"/>
      <c r="H169" s="291"/>
      <c r="I169" s="287"/>
      <c r="J169" s="287"/>
      <c r="K169" s="287"/>
      <c r="L169" s="287"/>
      <c r="M169" s="287"/>
      <c r="N169" s="287"/>
      <c r="O169" s="291"/>
    </row>
    <row r="170" spans="6:15" s="117" customFormat="1" ht="15">
      <c r="F170" s="127"/>
      <c r="G170" s="128"/>
      <c r="H170" s="291"/>
      <c r="I170" s="287"/>
      <c r="J170" s="287"/>
      <c r="K170" s="287"/>
      <c r="L170" s="287"/>
      <c r="M170" s="287"/>
      <c r="N170" s="287"/>
      <c r="O170" s="291"/>
    </row>
  </sheetData>
  <mergeCells count="4">
    <mergeCell ref="A1:O1"/>
    <mergeCell ref="A2:O2"/>
    <mergeCell ref="M3:N3"/>
    <mergeCell ref="B4:F4"/>
  </mergeCells>
  <printOptions horizontalCentered="1"/>
  <pageMargins left="0.23622047244094499" right="0.15748031496063" top="0.35433070866141703" bottom="0.69" header="0.38" footer="0.23622047244094499"/>
  <pageSetup paperSize="9" scale="77" orientation="portrait" errors="blank"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FF0000"/>
  </sheetPr>
  <dimension ref="A1:I25"/>
  <sheetViews>
    <sheetView topLeftCell="A7" workbookViewId="0">
      <selection activeCell="G25" sqref="G25"/>
    </sheetView>
  </sheetViews>
  <sheetFormatPr defaultRowHeight="12.75"/>
  <cols>
    <col min="1" max="1" width="9.140625" style="453"/>
    <col min="2" max="2" width="12.5703125" style="453" customWidth="1"/>
    <col min="3" max="6" width="9.140625" style="453"/>
    <col min="7" max="7" width="11" style="453" customWidth="1"/>
    <col min="8" max="8" width="11.28515625" style="453" customWidth="1"/>
    <col min="9" max="16384" width="9.140625" style="453"/>
  </cols>
  <sheetData>
    <row r="1" spans="1:9" s="450" customFormat="1" ht="81" customHeight="1">
      <c r="A1" s="450" t="s">
        <v>521</v>
      </c>
      <c r="C1" s="1243" t="str">
        <f>'lead 2025-26'!C3</f>
        <v>Providing BT Surface to the road from Inimerla SC colony to National Highway at Nuchupoda in Inimerla GP of Pamuru Mandal.</v>
      </c>
      <c r="D1" s="1243"/>
      <c r="E1" s="1243"/>
      <c r="F1" s="1243"/>
      <c r="G1" s="1243"/>
      <c r="H1" s="1243"/>
      <c r="I1" s="1243"/>
    </row>
    <row r="2" spans="1:9" s="451" customFormat="1" ht="17.25" customHeight="1">
      <c r="A2" s="451" t="s">
        <v>522</v>
      </c>
      <c r="C2" s="452" t="str">
        <f>'lead 2025-26'!K4</f>
        <v>140.00 Lakhs</v>
      </c>
    </row>
    <row r="3" spans="1:9" s="451" customFormat="1" ht="17.25" customHeight="1">
      <c r="A3" s="451" t="s">
        <v>523</v>
      </c>
      <c r="C3" s="451" t="str">
        <f>'C-1'!C3</f>
        <v>MGNREGS Grant</v>
      </c>
    </row>
    <row r="8" spans="1:9" ht="15.75">
      <c r="A8" s="1244" t="s">
        <v>524</v>
      </c>
      <c r="B8" s="1244"/>
      <c r="C8" s="1244"/>
      <c r="D8" s="1244"/>
      <c r="E8" s="1244"/>
      <c r="F8" s="1244"/>
      <c r="G8" s="1244"/>
      <c r="H8" s="1244"/>
      <c r="I8" s="1244"/>
    </row>
    <row r="9" spans="1:9" ht="15.75">
      <c r="A9" s="454"/>
      <c r="B9" s="454"/>
      <c r="C9" s="454"/>
      <c r="D9" s="454"/>
      <c r="E9" s="454"/>
      <c r="F9" s="454"/>
      <c r="G9" s="454"/>
      <c r="H9" s="454"/>
      <c r="I9" s="454"/>
    </row>
    <row r="10" spans="1:9" ht="30" customHeight="1">
      <c r="A10" s="455">
        <v>1</v>
      </c>
      <c r="B10" s="1241" t="s">
        <v>666</v>
      </c>
      <c r="C10" s="1241"/>
      <c r="D10" s="1241"/>
      <c r="E10" s="1241"/>
      <c r="F10" s="1241"/>
      <c r="G10" s="1241"/>
      <c r="H10" s="1241"/>
      <c r="I10" s="1241"/>
    </row>
    <row r="11" spans="1:9" ht="30.75" customHeight="1">
      <c r="A11" s="455">
        <v>2</v>
      </c>
      <c r="B11" s="1241" t="s">
        <v>1133</v>
      </c>
      <c r="C11" s="1241"/>
      <c r="D11" s="1241"/>
      <c r="E11" s="1241"/>
      <c r="F11" s="1241"/>
      <c r="G11" s="1241"/>
      <c r="H11" s="1241"/>
      <c r="I11" s="1241"/>
    </row>
    <row r="12" spans="1:9" ht="37.5" customHeight="1">
      <c r="A12" s="455">
        <v>3</v>
      </c>
      <c r="B12" s="1241" t="s">
        <v>1134</v>
      </c>
      <c r="C12" s="1241"/>
      <c r="D12" s="1241"/>
      <c r="E12" s="1241"/>
      <c r="F12" s="1241"/>
      <c r="G12" s="1241"/>
      <c r="H12" s="1241"/>
      <c r="I12" s="1241"/>
    </row>
    <row r="13" spans="1:9" ht="34.5" customHeight="1">
      <c r="A13" s="455">
        <v>4</v>
      </c>
      <c r="B13" s="1241" t="s">
        <v>525</v>
      </c>
      <c r="C13" s="1241"/>
      <c r="D13" s="1241"/>
      <c r="E13" s="1241"/>
      <c r="F13" s="1241"/>
      <c r="G13" s="1241"/>
      <c r="H13" s="1241"/>
      <c r="I13" s="1241"/>
    </row>
    <row r="14" spans="1:9" ht="27.75" customHeight="1">
      <c r="A14" s="455">
        <v>5</v>
      </c>
      <c r="B14" s="1241" t="s">
        <v>1135</v>
      </c>
      <c r="C14" s="1241"/>
      <c r="D14" s="1241"/>
      <c r="E14" s="1241"/>
      <c r="F14" s="1241"/>
      <c r="G14" s="1241"/>
      <c r="H14" s="1241"/>
      <c r="I14" s="1241"/>
    </row>
    <row r="15" spans="1:9" ht="25.5" hidden="1" customHeight="1">
      <c r="A15" s="455">
        <v>6</v>
      </c>
      <c r="B15" s="1241" t="s">
        <v>526</v>
      </c>
      <c r="C15" s="1241"/>
      <c r="D15" s="1241"/>
      <c r="E15" s="1241"/>
      <c r="F15" s="1241"/>
      <c r="G15" s="1241"/>
      <c r="H15" s="1241"/>
      <c r="I15" s="1241"/>
    </row>
    <row r="16" spans="1:9" ht="21" hidden="1" customHeight="1">
      <c r="A16" s="455"/>
      <c r="B16" s="456" t="s">
        <v>527</v>
      </c>
      <c r="C16" s="456"/>
      <c r="D16" s="456"/>
      <c r="E16" s="456"/>
      <c r="F16" s="456"/>
      <c r="G16" s="456" t="s">
        <v>528</v>
      </c>
      <c r="H16" s="456"/>
      <c r="I16" s="456"/>
    </row>
    <row r="17" spans="1:9" ht="21" hidden="1" customHeight="1">
      <c r="A17" s="455"/>
      <c r="B17" s="1242" t="s">
        <v>529</v>
      </c>
      <c r="C17" s="1242"/>
      <c r="D17" s="1242"/>
      <c r="E17" s="1242"/>
      <c r="F17" s="1242"/>
      <c r="G17" s="1242"/>
      <c r="H17" s="1242"/>
      <c r="I17" s="1242"/>
    </row>
    <row r="18" spans="1:9" ht="29.25" customHeight="1">
      <c r="A18" s="455">
        <v>6</v>
      </c>
      <c r="B18" s="1241" t="s">
        <v>530</v>
      </c>
      <c r="C18" s="1241"/>
      <c r="D18" s="1241"/>
      <c r="E18" s="1241"/>
      <c r="F18" s="1241"/>
      <c r="G18" s="1241"/>
      <c r="H18" s="1241"/>
      <c r="I18" s="1241"/>
    </row>
    <row r="23" spans="1:9">
      <c r="B23" s="457"/>
      <c r="C23" s="457"/>
      <c r="D23" s="457"/>
      <c r="E23" s="457"/>
      <c r="F23" s="457" t="s">
        <v>531</v>
      </c>
      <c r="G23" s="458"/>
      <c r="H23" s="458" t="str">
        <f>'lead 2025-26'!J37</f>
        <v>Assistant   Engineer</v>
      </c>
    </row>
    <row r="24" spans="1:9">
      <c r="B24" s="457"/>
      <c r="C24" s="457"/>
      <c r="D24" s="457"/>
      <c r="E24" s="457"/>
      <c r="F24" s="457" t="s">
        <v>532</v>
      </c>
      <c r="G24" s="457"/>
      <c r="H24" s="458" t="str">
        <f>'lead 2025-26'!J38</f>
        <v>Mandal Praja Parishad</v>
      </c>
    </row>
    <row r="25" spans="1:9">
      <c r="B25" s="457"/>
      <c r="C25" s="457"/>
      <c r="D25" s="457"/>
      <c r="E25" s="457"/>
      <c r="F25" s="457" t="s">
        <v>166</v>
      </c>
      <c r="G25" s="459"/>
      <c r="H25" s="458" t="str">
        <f>'lead 2025-26'!J39</f>
        <v>Pamuru</v>
      </c>
    </row>
  </sheetData>
  <mergeCells count="10">
    <mergeCell ref="B14:I14"/>
    <mergeCell ref="B15:I15"/>
    <mergeCell ref="B17:I17"/>
    <mergeCell ref="B18:I18"/>
    <mergeCell ref="C1:I1"/>
    <mergeCell ref="A8:I8"/>
    <mergeCell ref="B10:I10"/>
    <mergeCell ref="B11:I11"/>
    <mergeCell ref="B12:I12"/>
    <mergeCell ref="B13:I1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FF0000"/>
  </sheetPr>
  <dimension ref="A1:I10"/>
  <sheetViews>
    <sheetView zoomScale="85" zoomScaleNormal="85" workbookViewId="0">
      <selection activeCell="I10" sqref="I10"/>
    </sheetView>
  </sheetViews>
  <sheetFormatPr defaultRowHeight="12.75"/>
  <cols>
    <col min="1" max="1" width="9.140625" style="460"/>
    <col min="2" max="2" width="9.85546875" style="460" customWidth="1"/>
    <col min="3" max="6" width="9.140625" style="460"/>
    <col min="7" max="7" width="11" style="460" customWidth="1"/>
    <col min="8" max="8" width="11.28515625" style="460" customWidth="1"/>
    <col min="9" max="16384" width="9.140625" style="460"/>
  </cols>
  <sheetData>
    <row r="1" spans="1:9" ht="26.25" customHeight="1">
      <c r="A1" s="1247" t="s">
        <v>533</v>
      </c>
      <c r="B1" s="1247"/>
      <c r="C1" s="1247"/>
      <c r="D1" s="1247"/>
      <c r="E1" s="1247"/>
      <c r="F1" s="1247"/>
      <c r="G1" s="1247"/>
      <c r="H1" s="1247"/>
      <c r="I1" s="1247"/>
    </row>
    <row r="2" spans="1:9" s="461" customFormat="1" ht="48" customHeight="1">
      <c r="A2" s="1247" t="s">
        <v>276</v>
      </c>
      <c r="B2" s="1247"/>
      <c r="C2" s="1247"/>
      <c r="D2" s="1248" t="str">
        <f>'lead 2025-26'!C3</f>
        <v>Providing BT Surface to the road from Inimerla SC colony to National Highway at Nuchupoda in Inimerla GP of Pamuru Mandal.</v>
      </c>
      <c r="E2" s="1248"/>
      <c r="F2" s="1248"/>
      <c r="G2" s="1248"/>
      <c r="H2" s="1248"/>
      <c r="I2" s="1248"/>
    </row>
    <row r="3" spans="1:9" ht="26.25" customHeight="1">
      <c r="A3" s="1247" t="s">
        <v>534</v>
      </c>
      <c r="B3" s="1247"/>
      <c r="C3" s="1247"/>
      <c r="D3" s="1249" t="str">
        <f>'lead 2025-26'!K4</f>
        <v>140.00 Lakhs</v>
      </c>
      <c r="E3" s="1248"/>
      <c r="F3" s="1248"/>
      <c r="G3" s="1248"/>
      <c r="H3" s="1248"/>
      <c r="I3" s="1248"/>
    </row>
    <row r="4" spans="1:9" ht="26.25" customHeight="1">
      <c r="A4" s="462"/>
      <c r="B4" s="462"/>
      <c r="C4" s="462"/>
      <c r="D4" s="462"/>
      <c r="E4" s="462"/>
      <c r="F4" s="462"/>
      <c r="G4" s="462"/>
      <c r="H4" s="462"/>
      <c r="I4" s="462"/>
    </row>
    <row r="5" spans="1:9" ht="84" customHeight="1">
      <c r="A5" s="1245" t="s">
        <v>535</v>
      </c>
      <c r="B5" s="1246"/>
      <c r="C5" s="1246"/>
      <c r="D5" s="1246"/>
      <c r="E5" s="1246"/>
      <c r="F5" s="1246"/>
      <c r="G5" s="1246"/>
      <c r="H5" s="1246"/>
      <c r="I5" s="1246"/>
    </row>
    <row r="10" spans="1:9">
      <c r="G10" s="460" t="s">
        <v>1136</v>
      </c>
    </row>
  </sheetData>
  <mergeCells count="6">
    <mergeCell ref="A5:I5"/>
    <mergeCell ref="A1:I1"/>
    <mergeCell ref="A2:C2"/>
    <mergeCell ref="D2:I2"/>
    <mergeCell ref="A3:C3"/>
    <mergeCell ref="D3:I3"/>
  </mergeCells>
  <printOptions horizontalCentered="1"/>
  <pageMargins left="0.23622047244094499" right="0.15748031496063" top="0.35433070866141703" bottom="0.69" header="0.38" footer="0.23622047244094499"/>
  <pageSetup paperSize="9" orientation="portrait" errors="blank"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00B050"/>
  </sheetPr>
  <dimension ref="A1:P133"/>
  <sheetViews>
    <sheetView zoomScaleSheetLayoutView="100" workbookViewId="0">
      <selection activeCell="N17" sqref="N17"/>
    </sheetView>
  </sheetViews>
  <sheetFormatPr defaultRowHeight="12.75"/>
  <cols>
    <col min="1" max="1" width="9.7109375" style="463" customWidth="1"/>
    <col min="2" max="2" width="14.28515625" style="463" customWidth="1"/>
    <col min="3" max="3" width="24.140625" style="463" customWidth="1"/>
    <col min="4" max="4" width="10" style="496" customWidth="1"/>
    <col min="5" max="5" width="4.5703125" style="497" customWidth="1"/>
    <col min="6" max="6" width="4.5703125" style="463" customWidth="1"/>
    <col min="7" max="7" width="14.42578125" style="463" customWidth="1"/>
    <col min="8" max="8" width="9.42578125" style="463" customWidth="1"/>
    <col min="9" max="9" width="5.7109375" style="463" customWidth="1"/>
    <col min="10" max="10" width="11" style="497" customWidth="1"/>
    <col min="11" max="11" width="11.7109375" style="497" customWidth="1"/>
    <col min="12" max="12" width="11.42578125" style="463" customWidth="1"/>
    <col min="13" max="13" width="11.28515625" style="463" customWidth="1"/>
    <col min="14" max="14" width="11.42578125" style="463" customWidth="1"/>
    <col min="15" max="15" width="9.140625" style="463"/>
    <col min="16" max="16" width="9.85546875" style="463" customWidth="1"/>
    <col min="17" max="16384" width="9.140625" style="463"/>
  </cols>
  <sheetData>
    <row r="1" spans="1:16" ht="19.5" customHeight="1">
      <c r="A1" s="1253" t="s">
        <v>536</v>
      </c>
      <c r="B1" s="1254"/>
      <c r="C1" s="1254"/>
      <c r="D1" s="1254"/>
      <c r="E1" s="1254"/>
      <c r="F1" s="1254"/>
      <c r="G1" s="1254"/>
      <c r="H1" s="1254"/>
      <c r="I1" s="1254"/>
      <c r="J1" s="1254"/>
      <c r="K1" s="1255"/>
      <c r="L1" s="1255"/>
    </row>
    <row r="2" spans="1:16" s="464" customFormat="1" ht="40.5" customHeight="1">
      <c r="A2" s="1256" t="str">
        <f>'lead 2025-26'!B3&amp;'lead 2025-26'!C3</f>
        <v>Name of the work : Providing BT Surface to the road from Inimerla SC colony to National Highway at Nuchupoda in Inimerla GP of Pamuru Mandal.</v>
      </c>
      <c r="B2" s="1257"/>
      <c r="C2" s="1257"/>
      <c r="D2" s="1257"/>
      <c r="E2" s="1257"/>
      <c r="F2" s="1257"/>
      <c r="G2" s="1257"/>
      <c r="H2" s="1257"/>
      <c r="I2" s="1257"/>
      <c r="J2" s="1257"/>
      <c r="K2" s="1257"/>
      <c r="L2" s="1257"/>
    </row>
    <row r="3" spans="1:16" s="464" customFormat="1" ht="14.25" customHeight="1">
      <c r="A3" s="465" t="s">
        <v>537</v>
      </c>
      <c r="B3" s="466">
        <f>'CC f -2'!E2</f>
        <v>0</v>
      </c>
      <c r="C3" s="467"/>
      <c r="D3" s="467"/>
      <c r="E3" s="468"/>
      <c r="F3" s="467"/>
      <c r="G3" s="467"/>
      <c r="H3" s="467"/>
      <c r="I3" s="467"/>
      <c r="J3" s="467"/>
      <c r="K3" s="467"/>
      <c r="L3" s="467"/>
    </row>
    <row r="4" spans="1:16" s="464" customFormat="1" ht="14.25" customHeight="1">
      <c r="A4" s="465" t="s">
        <v>538</v>
      </c>
      <c r="B4" s="469" t="s">
        <v>166</v>
      </c>
      <c r="C4" s="467"/>
      <c r="D4" s="467"/>
      <c r="E4" s="468"/>
      <c r="F4" s="467"/>
      <c r="G4" s="467"/>
      <c r="H4" s="467"/>
      <c r="I4" s="467"/>
      <c r="J4" s="467"/>
      <c r="K4" s="467"/>
      <c r="L4" s="467"/>
    </row>
    <row r="5" spans="1:16" s="464" customFormat="1" ht="15" customHeight="1">
      <c r="A5" s="470" t="s">
        <v>539</v>
      </c>
      <c r="B5" s="466" t="str">
        <f>'C-1'!C3</f>
        <v>MGNREGS Grant</v>
      </c>
      <c r="C5" s="466"/>
      <c r="D5" s="471"/>
      <c r="E5" s="468"/>
      <c r="F5" s="466"/>
      <c r="G5" s="466"/>
      <c r="H5" s="466"/>
      <c r="I5" s="466"/>
      <c r="J5" s="472" t="s">
        <v>540</v>
      </c>
      <c r="K5" s="473" t="str">
        <f>'lead 2025-26'!K4</f>
        <v>140.00 Lakhs</v>
      </c>
      <c r="L5" s="474"/>
    </row>
    <row r="6" spans="1:16" s="464" customFormat="1" ht="15">
      <c r="A6" s="470"/>
      <c r="B6" s="466"/>
      <c r="C6" s="466"/>
      <c r="D6" s="471"/>
      <c r="E6" s="468"/>
      <c r="F6" s="466"/>
      <c r="G6" s="466"/>
      <c r="H6" s="466"/>
      <c r="I6" s="466"/>
      <c r="J6" s="475" t="s">
        <v>1137</v>
      </c>
      <c r="K6" s="476"/>
      <c r="L6" s="476"/>
    </row>
    <row r="7" spans="1:16" s="464" customFormat="1" ht="19.5" customHeight="1">
      <c r="A7" s="1258" t="s">
        <v>35</v>
      </c>
      <c r="B7" s="1258" t="s">
        <v>541</v>
      </c>
      <c r="C7" s="1258" t="s">
        <v>542</v>
      </c>
      <c r="D7" s="1258" t="s">
        <v>543</v>
      </c>
      <c r="E7" s="1250" t="s">
        <v>544</v>
      </c>
      <c r="F7" s="1251"/>
      <c r="G7" s="1251"/>
      <c r="H7" s="1251"/>
      <c r="I7" s="1251"/>
      <c r="J7" s="1251"/>
      <c r="K7" s="1252"/>
      <c r="L7" s="1258" t="s">
        <v>545</v>
      </c>
      <c r="M7" s="477">
        <f>[3]WORK!B39</f>
        <v>0</v>
      </c>
    </row>
    <row r="8" spans="1:16" s="464" customFormat="1" ht="26.25" customHeight="1">
      <c r="A8" s="1258"/>
      <c r="B8" s="1258"/>
      <c r="C8" s="1258"/>
      <c r="D8" s="1258"/>
      <c r="E8" s="1250" t="s">
        <v>546</v>
      </c>
      <c r="F8" s="1251"/>
      <c r="G8" s="1252"/>
      <c r="H8" s="1250" t="s">
        <v>14</v>
      </c>
      <c r="I8" s="1252"/>
      <c r="J8" s="478" t="s">
        <v>547</v>
      </c>
      <c r="K8" s="478" t="s">
        <v>182</v>
      </c>
      <c r="L8" s="1258"/>
    </row>
    <row r="9" spans="1:16" s="464" customFormat="1" ht="16.5" customHeight="1">
      <c r="A9" s="478" t="s">
        <v>497</v>
      </c>
      <c r="B9" s="478" t="s">
        <v>498</v>
      </c>
      <c r="C9" s="478" t="s">
        <v>499</v>
      </c>
      <c r="D9" s="478" t="s">
        <v>500</v>
      </c>
      <c r="E9" s="1250" t="s">
        <v>501</v>
      </c>
      <c r="F9" s="1251"/>
      <c r="G9" s="1252"/>
      <c r="H9" s="1250" t="s">
        <v>502</v>
      </c>
      <c r="I9" s="1252"/>
      <c r="J9" s="478" t="s">
        <v>503</v>
      </c>
      <c r="K9" s="478" t="s">
        <v>504</v>
      </c>
      <c r="L9" s="478" t="s">
        <v>505</v>
      </c>
    </row>
    <row r="10" spans="1:16" s="488" customFormat="1" ht="22.5" customHeight="1">
      <c r="A10" s="479" t="s">
        <v>497</v>
      </c>
      <c r="B10" s="480"/>
      <c r="C10" s="481" t="s">
        <v>548</v>
      </c>
      <c r="D10" s="482">
        <f>'CC f -2'!D18</f>
        <v>15.27</v>
      </c>
      <c r="E10" s="483" t="str">
        <f>A10</f>
        <v>1</v>
      </c>
      <c r="F10" s="484" t="s">
        <v>549</v>
      </c>
      <c r="G10" s="485"/>
      <c r="H10" s="483">
        <f>N10</f>
        <v>15.5</v>
      </c>
      <c r="I10" s="485" t="s">
        <v>45</v>
      </c>
      <c r="J10" s="486">
        <f>'CC f -2'!F18</f>
        <v>4218.8</v>
      </c>
      <c r="K10" s="486">
        <f t="shared" ref="K10:K18" si="0">ROUND(H10*J10,20)</f>
        <v>65391.4</v>
      </c>
      <c r="L10" s="486">
        <f>'CC f -2'!I18</f>
        <v>64421</v>
      </c>
      <c r="M10" s="487"/>
      <c r="N10" s="483">
        <f>CEILING(D10,0.5)</f>
        <v>15.5</v>
      </c>
      <c r="O10" s="487"/>
      <c r="P10" s="487">
        <f>K10-L10</f>
        <v>970.40000000000146</v>
      </c>
    </row>
    <row r="11" spans="1:16" s="488" customFormat="1" ht="22.5" customHeight="1">
      <c r="A11" s="479" t="s">
        <v>498</v>
      </c>
      <c r="B11" s="480"/>
      <c r="C11" s="481" t="s">
        <v>72</v>
      </c>
      <c r="D11" s="483">
        <f>'CC f -2'!D19</f>
        <v>27.810000000000002</v>
      </c>
      <c r="E11" s="483" t="str">
        <f>A11</f>
        <v>2</v>
      </c>
      <c r="F11" s="484" t="s">
        <v>549</v>
      </c>
      <c r="G11" s="485"/>
      <c r="H11" s="483">
        <f t="shared" ref="H11:H17" si="1">CEILING(M11,0.5)</f>
        <v>10</v>
      </c>
      <c r="I11" s="485" t="s">
        <v>59</v>
      </c>
      <c r="J11" s="486">
        <f>CEILING(N11,100)</f>
        <v>3700</v>
      </c>
      <c r="K11" s="486">
        <f>ROUND(H11*J11,20)</f>
        <v>37000</v>
      </c>
      <c r="L11" s="486">
        <f>'CC f -2'!I19+'CC f -2'!I27</f>
        <v>35797</v>
      </c>
      <c r="M11" s="487">
        <f t="shared" ref="M11:M17" si="2">D11/2.83</f>
        <v>9.8268551236749122</v>
      </c>
      <c r="N11" s="487">
        <f>'lead 2025-26'!K9*2.83</f>
        <v>3642.747699999994</v>
      </c>
      <c r="O11" s="487"/>
      <c r="P11" s="487">
        <f t="shared" ref="P11:P19" si="3">K11-L11</f>
        <v>1203</v>
      </c>
    </row>
    <row r="12" spans="1:16" s="488" customFormat="1" ht="22.5" customHeight="1">
      <c r="A12" s="479" t="s">
        <v>499</v>
      </c>
      <c r="B12" s="480"/>
      <c r="C12" s="481" t="s">
        <v>550</v>
      </c>
      <c r="D12" s="483">
        <f>'CC f -2'!D26</f>
        <v>672</v>
      </c>
      <c r="E12" s="483" t="str">
        <f>A12</f>
        <v>3</v>
      </c>
      <c r="F12" s="484" t="s">
        <v>549</v>
      </c>
      <c r="G12" s="485"/>
      <c r="H12" s="483">
        <f t="shared" si="1"/>
        <v>237.5</v>
      </c>
      <c r="I12" s="485" t="s">
        <v>59</v>
      </c>
      <c r="J12" s="486">
        <f>CEILING(N12,100)</f>
        <v>8300</v>
      </c>
      <c r="K12" s="486">
        <f>ROUND(H12*J12,20)</f>
        <v>1971250</v>
      </c>
      <c r="L12" s="486">
        <f>'CC f -2'!I26</f>
        <v>1967892</v>
      </c>
      <c r="M12" s="487">
        <f t="shared" si="2"/>
        <v>237.45583038869256</v>
      </c>
      <c r="N12" s="487">
        <f>'CC f -2'!F26*2.83</f>
        <v>8287.4002999999993</v>
      </c>
      <c r="O12" s="487"/>
      <c r="P12" s="487">
        <f t="shared" si="3"/>
        <v>3358</v>
      </c>
    </row>
    <row r="13" spans="1:16" s="488" customFormat="1" ht="22.5" customHeight="1">
      <c r="A13" s="479" t="s">
        <v>499</v>
      </c>
      <c r="B13" s="480"/>
      <c r="C13" s="481" t="s">
        <v>579</v>
      </c>
      <c r="D13" s="483">
        <f>'CC f -2'!D20</f>
        <v>35.700000000000003</v>
      </c>
      <c r="E13" s="483" t="str">
        <f t="shared" ref="E13" si="4">A13</f>
        <v>3</v>
      </c>
      <c r="F13" s="484" t="s">
        <v>549</v>
      </c>
      <c r="G13" s="485"/>
      <c r="H13" s="483">
        <f t="shared" si="1"/>
        <v>13</v>
      </c>
      <c r="I13" s="485" t="s">
        <v>59</v>
      </c>
      <c r="J13" s="486">
        <f t="shared" ref="J13" si="5">CEILING(N13,100)</f>
        <v>6600</v>
      </c>
      <c r="K13" s="486">
        <f t="shared" ref="K13" si="6">ROUND(H13*J13,20)</f>
        <v>85800</v>
      </c>
      <c r="L13" s="486">
        <f>ROUND(D13*'lead 2025-26'!K16,0)</f>
        <v>83189</v>
      </c>
      <c r="M13" s="487">
        <f t="shared" si="2"/>
        <v>12.614840989399294</v>
      </c>
      <c r="N13" s="487">
        <f>'lead 2025-26'!K16*2.83</f>
        <v>6594.5508999999947</v>
      </c>
      <c r="O13" s="487"/>
      <c r="P13" s="487">
        <f t="shared" ref="P13" si="7">K13-L13</f>
        <v>2611</v>
      </c>
    </row>
    <row r="14" spans="1:16" s="488" customFormat="1" ht="22.5" customHeight="1">
      <c r="A14" s="479" t="s">
        <v>500</v>
      </c>
      <c r="B14" s="480"/>
      <c r="C14" s="481" t="s">
        <v>551</v>
      </c>
      <c r="D14" s="483">
        <f>'CC f -2'!D21</f>
        <v>9.9600000000000009</v>
      </c>
      <c r="E14" s="483" t="str">
        <f t="shared" ref="E14:E18" si="8">A14</f>
        <v>4</v>
      </c>
      <c r="F14" s="484" t="s">
        <v>549</v>
      </c>
      <c r="G14" s="485"/>
      <c r="H14" s="483">
        <f t="shared" si="1"/>
        <v>4</v>
      </c>
      <c r="I14" s="485" t="s">
        <v>59</v>
      </c>
      <c r="J14" s="486">
        <f t="shared" ref="J14:J17" si="9">CEILING(N14,100)</f>
        <v>8500</v>
      </c>
      <c r="K14" s="486">
        <f t="shared" si="0"/>
        <v>34000</v>
      </c>
      <c r="L14" s="486">
        <f>ROUND(D14*'lead 2025-26'!K12,0)</f>
        <v>29621</v>
      </c>
      <c r="M14" s="487">
        <f t="shared" si="2"/>
        <v>3.5194346289752652</v>
      </c>
      <c r="N14" s="487">
        <f>'lead 2025-26'!K12*2.83</f>
        <v>8416.3633999999947</v>
      </c>
      <c r="O14" s="487"/>
      <c r="P14" s="487">
        <f t="shared" si="3"/>
        <v>4379</v>
      </c>
    </row>
    <row r="15" spans="1:16" s="488" customFormat="1" ht="22.5" customHeight="1">
      <c r="A15" s="479" t="s">
        <v>501</v>
      </c>
      <c r="B15" s="480"/>
      <c r="C15" s="481" t="s">
        <v>552</v>
      </c>
      <c r="D15" s="483">
        <f>'CC f -2'!D22</f>
        <v>3.32</v>
      </c>
      <c r="E15" s="483" t="str">
        <f t="shared" si="8"/>
        <v>5</v>
      </c>
      <c r="F15" s="484" t="s">
        <v>549</v>
      </c>
      <c r="G15" s="485"/>
      <c r="H15" s="483">
        <f t="shared" si="1"/>
        <v>1.5</v>
      </c>
      <c r="I15" s="485" t="s">
        <v>59</v>
      </c>
      <c r="J15" s="486">
        <f t="shared" si="9"/>
        <v>7500</v>
      </c>
      <c r="K15" s="486">
        <f t="shared" si="0"/>
        <v>11250</v>
      </c>
      <c r="L15" s="486">
        <f>ROUND(D15*'lead 2025-26'!K13,0)</f>
        <v>8790</v>
      </c>
      <c r="M15" s="487">
        <f t="shared" si="2"/>
        <v>1.1731448763250882</v>
      </c>
      <c r="N15" s="487">
        <f>'lead 2025-26'!K13*2.83</f>
        <v>7493.0758999999953</v>
      </c>
      <c r="O15" s="487"/>
      <c r="P15" s="487">
        <f t="shared" si="3"/>
        <v>2460</v>
      </c>
    </row>
    <row r="16" spans="1:16" s="488" customFormat="1" ht="22.5" customHeight="1">
      <c r="A16" s="479" t="s">
        <v>499</v>
      </c>
      <c r="B16" s="480"/>
      <c r="C16" s="481" t="s">
        <v>1138</v>
      </c>
      <c r="D16" s="483">
        <f>seigneorage!N9+seigneorage!N11</f>
        <v>1486.8</v>
      </c>
      <c r="E16" s="483" t="str">
        <f>A16</f>
        <v>3</v>
      </c>
      <c r="F16" s="484" t="s">
        <v>549</v>
      </c>
      <c r="G16" s="485"/>
      <c r="H16" s="483">
        <f t="shared" ref="H16" si="10">CEILING(M16,0.5)</f>
        <v>525.5</v>
      </c>
      <c r="I16" s="485" t="s">
        <v>59</v>
      </c>
      <c r="J16" s="486">
        <f>CEILING(N16,100)</f>
        <v>3700</v>
      </c>
      <c r="K16" s="486">
        <f>ROUND(H16*J16,20)</f>
        <v>1944350</v>
      </c>
      <c r="L16" s="486">
        <f>'R-2'!P10+'R-2'!P13</f>
        <v>1929465</v>
      </c>
      <c r="M16" s="487">
        <f t="shared" ref="M16" si="11">D16/2.83</f>
        <v>525.37102473498226</v>
      </c>
      <c r="N16" s="487">
        <f>(L16/D16)*2.83</f>
        <v>3672.5759685230023</v>
      </c>
      <c r="O16" s="487"/>
      <c r="P16" s="487">
        <f t="shared" ref="P16" si="12">K16-L16</f>
        <v>14885</v>
      </c>
    </row>
    <row r="17" spans="1:16" s="488" customFormat="1" ht="22.5" customHeight="1">
      <c r="A17" s="479" t="s">
        <v>502</v>
      </c>
      <c r="B17" s="480"/>
      <c r="C17" s="481" t="s">
        <v>167</v>
      </c>
      <c r="D17" s="483">
        <f>'CC f -2'!D23</f>
        <v>907.2</v>
      </c>
      <c r="E17" s="483" t="str">
        <f t="shared" si="8"/>
        <v>6</v>
      </c>
      <c r="F17" s="484" t="s">
        <v>549</v>
      </c>
      <c r="G17" s="485"/>
      <c r="H17" s="483">
        <f t="shared" si="1"/>
        <v>321</v>
      </c>
      <c r="I17" s="485" t="s">
        <v>59</v>
      </c>
      <c r="J17" s="486">
        <f t="shared" si="9"/>
        <v>1100</v>
      </c>
      <c r="K17" s="486">
        <f t="shared" si="0"/>
        <v>353100</v>
      </c>
      <c r="L17" s="486">
        <f>'CC f -2'!I23</f>
        <v>348410</v>
      </c>
      <c r="M17" s="487">
        <f t="shared" si="2"/>
        <v>320.56537102473499</v>
      </c>
      <c r="N17" s="487">
        <f>'CC f -2'!F23*2.83</f>
        <v>1086.8615</v>
      </c>
      <c r="O17" s="487"/>
      <c r="P17" s="487">
        <f t="shared" si="3"/>
        <v>4690</v>
      </c>
    </row>
    <row r="18" spans="1:16" s="488" customFormat="1" ht="22.5" customHeight="1">
      <c r="A18" s="479" t="s">
        <v>502</v>
      </c>
      <c r="B18" s="480"/>
      <c r="C18" s="481" t="s">
        <v>553</v>
      </c>
      <c r="D18" s="483">
        <v>1</v>
      </c>
      <c r="E18" s="483" t="str">
        <f t="shared" si="8"/>
        <v>6</v>
      </c>
      <c r="F18" s="484" t="s">
        <v>549</v>
      </c>
      <c r="G18" s="485"/>
      <c r="H18" s="483">
        <v>1</v>
      </c>
      <c r="I18" s="485" t="s">
        <v>60</v>
      </c>
      <c r="J18" s="486">
        <f>CEILING(L18,1000)</f>
        <v>5711000</v>
      </c>
      <c r="K18" s="486">
        <f t="shared" si="0"/>
        <v>5711000</v>
      </c>
      <c r="L18" s="486">
        <f>'CC f -2'!I32+'CC f -2'!I24+'CC f -2'!I25+'CC f -2'!I30+'CC f -2'!I31</f>
        <v>5710908</v>
      </c>
      <c r="M18" s="487"/>
      <c r="N18" s="487"/>
      <c r="O18" s="487"/>
      <c r="P18" s="487">
        <f t="shared" si="3"/>
        <v>92</v>
      </c>
    </row>
    <row r="19" spans="1:16" s="488" customFormat="1" ht="22.5" customHeight="1">
      <c r="A19" s="479" t="s">
        <v>503</v>
      </c>
      <c r="B19" s="489"/>
      <c r="C19" s="490" t="s">
        <v>554</v>
      </c>
      <c r="D19" s="483"/>
      <c r="E19" s="483"/>
      <c r="F19" s="491"/>
      <c r="G19" s="492"/>
      <c r="H19" s="483"/>
      <c r="I19" s="485"/>
      <c r="J19" s="486"/>
      <c r="K19" s="486">
        <f>'CC f -2'!I17</f>
        <v>0</v>
      </c>
      <c r="L19" s="486">
        <f>K19</f>
        <v>0</v>
      </c>
      <c r="M19" s="487"/>
      <c r="N19" s="487"/>
      <c r="O19" s="487"/>
      <c r="P19" s="487">
        <f t="shared" si="3"/>
        <v>0</v>
      </c>
    </row>
    <row r="20" spans="1:16" s="488" customFormat="1" ht="22.5" customHeight="1">
      <c r="A20" s="479"/>
      <c r="B20" s="489"/>
      <c r="C20" s="490"/>
      <c r="D20" s="483"/>
      <c r="E20" s="483"/>
      <c r="F20" s="491"/>
      <c r="G20" s="492"/>
      <c r="H20" s="483"/>
      <c r="I20" s="493"/>
      <c r="J20" s="486"/>
      <c r="K20" s="494">
        <f>SUM(K10:K19)</f>
        <v>10213141.4</v>
      </c>
      <c r="L20" s="494">
        <f>SUM(L10:L19)</f>
        <v>10178493</v>
      </c>
      <c r="M20" s="487">
        <f>'CC f -2'!H40-'CC f -2'!I31-'CC f -2'!I33-'CC f -2'!I34-'CC f -2'!H29</f>
        <v>10178493</v>
      </c>
      <c r="N20" s="487">
        <f>L20-M20</f>
        <v>0</v>
      </c>
      <c r="O20" s="487"/>
    </row>
    <row r="21" spans="1:16" ht="24.75" customHeight="1">
      <c r="A21" s="488"/>
      <c r="B21" s="495"/>
      <c r="M21" s="498">
        <f>K20-L20</f>
        <v>34648.400000000373</v>
      </c>
      <c r="N21" s="498"/>
      <c r="O21" s="498"/>
    </row>
    <row r="22" spans="1:16" ht="24.75" customHeight="1">
      <c r="A22" s="488"/>
      <c r="B22" s="495"/>
      <c r="M22" s="498"/>
      <c r="N22" s="498"/>
      <c r="O22" s="498"/>
    </row>
    <row r="23" spans="1:16">
      <c r="A23" s="488"/>
      <c r="B23" s="495"/>
      <c r="E23" s="499" t="str">
        <f>'[4]lead 2023-24'!G21</f>
        <v>Deputy Executive Engineer</v>
      </c>
      <c r="F23" s="500"/>
      <c r="G23" s="500"/>
      <c r="J23" s="500" t="str">
        <f>'lead 2025-26'!J37</f>
        <v>Assistant   Engineer</v>
      </c>
      <c r="K23" s="501"/>
    </row>
    <row r="24" spans="1:16">
      <c r="A24" s="488"/>
      <c r="B24" s="495"/>
      <c r="E24" s="499" t="str">
        <f>'[4]lead 2023-24'!G22</f>
        <v>PRI Sub Division: Kanigiri</v>
      </c>
      <c r="F24" s="500"/>
      <c r="G24" s="500"/>
      <c r="J24" s="500" t="str">
        <f>'lead 2025-26'!J38</f>
        <v>Mandal Praja Parishad</v>
      </c>
    </row>
    <row r="25" spans="1:16">
      <c r="A25" s="488"/>
      <c r="B25" s="495"/>
      <c r="J25" s="500" t="str">
        <f>'lead 2025-26'!J39</f>
        <v>Pamuru</v>
      </c>
    </row>
    <row r="26" spans="1:16">
      <c r="A26" s="488"/>
      <c r="B26" s="495"/>
    </row>
    <row r="27" spans="1:16" s="496" customFormat="1">
      <c r="A27" s="488"/>
      <c r="B27" s="495"/>
      <c r="C27" s="463"/>
      <c r="E27" s="497"/>
      <c r="F27" s="463"/>
      <c r="G27" s="463"/>
      <c r="H27" s="463"/>
      <c r="I27" s="463"/>
      <c r="J27" s="497"/>
      <c r="K27" s="497"/>
      <c r="L27" s="463"/>
      <c r="M27" s="463"/>
    </row>
    <row r="28" spans="1:16" s="496" customFormat="1">
      <c r="A28" s="488"/>
      <c r="B28" s="495"/>
      <c r="C28" s="463"/>
      <c r="E28" s="497"/>
      <c r="F28" s="463"/>
      <c r="G28" s="463"/>
      <c r="H28" s="463"/>
      <c r="I28" s="463"/>
      <c r="J28" s="497"/>
      <c r="K28" s="497"/>
      <c r="L28" s="463"/>
      <c r="M28" s="463"/>
    </row>
    <row r="29" spans="1:16" s="496" customFormat="1">
      <c r="A29" s="488"/>
      <c r="B29" s="495"/>
      <c r="C29" s="463"/>
      <c r="E29" s="497"/>
      <c r="F29" s="463"/>
      <c r="G29" s="463"/>
      <c r="H29" s="463"/>
      <c r="I29" s="463"/>
      <c r="J29" s="497"/>
      <c r="K29" s="497"/>
      <c r="L29" s="463"/>
      <c r="M29" s="463"/>
    </row>
    <row r="30" spans="1:16" s="496" customFormat="1">
      <c r="A30" s="488"/>
      <c r="B30" s="495"/>
      <c r="C30" s="463"/>
      <c r="E30" s="497"/>
      <c r="F30" s="463"/>
      <c r="G30" s="463"/>
      <c r="H30" s="463"/>
      <c r="I30" s="463"/>
      <c r="J30" s="497"/>
      <c r="K30" s="497"/>
      <c r="L30" s="463"/>
      <c r="M30" s="463"/>
    </row>
    <row r="31" spans="1:16" s="496" customFormat="1">
      <c r="A31" s="488"/>
      <c r="B31" s="463"/>
      <c r="C31" s="463"/>
      <c r="E31" s="497"/>
      <c r="F31" s="463"/>
      <c r="G31" s="463"/>
      <c r="H31" s="463"/>
      <c r="I31" s="463"/>
      <c r="J31" s="497"/>
      <c r="K31" s="497"/>
      <c r="L31" s="463"/>
      <c r="M31" s="463"/>
    </row>
    <row r="32" spans="1:16" s="496" customFormat="1">
      <c r="A32" s="488"/>
      <c r="B32" s="463"/>
      <c r="C32" s="463"/>
      <c r="E32" s="497"/>
      <c r="F32" s="463"/>
      <c r="G32" s="463"/>
      <c r="H32" s="463"/>
      <c r="I32" s="463"/>
      <c r="J32" s="497"/>
      <c r="K32" s="497"/>
      <c r="L32" s="463"/>
      <c r="M32" s="463"/>
    </row>
    <row r="33" spans="1:13" s="496" customFormat="1">
      <c r="A33" s="488"/>
      <c r="B33" s="463"/>
      <c r="C33" s="463"/>
      <c r="E33" s="497"/>
      <c r="F33" s="463"/>
      <c r="G33" s="463"/>
      <c r="H33" s="463"/>
      <c r="I33" s="463"/>
      <c r="J33" s="497"/>
      <c r="K33" s="497"/>
      <c r="L33" s="463"/>
      <c r="M33" s="463"/>
    </row>
    <row r="34" spans="1:13" s="496" customFormat="1">
      <c r="A34" s="488"/>
      <c r="B34" s="463"/>
      <c r="C34" s="463"/>
      <c r="E34" s="497"/>
      <c r="F34" s="463"/>
      <c r="G34" s="463"/>
      <c r="H34" s="463"/>
      <c r="I34" s="463"/>
      <c r="J34" s="497"/>
      <c r="K34" s="497"/>
      <c r="L34" s="463"/>
      <c r="M34" s="463"/>
    </row>
    <row r="35" spans="1:13" s="496" customFormat="1">
      <c r="A35" s="488"/>
      <c r="B35" s="463"/>
      <c r="C35" s="463"/>
      <c r="E35" s="497"/>
      <c r="F35" s="463"/>
      <c r="G35" s="463"/>
      <c r="H35" s="463"/>
      <c r="I35" s="463"/>
      <c r="J35" s="497"/>
      <c r="K35" s="497"/>
      <c r="L35" s="463"/>
      <c r="M35" s="463"/>
    </row>
    <row r="36" spans="1:13" s="496" customFormat="1">
      <c r="A36" s="488"/>
      <c r="B36" s="463"/>
      <c r="C36" s="463"/>
      <c r="E36" s="497"/>
      <c r="F36" s="463"/>
      <c r="G36" s="463"/>
      <c r="H36" s="463"/>
      <c r="I36" s="463"/>
      <c r="J36" s="497"/>
      <c r="K36" s="497"/>
      <c r="L36" s="463"/>
      <c r="M36" s="463"/>
    </row>
    <row r="37" spans="1:13" s="496" customFormat="1">
      <c r="A37" s="488"/>
      <c r="B37" s="463"/>
      <c r="C37" s="463"/>
      <c r="E37" s="497"/>
      <c r="F37" s="463"/>
      <c r="G37" s="463"/>
      <c r="H37" s="463"/>
      <c r="I37" s="463"/>
      <c r="J37" s="497"/>
      <c r="K37" s="497"/>
      <c r="L37" s="463"/>
      <c r="M37" s="463"/>
    </row>
    <row r="38" spans="1:13" s="496" customFormat="1">
      <c r="A38" s="488"/>
      <c r="B38" s="463"/>
      <c r="C38" s="463"/>
      <c r="E38" s="497"/>
      <c r="F38" s="463"/>
      <c r="G38" s="463"/>
      <c r="H38" s="463"/>
      <c r="I38" s="463"/>
      <c r="J38" s="497"/>
      <c r="K38" s="497"/>
      <c r="L38" s="463"/>
      <c r="M38" s="463"/>
    </row>
    <row r="39" spans="1:13" s="496" customFormat="1">
      <c r="A39" s="488"/>
      <c r="B39" s="463"/>
      <c r="C39" s="463"/>
      <c r="E39" s="497"/>
      <c r="F39" s="463"/>
      <c r="G39" s="463"/>
      <c r="H39" s="463"/>
      <c r="I39" s="463"/>
      <c r="J39" s="497"/>
      <c r="K39" s="497"/>
      <c r="L39" s="463"/>
      <c r="M39" s="463"/>
    </row>
    <row r="40" spans="1:13" s="496" customFormat="1">
      <c r="A40" s="488"/>
      <c r="B40" s="463"/>
      <c r="C40" s="463"/>
      <c r="E40" s="497"/>
      <c r="F40" s="463"/>
      <c r="G40" s="463"/>
      <c r="H40" s="463"/>
      <c r="I40" s="463"/>
      <c r="J40" s="497"/>
      <c r="K40" s="497"/>
      <c r="L40" s="463"/>
      <c r="M40" s="463"/>
    </row>
    <row r="41" spans="1:13" s="496" customFormat="1">
      <c r="A41" s="488"/>
      <c r="B41" s="463"/>
      <c r="C41" s="463"/>
      <c r="E41" s="497"/>
      <c r="F41" s="463"/>
      <c r="G41" s="463"/>
      <c r="H41" s="463"/>
      <c r="I41" s="463"/>
      <c r="J41" s="497"/>
      <c r="K41" s="497"/>
      <c r="L41" s="463"/>
      <c r="M41" s="463"/>
    </row>
    <row r="42" spans="1:13" s="496" customFormat="1">
      <c r="A42" s="488"/>
      <c r="B42" s="463"/>
      <c r="C42" s="463"/>
      <c r="E42" s="497"/>
      <c r="F42" s="463"/>
      <c r="G42" s="463"/>
      <c r="H42" s="463"/>
      <c r="I42" s="463"/>
      <c r="J42" s="497"/>
      <c r="K42" s="497"/>
      <c r="L42" s="463"/>
      <c r="M42" s="463"/>
    </row>
    <row r="43" spans="1:13">
      <c r="A43" s="488"/>
    </row>
    <row r="44" spans="1:13">
      <c r="A44" s="488"/>
    </row>
    <row r="45" spans="1:13">
      <c r="A45" s="488"/>
    </row>
    <row r="46" spans="1:13">
      <c r="A46" s="488"/>
    </row>
    <row r="47" spans="1:13">
      <c r="A47" s="488"/>
    </row>
    <row r="48" spans="1:13">
      <c r="A48" s="488"/>
    </row>
    <row r="49" spans="1:11">
      <c r="A49" s="488"/>
    </row>
    <row r="50" spans="1:11">
      <c r="A50" s="488"/>
    </row>
    <row r="51" spans="1:11">
      <c r="A51" s="488"/>
    </row>
    <row r="52" spans="1:11">
      <c r="A52" s="488"/>
    </row>
    <row r="53" spans="1:11">
      <c r="A53" s="488"/>
    </row>
    <row r="54" spans="1:11">
      <c r="A54" s="488"/>
    </row>
    <row r="55" spans="1:11">
      <c r="A55" s="488"/>
    </row>
    <row r="56" spans="1:11">
      <c r="A56" s="488"/>
    </row>
    <row r="57" spans="1:11">
      <c r="A57" s="488"/>
    </row>
    <row r="58" spans="1:11">
      <c r="A58" s="488"/>
      <c r="D58" s="463"/>
      <c r="J58" s="463"/>
      <c r="K58" s="463"/>
    </row>
    <row r="59" spans="1:11">
      <c r="A59" s="488"/>
      <c r="D59" s="463"/>
      <c r="J59" s="463"/>
      <c r="K59" s="463"/>
    </row>
    <row r="60" spans="1:11">
      <c r="A60" s="488"/>
      <c r="D60" s="463"/>
      <c r="J60" s="463"/>
      <c r="K60" s="463"/>
    </row>
    <row r="61" spans="1:11">
      <c r="A61" s="488"/>
      <c r="D61" s="463"/>
      <c r="J61" s="463"/>
      <c r="K61" s="463"/>
    </row>
    <row r="62" spans="1:11">
      <c r="A62" s="488"/>
      <c r="D62" s="463"/>
      <c r="J62" s="463"/>
      <c r="K62" s="463"/>
    </row>
    <row r="63" spans="1:11">
      <c r="A63" s="488"/>
      <c r="D63" s="463"/>
      <c r="J63" s="463"/>
      <c r="K63" s="463"/>
    </row>
    <row r="64" spans="1:11">
      <c r="A64" s="488"/>
      <c r="D64" s="463"/>
      <c r="J64" s="463"/>
      <c r="K64" s="463"/>
    </row>
    <row r="65" spans="1:11">
      <c r="A65" s="488"/>
      <c r="D65" s="463"/>
      <c r="J65" s="463"/>
      <c r="K65" s="463"/>
    </row>
    <row r="66" spans="1:11">
      <c r="A66" s="488"/>
      <c r="D66" s="463"/>
      <c r="J66" s="463"/>
      <c r="K66" s="463"/>
    </row>
    <row r="67" spans="1:11">
      <c r="A67" s="488"/>
      <c r="D67" s="463"/>
      <c r="J67" s="463"/>
      <c r="K67" s="463"/>
    </row>
    <row r="68" spans="1:11">
      <c r="A68" s="488"/>
      <c r="D68" s="463"/>
      <c r="J68" s="463"/>
      <c r="K68" s="463"/>
    </row>
    <row r="69" spans="1:11">
      <c r="A69" s="488"/>
      <c r="D69" s="463"/>
      <c r="J69" s="463"/>
      <c r="K69" s="463"/>
    </row>
    <row r="70" spans="1:11">
      <c r="A70" s="488"/>
      <c r="D70" s="463"/>
      <c r="J70" s="463"/>
      <c r="K70" s="463"/>
    </row>
    <row r="71" spans="1:11">
      <c r="A71" s="488"/>
      <c r="D71" s="463"/>
      <c r="J71" s="463"/>
      <c r="K71" s="463"/>
    </row>
    <row r="72" spans="1:11">
      <c r="A72" s="488"/>
      <c r="D72" s="463"/>
      <c r="J72" s="463"/>
      <c r="K72" s="463"/>
    </row>
    <row r="73" spans="1:11">
      <c r="A73" s="488"/>
      <c r="D73" s="463"/>
      <c r="J73" s="463"/>
      <c r="K73" s="463"/>
    </row>
    <row r="74" spans="1:11">
      <c r="A74" s="488"/>
      <c r="D74" s="463"/>
      <c r="J74" s="463"/>
      <c r="K74" s="463"/>
    </row>
    <row r="75" spans="1:11">
      <c r="A75" s="488"/>
      <c r="D75" s="463"/>
      <c r="J75" s="463"/>
      <c r="K75" s="463"/>
    </row>
    <row r="76" spans="1:11">
      <c r="A76" s="488"/>
      <c r="D76" s="463"/>
      <c r="J76" s="463"/>
      <c r="K76" s="463"/>
    </row>
    <row r="77" spans="1:11">
      <c r="A77" s="488"/>
      <c r="D77" s="463"/>
      <c r="J77" s="463"/>
      <c r="K77" s="463"/>
    </row>
    <row r="78" spans="1:11">
      <c r="A78" s="488"/>
      <c r="D78" s="463"/>
      <c r="J78" s="463"/>
      <c r="K78" s="463"/>
    </row>
    <row r="79" spans="1:11">
      <c r="A79" s="488"/>
      <c r="D79" s="463"/>
      <c r="J79" s="463"/>
      <c r="K79" s="463"/>
    </row>
    <row r="80" spans="1:11">
      <c r="A80" s="488"/>
      <c r="D80" s="463"/>
      <c r="J80" s="463"/>
      <c r="K80" s="463"/>
    </row>
    <row r="81" spans="1:11">
      <c r="A81" s="488"/>
      <c r="D81" s="463"/>
      <c r="J81" s="463"/>
      <c r="K81" s="463"/>
    </row>
    <row r="82" spans="1:11">
      <c r="A82" s="488"/>
      <c r="D82" s="463"/>
      <c r="J82" s="463"/>
      <c r="K82" s="463"/>
    </row>
    <row r="83" spans="1:11">
      <c r="A83" s="488"/>
      <c r="D83" s="463"/>
      <c r="J83" s="463"/>
      <c r="K83" s="463"/>
    </row>
    <row r="84" spans="1:11">
      <c r="A84" s="488"/>
      <c r="D84" s="463"/>
      <c r="J84" s="463"/>
      <c r="K84" s="463"/>
    </row>
    <row r="85" spans="1:11">
      <c r="A85" s="488"/>
      <c r="D85" s="463"/>
      <c r="J85" s="463"/>
      <c r="K85" s="463"/>
    </row>
    <row r="86" spans="1:11">
      <c r="A86" s="488"/>
      <c r="D86" s="463"/>
      <c r="J86" s="463"/>
      <c r="K86" s="463"/>
    </row>
    <row r="87" spans="1:11">
      <c r="A87" s="488"/>
      <c r="D87" s="463"/>
      <c r="J87" s="463"/>
      <c r="K87" s="463"/>
    </row>
    <row r="88" spans="1:11">
      <c r="A88" s="488"/>
      <c r="D88" s="463"/>
      <c r="J88" s="463"/>
      <c r="K88" s="463"/>
    </row>
    <row r="89" spans="1:11">
      <c r="A89" s="488"/>
      <c r="D89" s="463"/>
      <c r="J89" s="463"/>
      <c r="K89" s="463"/>
    </row>
    <row r="90" spans="1:11">
      <c r="A90" s="488"/>
      <c r="D90" s="463"/>
      <c r="J90" s="463"/>
      <c r="K90" s="463"/>
    </row>
    <row r="91" spans="1:11">
      <c r="A91" s="488"/>
      <c r="D91" s="463"/>
      <c r="J91" s="463"/>
      <c r="K91" s="463"/>
    </row>
    <row r="92" spans="1:11">
      <c r="A92" s="488"/>
      <c r="D92" s="463"/>
      <c r="J92" s="463"/>
      <c r="K92" s="463"/>
    </row>
    <row r="93" spans="1:11">
      <c r="A93" s="488"/>
      <c r="D93" s="463"/>
      <c r="J93" s="463"/>
      <c r="K93" s="463"/>
    </row>
    <row r="94" spans="1:11">
      <c r="A94" s="488"/>
      <c r="D94" s="463"/>
      <c r="J94" s="463"/>
      <c r="K94" s="463"/>
    </row>
    <row r="95" spans="1:11">
      <c r="A95" s="488"/>
      <c r="D95" s="463"/>
      <c r="J95" s="463"/>
      <c r="K95" s="463"/>
    </row>
    <row r="96" spans="1:11">
      <c r="A96" s="488"/>
      <c r="D96" s="463"/>
      <c r="J96" s="463"/>
      <c r="K96" s="463"/>
    </row>
    <row r="97" spans="1:11">
      <c r="A97" s="488"/>
      <c r="D97" s="463"/>
      <c r="J97" s="463"/>
      <c r="K97" s="463"/>
    </row>
    <row r="98" spans="1:11">
      <c r="A98" s="488"/>
      <c r="D98" s="463"/>
      <c r="J98" s="463"/>
      <c r="K98" s="463"/>
    </row>
    <row r="99" spans="1:11">
      <c r="A99" s="488"/>
      <c r="D99" s="463"/>
      <c r="J99" s="463"/>
      <c r="K99" s="463"/>
    </row>
    <row r="100" spans="1:11">
      <c r="A100" s="488"/>
      <c r="D100" s="463"/>
      <c r="J100" s="463"/>
      <c r="K100" s="463"/>
    </row>
    <row r="101" spans="1:11">
      <c r="A101" s="488"/>
      <c r="D101" s="463"/>
      <c r="J101" s="463"/>
      <c r="K101" s="463"/>
    </row>
    <row r="102" spans="1:11">
      <c r="A102" s="488"/>
      <c r="D102" s="463"/>
      <c r="J102" s="463"/>
      <c r="K102" s="463"/>
    </row>
    <row r="103" spans="1:11">
      <c r="A103" s="488"/>
      <c r="D103" s="463"/>
      <c r="J103" s="463"/>
      <c r="K103" s="463"/>
    </row>
    <row r="104" spans="1:11">
      <c r="A104" s="488"/>
      <c r="D104" s="463"/>
      <c r="J104" s="463"/>
      <c r="K104" s="463"/>
    </row>
    <row r="105" spans="1:11">
      <c r="A105" s="488"/>
      <c r="D105" s="463"/>
      <c r="J105" s="463"/>
      <c r="K105" s="463"/>
    </row>
    <row r="106" spans="1:11">
      <c r="A106" s="488"/>
      <c r="D106" s="463"/>
      <c r="J106" s="463"/>
      <c r="K106" s="463"/>
    </row>
    <row r="107" spans="1:11">
      <c r="A107" s="488"/>
      <c r="D107" s="463"/>
      <c r="J107" s="463"/>
      <c r="K107" s="463"/>
    </row>
    <row r="108" spans="1:11">
      <c r="A108" s="488"/>
      <c r="D108" s="463"/>
      <c r="J108" s="463"/>
      <c r="K108" s="463"/>
    </row>
    <row r="109" spans="1:11">
      <c r="A109" s="488"/>
      <c r="D109" s="463"/>
      <c r="J109" s="463"/>
      <c r="K109" s="463"/>
    </row>
    <row r="110" spans="1:11">
      <c r="A110" s="488"/>
      <c r="D110" s="463"/>
      <c r="J110" s="463"/>
      <c r="K110" s="463"/>
    </row>
    <row r="111" spans="1:11">
      <c r="A111" s="488"/>
      <c r="D111" s="463"/>
      <c r="J111" s="463"/>
      <c r="K111" s="463"/>
    </row>
    <row r="112" spans="1:11">
      <c r="A112" s="488"/>
      <c r="D112" s="463"/>
      <c r="J112" s="463"/>
      <c r="K112" s="463"/>
    </row>
    <row r="113" spans="1:11">
      <c r="A113" s="488"/>
      <c r="D113" s="463"/>
      <c r="J113" s="463"/>
      <c r="K113" s="463"/>
    </row>
    <row r="114" spans="1:11">
      <c r="A114" s="488"/>
      <c r="D114" s="463"/>
      <c r="J114" s="463"/>
      <c r="K114" s="463"/>
    </row>
    <row r="115" spans="1:11">
      <c r="A115" s="488"/>
      <c r="D115" s="463"/>
      <c r="J115" s="463"/>
      <c r="K115" s="463"/>
    </row>
    <row r="116" spans="1:11">
      <c r="A116" s="488"/>
      <c r="D116" s="463"/>
      <c r="J116" s="463"/>
      <c r="K116" s="463"/>
    </row>
    <row r="117" spans="1:11">
      <c r="A117" s="488"/>
      <c r="D117" s="463"/>
      <c r="J117" s="463"/>
      <c r="K117" s="463"/>
    </row>
    <row r="118" spans="1:11">
      <c r="A118" s="488"/>
      <c r="D118" s="463"/>
      <c r="J118" s="463"/>
      <c r="K118" s="463"/>
    </row>
    <row r="119" spans="1:11">
      <c r="A119" s="488"/>
      <c r="D119" s="463"/>
      <c r="J119" s="463"/>
      <c r="K119" s="463"/>
    </row>
    <row r="120" spans="1:11">
      <c r="A120" s="488"/>
      <c r="D120" s="463"/>
      <c r="J120" s="463"/>
      <c r="K120" s="463"/>
    </row>
    <row r="121" spans="1:11">
      <c r="A121" s="488"/>
      <c r="D121" s="463"/>
      <c r="J121" s="463"/>
      <c r="K121" s="463"/>
    </row>
    <row r="122" spans="1:11">
      <c r="A122" s="488"/>
      <c r="D122" s="463"/>
      <c r="J122" s="463"/>
      <c r="K122" s="463"/>
    </row>
    <row r="123" spans="1:11">
      <c r="A123" s="488"/>
      <c r="D123" s="463"/>
      <c r="J123" s="463"/>
      <c r="K123" s="463"/>
    </row>
    <row r="124" spans="1:11">
      <c r="A124" s="488"/>
      <c r="D124" s="463"/>
      <c r="J124" s="463"/>
      <c r="K124" s="463"/>
    </row>
    <row r="125" spans="1:11">
      <c r="A125" s="488"/>
      <c r="D125" s="463"/>
      <c r="J125" s="463"/>
      <c r="K125" s="463"/>
    </row>
    <row r="126" spans="1:11">
      <c r="A126" s="488"/>
      <c r="D126" s="463"/>
      <c r="J126" s="463"/>
      <c r="K126" s="463"/>
    </row>
    <row r="127" spans="1:11">
      <c r="A127" s="488"/>
      <c r="D127" s="463"/>
      <c r="J127" s="463"/>
      <c r="K127" s="463"/>
    </row>
    <row r="128" spans="1:11">
      <c r="A128" s="488"/>
      <c r="D128" s="463"/>
      <c r="J128" s="463"/>
      <c r="K128" s="463"/>
    </row>
    <row r="129" spans="1:11">
      <c r="A129" s="488"/>
      <c r="D129" s="463"/>
      <c r="J129" s="463"/>
      <c r="K129" s="463"/>
    </row>
    <row r="130" spans="1:11">
      <c r="A130" s="488"/>
      <c r="D130" s="463"/>
      <c r="J130" s="463"/>
      <c r="K130" s="463"/>
    </row>
    <row r="131" spans="1:11">
      <c r="A131" s="488"/>
      <c r="D131" s="463"/>
      <c r="J131" s="463"/>
      <c r="K131" s="463"/>
    </row>
    <row r="132" spans="1:11">
      <c r="A132" s="488"/>
      <c r="D132" s="463"/>
      <c r="J132" s="463"/>
      <c r="K132" s="463"/>
    </row>
    <row r="133" spans="1:11">
      <c r="A133" s="488"/>
      <c r="D133" s="463"/>
      <c r="J133" s="463"/>
      <c r="K133" s="463"/>
    </row>
  </sheetData>
  <mergeCells count="12">
    <mergeCell ref="E9:G9"/>
    <mergeCell ref="H9:I9"/>
    <mergeCell ref="A1:L1"/>
    <mergeCell ref="A2:L2"/>
    <mergeCell ref="A7:A8"/>
    <mergeCell ref="B7:B8"/>
    <mergeCell ref="C7:C8"/>
    <mergeCell ref="D7:D8"/>
    <mergeCell ref="E7:K7"/>
    <mergeCell ref="L7:L8"/>
    <mergeCell ref="E8:G8"/>
    <mergeCell ref="H8:I8"/>
  </mergeCells>
  <printOptions horizontalCentered="1"/>
  <pageMargins left="0.23622047244094499" right="0.15748031496063" top="0.35433070866141703" bottom="0.69" header="0.38" footer="0.23622047244094499"/>
  <pageSetup paperSize="9" scale="90" orientation="landscape" errors="blank"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B050"/>
  </sheetPr>
  <dimension ref="A1:DU22"/>
  <sheetViews>
    <sheetView view="pageBreakPreview" zoomScaleSheetLayoutView="100" workbookViewId="0">
      <selection activeCell="J19" sqref="J19"/>
    </sheetView>
  </sheetViews>
  <sheetFormatPr defaultRowHeight="15"/>
  <cols>
    <col min="1" max="8" width="9.140625" style="502"/>
    <col min="9" max="9" width="8.28515625" style="502" customWidth="1"/>
    <col min="10" max="16384" width="9.140625" style="502"/>
  </cols>
  <sheetData>
    <row r="1" spans="1:125" ht="26.25" customHeight="1">
      <c r="A1" s="1261" t="s">
        <v>555</v>
      </c>
      <c r="B1" s="1261"/>
      <c r="C1" s="1261"/>
      <c r="D1" s="1261"/>
      <c r="E1" s="1261"/>
      <c r="F1" s="1261"/>
      <c r="G1" s="1261"/>
      <c r="H1" s="1261"/>
      <c r="I1" s="1261"/>
    </row>
    <row r="2" spans="1:125" ht="18" customHeight="1">
      <c r="A2" s="1262" t="s">
        <v>556</v>
      </c>
      <c r="B2" s="1262"/>
      <c r="C2" s="1262"/>
      <c r="D2" s="503">
        <f>'voucer part'!K11</f>
        <v>37000</v>
      </c>
      <c r="E2" s="504" t="s">
        <v>557</v>
      </c>
      <c r="F2" s="1263" t="s">
        <v>674</v>
      </c>
      <c r="G2" s="1263"/>
      <c r="H2" s="1263"/>
      <c r="I2" s="1263"/>
      <c r="K2" s="505"/>
      <c r="L2" s="142"/>
      <c r="M2" s="142"/>
      <c r="N2" s="142"/>
      <c r="O2" s="142"/>
      <c r="P2" s="142"/>
      <c r="Q2" s="142"/>
      <c r="R2" s="142"/>
      <c r="S2" s="142"/>
      <c r="T2" s="142"/>
      <c r="U2" s="506"/>
      <c r="V2" s="506"/>
      <c r="W2" s="506"/>
      <c r="X2" s="506"/>
      <c r="Y2" s="506"/>
      <c r="Z2" s="506"/>
      <c r="AA2" s="506"/>
      <c r="AB2" s="506"/>
      <c r="AC2" s="506"/>
      <c r="AD2" s="506"/>
      <c r="AE2" s="506"/>
      <c r="AF2" s="506"/>
      <c r="AG2" s="506"/>
      <c r="AH2" s="506"/>
      <c r="AI2" s="506"/>
      <c r="AJ2" s="506"/>
      <c r="AK2" s="506"/>
      <c r="AL2" s="506"/>
      <c r="AM2" s="506"/>
      <c r="AN2" s="506"/>
      <c r="AO2" s="506"/>
      <c r="AP2" s="506"/>
      <c r="AQ2" s="506"/>
      <c r="AR2" s="506"/>
      <c r="AS2" s="506"/>
      <c r="AT2" s="506"/>
      <c r="AU2" s="506"/>
      <c r="AV2" s="506"/>
      <c r="AW2" s="506"/>
      <c r="AX2" s="506"/>
      <c r="AY2" s="506"/>
      <c r="AZ2" s="506"/>
      <c r="BA2" s="506"/>
      <c r="BB2" s="506"/>
      <c r="BC2" s="506"/>
      <c r="BD2" s="506"/>
      <c r="BE2" s="506"/>
      <c r="BF2" s="506"/>
      <c r="BG2" s="506"/>
      <c r="BH2" s="506"/>
      <c r="BI2" s="506"/>
      <c r="BJ2" s="506"/>
      <c r="BK2" s="506"/>
      <c r="BL2" s="506"/>
      <c r="BM2" s="506"/>
      <c r="BN2" s="506"/>
      <c r="BO2" s="506"/>
      <c r="BP2" s="506"/>
      <c r="BQ2" s="506"/>
      <c r="BR2" s="506"/>
      <c r="BS2" s="506"/>
      <c r="BT2" s="506"/>
      <c r="BU2" s="506"/>
      <c r="BV2" s="506"/>
      <c r="BW2" s="506"/>
      <c r="BX2" s="506"/>
      <c r="BY2" s="506"/>
      <c r="BZ2" s="506"/>
      <c r="CA2" s="506"/>
      <c r="CB2" s="506"/>
      <c r="CC2" s="506"/>
      <c r="CD2" s="506"/>
      <c r="CE2" s="506"/>
      <c r="CF2" s="506"/>
      <c r="CG2" s="506"/>
      <c r="CH2" s="506"/>
      <c r="CI2" s="506"/>
      <c r="CJ2" s="506"/>
      <c r="CK2" s="506"/>
      <c r="CL2" s="506"/>
      <c r="CM2" s="506"/>
      <c r="CN2" s="506"/>
      <c r="CO2" s="506"/>
      <c r="CP2" s="506"/>
      <c r="CQ2" s="506"/>
      <c r="CR2" s="506"/>
      <c r="CS2" s="506"/>
      <c r="CT2" s="506"/>
      <c r="CU2" s="506"/>
      <c r="CV2" s="506"/>
      <c r="CW2" s="506"/>
      <c r="CX2" s="506"/>
      <c r="CY2" s="506"/>
      <c r="CZ2" s="506"/>
      <c r="DA2" s="506"/>
      <c r="DB2" s="506"/>
      <c r="DC2" s="506"/>
      <c r="DD2" s="506"/>
      <c r="DE2" s="506"/>
      <c r="DF2" s="506"/>
      <c r="DG2" s="506"/>
      <c r="DH2" s="506"/>
      <c r="DI2" s="506"/>
      <c r="DJ2" s="506"/>
      <c r="DK2" s="506"/>
      <c r="DL2" s="506"/>
      <c r="DM2" s="506"/>
      <c r="DN2" s="506"/>
      <c r="DO2" s="506"/>
      <c r="DP2" s="506"/>
      <c r="DQ2" s="506"/>
      <c r="DR2" s="506"/>
      <c r="DS2" s="506"/>
      <c r="DT2" s="506"/>
      <c r="DU2" s="506"/>
    </row>
    <row r="3" spans="1:125" ht="47.25" customHeight="1">
      <c r="A3" s="1259" t="str">
        <f>"Payment towards the work "&amp;'lead 2025-26'!C3&amp;" with Estimate cost for Rs. "&amp;'lead 2025-26'!K4&amp;" under MGNREGS (100%) Grant during the year 2024-25"</f>
        <v>Payment towards the work Providing BT Surface to the road from Inimerla SC colony to National Highway at Nuchupoda in Inimerla GP of Pamuru Mandal. with Estimate cost for Rs. 140.00 Lakhs under MGNREGS (100%) Grant during the year 2024-25</v>
      </c>
      <c r="B3" s="1259"/>
      <c r="C3" s="1259"/>
      <c r="D3" s="1259"/>
      <c r="E3" s="1259"/>
      <c r="F3" s="1259"/>
      <c r="G3" s="1259"/>
      <c r="H3" s="1259"/>
      <c r="I3" s="1259"/>
      <c r="J3" s="507"/>
      <c r="K3" s="507"/>
    </row>
    <row r="4" spans="1:125" ht="18" customHeight="1">
      <c r="A4" s="1264" t="s">
        <v>558</v>
      </c>
      <c r="B4" s="1264"/>
      <c r="C4" s="1264"/>
      <c r="D4" s="1264"/>
      <c r="E4" s="1265" t="s">
        <v>72</v>
      </c>
      <c r="F4" s="1265"/>
      <c r="G4" s="1265"/>
      <c r="H4" s="508">
        <f>'voucer part'!D11</f>
        <v>27.810000000000002</v>
      </c>
      <c r="I4" s="509" t="s">
        <v>10</v>
      </c>
      <c r="K4" s="505"/>
    </row>
    <row r="5" spans="1:125" ht="18" customHeight="1">
      <c r="A5" s="510"/>
      <c r="B5" s="510"/>
      <c r="C5" s="510"/>
      <c r="D5" s="510"/>
      <c r="E5" s="510"/>
      <c r="F5" s="510"/>
      <c r="G5" s="510"/>
      <c r="H5" s="510"/>
      <c r="I5" s="510"/>
      <c r="K5" s="505"/>
    </row>
    <row r="6" spans="1:125" ht="18" customHeight="1">
      <c r="A6" s="510"/>
      <c r="B6" s="510"/>
      <c r="C6" s="510"/>
      <c r="D6" s="510"/>
      <c r="E6" s="510"/>
      <c r="F6" s="510"/>
      <c r="G6" s="510"/>
      <c r="H6" s="510"/>
      <c r="I6" s="510"/>
      <c r="K6" s="505"/>
    </row>
    <row r="7" spans="1:125" ht="18" customHeight="1">
      <c r="A7" s="510"/>
      <c r="B7" s="510"/>
      <c r="C7" s="510"/>
      <c r="D7" s="510"/>
      <c r="E7" s="510"/>
      <c r="F7" s="510"/>
      <c r="G7" s="510"/>
      <c r="H7" s="510"/>
      <c r="I7" s="510"/>
      <c r="K7" s="505"/>
    </row>
    <row r="13" spans="1:125">
      <c r="B13" s="502" t="s">
        <v>559</v>
      </c>
      <c r="H13" s="502" t="s">
        <v>560</v>
      </c>
    </row>
    <row r="18" spans="1:9" ht="18.75" customHeight="1">
      <c r="A18" s="1259" t="s">
        <v>561</v>
      </c>
      <c r="B18" s="1259"/>
      <c r="C18" s="1259"/>
      <c r="D18" s="1259"/>
      <c r="E18" s="1259"/>
      <c r="F18" s="1259"/>
      <c r="G18" s="1259"/>
      <c r="H18" s="1259"/>
      <c r="I18" s="1259"/>
    </row>
    <row r="19" spans="1:9" ht="45.75" customHeight="1">
      <c r="A19" s="1260" t="str">
        <f>""&amp;'lead 2025-26'!C3&amp;'lead 2025-26'!K4&amp;" under MGNREGS (100%) Grant during the year 2024-25"</f>
        <v>Providing BT Surface to the road from Inimerla SC colony to National Highway at Nuchupoda in Inimerla GP of Pamuru Mandal.140.00 Lakhs under MGNREGS (100%) Grant during the year 2024-25</v>
      </c>
      <c r="B19" s="1260"/>
      <c r="C19" s="1260"/>
      <c r="D19" s="1260"/>
      <c r="E19" s="1260"/>
      <c r="F19" s="1260"/>
      <c r="G19" s="1260"/>
      <c r="H19" s="1260"/>
      <c r="I19" s="1260"/>
    </row>
    <row r="20" spans="1:9" ht="18.75" customHeight="1">
      <c r="A20" s="511"/>
      <c r="B20" s="511"/>
      <c r="C20" s="511"/>
      <c r="D20" s="511"/>
      <c r="E20" s="511"/>
      <c r="F20" s="511"/>
      <c r="G20" s="511"/>
      <c r="H20" s="511"/>
      <c r="I20" s="511"/>
    </row>
    <row r="21" spans="1:9" ht="18.75" customHeight="1">
      <c r="A21" s="511"/>
      <c r="B21" s="511"/>
      <c r="C21" s="511"/>
      <c r="D21" s="511"/>
      <c r="E21" s="511"/>
      <c r="F21" s="511"/>
      <c r="G21" s="511"/>
      <c r="H21" s="511"/>
      <c r="I21" s="511"/>
    </row>
    <row r="22" spans="1:9" ht="18.75" customHeight="1">
      <c r="A22" s="511"/>
      <c r="B22" s="511"/>
      <c r="C22" s="511"/>
      <c r="D22" s="511"/>
      <c r="E22" s="511"/>
      <c r="F22" s="511"/>
      <c r="G22" s="511"/>
      <c r="H22" s="511"/>
      <c r="I22" s="511"/>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00B050"/>
  </sheetPr>
  <dimension ref="A1:R22"/>
  <sheetViews>
    <sheetView zoomScaleSheetLayoutView="100" workbookViewId="0">
      <selection activeCell="J19" sqref="J19"/>
    </sheetView>
  </sheetViews>
  <sheetFormatPr defaultRowHeight="15"/>
  <cols>
    <col min="1" max="8" width="9.140625" style="502"/>
    <col min="9" max="9" width="8.28515625" style="502" customWidth="1"/>
    <col min="10" max="16384" width="9.140625" style="502"/>
  </cols>
  <sheetData>
    <row r="1" spans="1:18" ht="26.25" customHeight="1">
      <c r="A1" s="1261" t="s">
        <v>555</v>
      </c>
      <c r="B1" s="1261"/>
      <c r="C1" s="1261"/>
      <c r="D1" s="1261"/>
      <c r="E1" s="1261"/>
      <c r="F1" s="1261"/>
      <c r="G1" s="1261"/>
      <c r="H1" s="1261"/>
      <c r="I1" s="1261"/>
    </row>
    <row r="2" spans="1:18" ht="18" customHeight="1">
      <c r="A2" s="1262" t="s">
        <v>556</v>
      </c>
      <c r="B2" s="1262"/>
      <c r="C2" s="1262"/>
      <c r="D2" s="503">
        <f>'voucer part'!K17</f>
        <v>353100</v>
      </c>
      <c r="E2" s="504" t="s">
        <v>557</v>
      </c>
      <c r="F2" s="1263" t="s">
        <v>580</v>
      </c>
      <c r="G2" s="1263"/>
      <c r="H2" s="1263"/>
      <c r="I2" s="1263"/>
      <c r="K2" s="505"/>
      <c r="L2" s="505"/>
    </row>
    <row r="3" spans="1:18" ht="47.25" customHeight="1">
      <c r="A3" s="1259" t="str">
        <f>"Payment towards the work "&amp;'lead 2025-26'!C3&amp;" with Estimate cost for Rs. "&amp;'lead 2025-26'!K4&amp;" under MGNREGS (100%) Grant during the year 2024-25"</f>
        <v>Payment towards the work Providing BT Surface to the road from Inimerla SC colony to National Highway at Nuchupoda in Inimerla GP of Pamuru Mandal. with Estimate cost for Rs. 140.00 Lakhs under MGNREGS (100%) Grant during the year 2024-25</v>
      </c>
      <c r="B3" s="1259"/>
      <c r="C3" s="1259"/>
      <c r="D3" s="1259"/>
      <c r="E3" s="1259"/>
      <c r="F3" s="1259"/>
      <c r="G3" s="1259"/>
      <c r="H3" s="1259"/>
      <c r="I3" s="1259"/>
      <c r="J3" s="507"/>
      <c r="K3" s="507"/>
      <c r="L3" s="507"/>
      <c r="M3" s="507"/>
      <c r="N3" s="507"/>
      <c r="O3" s="507"/>
      <c r="P3" s="507"/>
      <c r="Q3" s="507"/>
      <c r="R3" s="507"/>
    </row>
    <row r="4" spans="1:18" ht="18" customHeight="1">
      <c r="A4" s="1264" t="s">
        <v>558</v>
      </c>
      <c r="B4" s="1264"/>
      <c r="C4" s="1264"/>
      <c r="D4" s="1264"/>
      <c r="E4" s="1265" t="s">
        <v>562</v>
      </c>
      <c r="F4" s="1265"/>
      <c r="G4" s="1265"/>
      <c r="H4" s="508">
        <f>'voucer part'!D17</f>
        <v>907.2</v>
      </c>
      <c r="I4" s="509" t="s">
        <v>10</v>
      </c>
      <c r="K4" s="505"/>
      <c r="L4" s="505"/>
    </row>
    <row r="5" spans="1:18" ht="18" customHeight="1">
      <c r="A5" s="510"/>
      <c r="B5" s="510"/>
      <c r="C5" s="510"/>
      <c r="D5" s="510"/>
      <c r="E5" s="510"/>
      <c r="F5" s="510"/>
      <c r="G5" s="510"/>
      <c r="H5" s="510"/>
      <c r="I5" s="510"/>
      <c r="K5" s="505"/>
      <c r="L5" s="505"/>
    </row>
    <row r="6" spans="1:18" ht="18" customHeight="1">
      <c r="A6" s="510"/>
      <c r="B6" s="510"/>
      <c r="C6" s="510"/>
      <c r="D6" s="510"/>
      <c r="E6" s="510"/>
      <c r="F6" s="510"/>
      <c r="G6" s="510"/>
      <c r="H6" s="510"/>
      <c r="I6" s="510"/>
      <c r="K6" s="505"/>
      <c r="L6" s="505"/>
    </row>
    <row r="7" spans="1:18" ht="18" customHeight="1">
      <c r="A7" s="510"/>
      <c r="B7" s="510"/>
      <c r="C7" s="510"/>
      <c r="D7" s="510"/>
      <c r="E7" s="510"/>
      <c r="F7" s="510"/>
      <c r="G7" s="510"/>
      <c r="H7" s="510"/>
      <c r="I7" s="510"/>
      <c r="K7" s="505"/>
      <c r="L7" s="505"/>
    </row>
    <row r="13" spans="1:18">
      <c r="B13" s="502" t="s">
        <v>559</v>
      </c>
      <c r="H13" s="502" t="s">
        <v>560</v>
      </c>
    </row>
    <row r="18" spans="1:9" ht="18.75" customHeight="1">
      <c r="A18" s="1259" t="s">
        <v>561</v>
      </c>
      <c r="B18" s="1259"/>
      <c r="C18" s="1259"/>
      <c r="D18" s="1259"/>
      <c r="E18" s="1259"/>
      <c r="F18" s="1259"/>
      <c r="G18" s="1259"/>
      <c r="H18" s="1259"/>
      <c r="I18" s="1259"/>
    </row>
    <row r="19" spans="1:9" ht="45.75" customHeight="1">
      <c r="A19" s="1260" t="str">
        <f>""&amp;'lead 2025-26'!C3&amp;'lead 2025-26'!K4&amp;" under MGNREGS (100%) Grant during the year 2024-25"</f>
        <v>Providing BT Surface to the road from Inimerla SC colony to National Highway at Nuchupoda in Inimerla GP of Pamuru Mandal.140.00 Lakhs under MGNREGS (100%) Grant during the year 2024-25</v>
      </c>
      <c r="B19" s="1260"/>
      <c r="C19" s="1260"/>
      <c r="D19" s="1260"/>
      <c r="E19" s="1260"/>
      <c r="F19" s="1260"/>
      <c r="G19" s="1260"/>
      <c r="H19" s="1260"/>
      <c r="I19" s="1260"/>
    </row>
    <row r="20" spans="1:9" ht="18.75" customHeight="1">
      <c r="A20" s="511"/>
      <c r="B20" s="511"/>
      <c r="C20" s="511"/>
      <c r="D20" s="511"/>
      <c r="E20" s="511"/>
      <c r="F20" s="511"/>
      <c r="G20" s="511"/>
      <c r="H20" s="511"/>
      <c r="I20" s="511"/>
    </row>
    <row r="21" spans="1:9" ht="18.75" customHeight="1">
      <c r="A21" s="511"/>
      <c r="B21" s="511"/>
      <c r="C21" s="511"/>
      <c r="D21" s="511"/>
      <c r="E21" s="511"/>
      <c r="F21" s="511"/>
      <c r="G21" s="511"/>
      <c r="H21" s="511"/>
      <c r="I21" s="511"/>
    </row>
    <row r="22" spans="1:9" ht="18.75" customHeight="1">
      <c r="A22" s="511"/>
      <c r="B22" s="511"/>
      <c r="C22" s="511"/>
      <c r="D22" s="511"/>
      <c r="E22" s="511"/>
      <c r="F22" s="511"/>
      <c r="G22" s="511"/>
      <c r="H22" s="511"/>
      <c r="I22" s="511"/>
    </row>
  </sheetData>
  <mergeCells count="8">
    <mergeCell ref="A18:I18"/>
    <mergeCell ref="A19:I19"/>
    <mergeCell ref="A1:I1"/>
    <mergeCell ref="A2:C2"/>
    <mergeCell ref="F2:I2"/>
    <mergeCell ref="A3:I3"/>
    <mergeCell ref="A4:D4"/>
    <mergeCell ref="E4:G4"/>
  </mergeCells>
  <pageMargins left="0.5" right="0.52" top="0.75" bottom="0.75" header="0.3" footer="0.3"/>
  <pageSetup paperSize="9" scale="110" orientation="portrait" verticalDpi="0"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00B050"/>
  </sheetPr>
  <dimension ref="A1:R22"/>
  <sheetViews>
    <sheetView zoomScaleSheetLayoutView="100" workbookViewId="0">
      <selection activeCell="J19" sqref="J19"/>
    </sheetView>
  </sheetViews>
  <sheetFormatPr defaultRowHeight="15"/>
  <cols>
    <col min="1" max="3" width="9.140625" style="502"/>
    <col min="4" max="4" width="9.5703125" style="502" bestFit="1" customWidth="1"/>
    <col min="5" max="8" width="9.140625" style="502"/>
    <col min="9" max="9" width="8.28515625" style="502" customWidth="1"/>
    <col min="10" max="16384" width="9.140625" style="502"/>
  </cols>
  <sheetData>
    <row r="1" spans="1:18" ht="26.25" customHeight="1">
      <c r="A1" s="1261" t="s">
        <v>555</v>
      </c>
      <c r="B1" s="1261"/>
      <c r="C1" s="1261"/>
      <c r="D1" s="1261"/>
      <c r="E1" s="1261"/>
      <c r="F1" s="1261"/>
      <c r="G1" s="1261"/>
      <c r="H1" s="1261"/>
      <c r="I1" s="1261"/>
    </row>
    <row r="2" spans="1:18" ht="18" customHeight="1">
      <c r="A2" s="1262" t="s">
        <v>556</v>
      </c>
      <c r="B2" s="1262"/>
      <c r="C2" s="1262"/>
      <c r="D2" s="512">
        <f>'voucer part'!K18</f>
        <v>5711000</v>
      </c>
      <c r="E2" s="504" t="s">
        <v>557</v>
      </c>
      <c r="F2" s="1263" t="s">
        <v>675</v>
      </c>
      <c r="G2" s="1263"/>
      <c r="H2" s="1263"/>
      <c r="I2" s="1263"/>
      <c r="K2" s="505"/>
      <c r="L2" s="505"/>
    </row>
    <row r="3" spans="1:18" ht="47.25" customHeight="1">
      <c r="A3" s="1259" t="str">
        <f>"Payment towards the work "&amp;'lead 2025-26'!C3&amp;" with Estimate cost for Rs. "&amp;'lead 2025-26'!K4&amp;" under MGNREGS (100%) Grant during the year 2024-25"</f>
        <v>Payment towards the work Providing BT Surface to the road from Inimerla SC colony to National Highway at Nuchupoda in Inimerla GP of Pamuru Mandal. with Estimate cost for Rs. 140.00 Lakhs under MGNREGS (100%) Grant during the year 2024-25</v>
      </c>
      <c r="B3" s="1259"/>
      <c r="C3" s="1259"/>
      <c r="D3" s="1259"/>
      <c r="E3" s="1259"/>
      <c r="F3" s="1259"/>
      <c r="G3" s="1259"/>
      <c r="H3" s="1259"/>
      <c r="I3" s="1259"/>
      <c r="J3" s="507"/>
      <c r="K3" s="507"/>
      <c r="L3" s="507"/>
      <c r="M3" s="507"/>
      <c r="N3" s="507"/>
      <c r="O3" s="507"/>
      <c r="P3" s="507"/>
      <c r="Q3" s="507"/>
      <c r="R3" s="507"/>
    </row>
    <row r="4" spans="1:18" ht="18" customHeight="1">
      <c r="A4" s="1264" t="s">
        <v>558</v>
      </c>
      <c r="B4" s="1264"/>
      <c r="C4" s="1264"/>
      <c r="D4" s="1264"/>
      <c r="E4" s="1265" t="s">
        <v>383</v>
      </c>
      <c r="F4" s="1265"/>
      <c r="G4" s="1265"/>
      <c r="H4" s="1265"/>
      <c r="I4" s="1265"/>
      <c r="K4" s="505"/>
      <c r="L4" s="505"/>
    </row>
    <row r="5" spans="1:18" ht="18" customHeight="1">
      <c r="A5" s="510"/>
      <c r="B5" s="510"/>
      <c r="C5" s="510"/>
      <c r="D5" s="510"/>
      <c r="E5" s="510"/>
      <c r="F5" s="510"/>
      <c r="G5" s="510"/>
      <c r="H5" s="510"/>
      <c r="I5" s="510"/>
      <c r="K5" s="505"/>
      <c r="L5" s="505"/>
    </row>
    <row r="6" spans="1:18" ht="18" customHeight="1">
      <c r="A6" s="510"/>
      <c r="B6" s="510"/>
      <c r="C6" s="510"/>
      <c r="D6" s="510"/>
      <c r="E6" s="510"/>
      <c r="F6" s="510"/>
      <c r="G6" s="510"/>
      <c r="H6" s="510"/>
      <c r="I6" s="510"/>
      <c r="K6" s="505"/>
      <c r="L6" s="505"/>
    </row>
    <row r="7" spans="1:18" ht="18" customHeight="1">
      <c r="A7" s="510"/>
      <c r="B7" s="510"/>
      <c r="C7" s="510"/>
      <c r="D7" s="510"/>
      <c r="E7" s="510"/>
      <c r="F7" s="510"/>
      <c r="G7" s="510"/>
      <c r="H7" s="510"/>
      <c r="I7" s="510"/>
      <c r="K7" s="505"/>
      <c r="L7" s="505"/>
    </row>
    <row r="13" spans="1:18">
      <c r="B13" s="502" t="s">
        <v>559</v>
      </c>
      <c r="H13" s="502" t="s">
        <v>560</v>
      </c>
    </row>
    <row r="18" spans="1:9" ht="18.75" customHeight="1">
      <c r="A18" s="1259" t="s">
        <v>561</v>
      </c>
      <c r="B18" s="1259"/>
      <c r="C18" s="1259"/>
      <c r="D18" s="1259"/>
      <c r="E18" s="1259"/>
      <c r="F18" s="1259"/>
      <c r="G18" s="1259"/>
      <c r="H18" s="1259"/>
      <c r="I18" s="1259"/>
    </row>
    <row r="19" spans="1:9" ht="45.75" customHeight="1">
      <c r="A19" s="1260" t="str">
        <f>""&amp;'lead 2025-26'!C3&amp;'lead 2025-26'!K4&amp;" under MGNREGS (100%) Grant during the year 2024-25"</f>
        <v>Providing BT Surface to the road from Inimerla SC colony to National Highway at Nuchupoda in Inimerla GP of Pamuru Mandal.140.00 Lakhs under MGNREGS (100%) Grant during the year 2024-25</v>
      </c>
      <c r="B19" s="1260"/>
      <c r="C19" s="1260"/>
      <c r="D19" s="1260"/>
      <c r="E19" s="1260"/>
      <c r="F19" s="1260"/>
      <c r="G19" s="1260"/>
      <c r="H19" s="1260"/>
      <c r="I19" s="1260"/>
    </row>
    <row r="20" spans="1:9" ht="18.75" customHeight="1">
      <c r="A20" s="511"/>
      <c r="B20" s="511"/>
      <c r="C20" s="511"/>
      <c r="D20" s="511"/>
      <c r="E20" s="511"/>
      <c r="F20" s="511"/>
      <c r="G20" s="511"/>
      <c r="H20" s="511"/>
      <c r="I20" s="511"/>
    </row>
    <row r="21" spans="1:9" ht="18.75" customHeight="1">
      <c r="A21" s="511"/>
      <c r="B21" s="511"/>
      <c r="C21" s="511"/>
      <c r="D21" s="511"/>
      <c r="E21" s="511"/>
      <c r="F21" s="511"/>
      <c r="G21" s="511"/>
      <c r="H21" s="511"/>
      <c r="I21" s="511"/>
    </row>
    <row r="22" spans="1:9" ht="18.75" customHeight="1">
      <c r="A22" s="511"/>
      <c r="B22" s="511"/>
      <c r="C22" s="511"/>
      <c r="D22" s="511"/>
      <c r="E22" s="511"/>
      <c r="F22" s="511"/>
      <c r="G22" s="511"/>
      <c r="H22" s="511"/>
      <c r="I22" s="511"/>
    </row>
  </sheetData>
  <mergeCells count="8">
    <mergeCell ref="A18:I18"/>
    <mergeCell ref="A19:I19"/>
    <mergeCell ref="A1:I1"/>
    <mergeCell ref="A2:C2"/>
    <mergeCell ref="F2:I2"/>
    <mergeCell ref="A3:I3"/>
    <mergeCell ref="A4:D4"/>
    <mergeCell ref="E4:I4"/>
  </mergeCells>
  <pageMargins left="0.5" right="0.52" top="0.75" bottom="0.75" header="0.3" footer="0.3"/>
  <pageSetup paperSize="9" scale="110" orientation="portrait" verticalDpi="0"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030A0"/>
  </sheetPr>
  <dimension ref="A1:J25"/>
  <sheetViews>
    <sheetView zoomScale="130" zoomScaleNormal="130" workbookViewId="0">
      <selection activeCell="J14" sqref="J14"/>
    </sheetView>
  </sheetViews>
  <sheetFormatPr defaultRowHeight="12.75"/>
  <cols>
    <col min="1" max="1" width="4" style="158" customWidth="1"/>
    <col min="2" max="2" width="10.42578125" style="158" customWidth="1"/>
    <col min="3" max="4" width="10.42578125" style="159" customWidth="1"/>
    <col min="5" max="5" width="10.7109375" style="159" customWidth="1"/>
    <col min="6" max="6" width="7.28515625" style="158" customWidth="1"/>
    <col min="7" max="7" width="10.42578125" style="158" customWidth="1"/>
    <col min="8" max="9" width="10.42578125" style="159" customWidth="1"/>
    <col min="10" max="10" width="10.7109375" style="159" customWidth="1"/>
    <col min="11" max="27" width="7.28515625" style="158" customWidth="1"/>
    <col min="28" max="16384" width="9.140625" style="158"/>
  </cols>
  <sheetData>
    <row r="1" spans="1:10" ht="13.5" thickTop="1">
      <c r="A1" s="513"/>
      <c r="B1" s="513"/>
      <c r="C1" s="514"/>
      <c r="D1" s="514"/>
      <c r="E1" s="514"/>
      <c r="G1" s="515"/>
      <c r="H1" s="516"/>
      <c r="I1" s="516"/>
      <c r="J1" s="517"/>
    </row>
    <row r="2" spans="1:10">
      <c r="A2" s="513"/>
      <c r="B2" s="513" t="s">
        <v>563</v>
      </c>
      <c r="C2" s="514"/>
      <c r="D2" s="514"/>
      <c r="E2" s="514"/>
      <c r="G2" s="518" t="s">
        <v>563</v>
      </c>
      <c r="J2" s="519"/>
    </row>
    <row r="3" spans="1:10">
      <c r="A3" s="513"/>
      <c r="B3" s="513"/>
      <c r="C3" s="514"/>
      <c r="D3" s="514"/>
      <c r="E3" s="514"/>
      <c r="G3" s="518"/>
      <c r="J3" s="519"/>
    </row>
    <row r="4" spans="1:10">
      <c r="A4" s="513"/>
      <c r="B4" s="1272" t="s">
        <v>564</v>
      </c>
      <c r="C4" s="1272"/>
      <c r="D4" s="1272"/>
      <c r="E4" s="1272"/>
      <c r="G4" s="1273" t="s">
        <v>564</v>
      </c>
      <c r="H4" s="1274"/>
      <c r="I4" s="1274"/>
      <c r="J4" s="1275"/>
    </row>
    <row r="5" spans="1:10">
      <c r="A5" s="513"/>
      <c r="B5" s="1276" t="s">
        <v>565</v>
      </c>
      <c r="C5" s="1276"/>
      <c r="D5" s="1276"/>
      <c r="E5" s="1276"/>
      <c r="G5" s="1277" t="s">
        <v>565</v>
      </c>
      <c r="H5" s="1278"/>
      <c r="I5" s="1278"/>
      <c r="J5" s="1279"/>
    </row>
    <row r="6" spans="1:10">
      <c r="A6" s="513"/>
      <c r="B6" s="1276" t="s">
        <v>566</v>
      </c>
      <c r="C6" s="1276"/>
      <c r="D6" s="1276"/>
      <c r="E6" s="1276"/>
      <c r="G6" s="1280" t="s">
        <v>567</v>
      </c>
      <c r="H6" s="1281"/>
      <c r="I6" s="1281"/>
      <c r="J6" s="1282"/>
    </row>
    <row r="7" spans="1:10">
      <c r="A7" s="513"/>
      <c r="B7" s="513"/>
      <c r="C7" s="514"/>
      <c r="D7" s="514"/>
      <c r="E7" s="514"/>
      <c r="G7" s="518"/>
      <c r="J7" s="519"/>
    </row>
    <row r="8" spans="1:10">
      <c r="A8" s="513"/>
      <c r="B8" s="520" t="s">
        <v>568</v>
      </c>
      <c r="C8" s="1266">
        <f>'C-1'!E13</f>
        <v>0</v>
      </c>
      <c r="D8" s="1266"/>
      <c r="E8" s="1266"/>
      <c r="G8" s="521" t="s">
        <v>568</v>
      </c>
      <c r="H8" s="1267">
        <f>C8</f>
        <v>0</v>
      </c>
      <c r="I8" s="1267"/>
      <c r="J8" s="1268"/>
    </row>
    <row r="9" spans="1:10">
      <c r="A9" s="513"/>
      <c r="B9" s="513"/>
      <c r="C9" s="1266"/>
      <c r="D9" s="1266"/>
      <c r="E9" s="1266"/>
      <c r="G9" s="518"/>
      <c r="H9" s="1267"/>
      <c r="I9" s="1267"/>
      <c r="J9" s="1268"/>
    </row>
    <row r="10" spans="1:10">
      <c r="A10" s="513"/>
      <c r="B10" s="513"/>
      <c r="C10" s="514"/>
      <c r="D10" s="514"/>
      <c r="E10" s="514"/>
      <c r="G10" s="518"/>
      <c r="J10" s="519"/>
    </row>
    <row r="11" spans="1:10" s="335" customFormat="1" ht="25.5" customHeight="1">
      <c r="A11" s="522"/>
      <c r="B11" s="523" t="s">
        <v>569</v>
      </c>
      <c r="C11" s="523" t="s">
        <v>59</v>
      </c>
      <c r="D11" s="523" t="s">
        <v>18</v>
      </c>
      <c r="E11" s="523" t="s">
        <v>182</v>
      </c>
      <c r="G11" s="524" t="s">
        <v>569</v>
      </c>
      <c r="H11" s="525" t="s">
        <v>59</v>
      </c>
      <c r="I11" s="525" t="s">
        <v>18</v>
      </c>
      <c r="J11" s="526" t="s">
        <v>182</v>
      </c>
    </row>
    <row r="12" spans="1:10" s="335" customFormat="1" ht="15.75" customHeight="1">
      <c r="A12" s="522"/>
      <c r="B12" s="523" t="s">
        <v>570</v>
      </c>
      <c r="C12" s="527"/>
      <c r="D12" s="527"/>
      <c r="E12" s="527"/>
      <c r="G12" s="524" t="s">
        <v>570</v>
      </c>
      <c r="H12" s="528">
        <f>'voucer part'!H13</f>
        <v>13</v>
      </c>
      <c r="I12" s="528">
        <f>'voucer part'!J13</f>
        <v>6600</v>
      </c>
      <c r="J12" s="529">
        <f>'voucer part'!K13</f>
        <v>85800</v>
      </c>
    </row>
    <row r="13" spans="1:10" s="335" customFormat="1" ht="15.75" customHeight="1">
      <c r="A13" s="522"/>
      <c r="B13" s="523" t="s">
        <v>571</v>
      </c>
      <c r="C13" s="527"/>
      <c r="D13" s="527"/>
      <c r="E13" s="527"/>
      <c r="G13" s="524" t="s">
        <v>1139</v>
      </c>
      <c r="H13" s="528">
        <f>'voucer part'!H16</f>
        <v>525.5</v>
      </c>
      <c r="I13" s="528">
        <f>'voucer part'!J16</f>
        <v>3700</v>
      </c>
      <c r="J13" s="529">
        <f>'voucer part'!K16</f>
        <v>1944350</v>
      </c>
    </row>
    <row r="14" spans="1:10" s="335" customFormat="1" ht="15.75" customHeight="1">
      <c r="A14" s="522"/>
      <c r="B14" s="523" t="s">
        <v>572</v>
      </c>
      <c r="C14" s="527"/>
      <c r="D14" s="527"/>
      <c r="E14" s="527"/>
      <c r="G14" s="524" t="s">
        <v>572</v>
      </c>
      <c r="H14" s="528">
        <f>'voucer part'!H14</f>
        <v>4</v>
      </c>
      <c r="I14" s="528">
        <f>'voucer part'!J14</f>
        <v>8500</v>
      </c>
      <c r="J14" s="530">
        <f>'voucer part'!K14</f>
        <v>34000</v>
      </c>
    </row>
    <row r="15" spans="1:10" s="335" customFormat="1" ht="15.75" customHeight="1">
      <c r="A15" s="522"/>
      <c r="B15" s="523" t="s">
        <v>573</v>
      </c>
      <c r="C15" s="527"/>
      <c r="D15" s="527"/>
      <c r="E15" s="527"/>
      <c r="G15" s="524" t="s">
        <v>573</v>
      </c>
      <c r="H15" s="528">
        <f>'voucer part'!H15</f>
        <v>1.5</v>
      </c>
      <c r="I15" s="528">
        <f>'voucer part'!J15</f>
        <v>7500</v>
      </c>
      <c r="J15" s="530">
        <f>'voucer part'!K15</f>
        <v>11250</v>
      </c>
    </row>
    <row r="16" spans="1:10" s="335" customFormat="1" ht="15.75" customHeight="1">
      <c r="A16" s="522"/>
      <c r="B16" s="531" t="s">
        <v>574</v>
      </c>
      <c r="C16" s="532"/>
      <c r="D16" s="532"/>
      <c r="E16" s="533">
        <f>ROUND(C16*D16,0)</f>
        <v>0</v>
      </c>
      <c r="G16" s="534" t="s">
        <v>574</v>
      </c>
      <c r="H16" s="535"/>
      <c r="I16" s="535"/>
      <c r="J16" s="536"/>
    </row>
    <row r="17" spans="1:10" s="335" customFormat="1" ht="15.75" customHeight="1">
      <c r="A17" s="522"/>
      <c r="B17" s="531" t="s">
        <v>575</v>
      </c>
      <c r="C17" s="532"/>
      <c r="D17" s="532"/>
      <c r="E17" s="533"/>
      <c r="G17" s="534" t="s">
        <v>575</v>
      </c>
      <c r="H17" s="528">
        <f>'voucer part'!H12</f>
        <v>237.5</v>
      </c>
      <c r="I17" s="528">
        <f>'voucer part'!J12</f>
        <v>8300</v>
      </c>
      <c r="J17" s="530">
        <f>'voucer part'!K12</f>
        <v>1971250</v>
      </c>
    </row>
    <row r="18" spans="1:10" s="335" customFormat="1" ht="15.75" customHeight="1">
      <c r="A18" s="522"/>
      <c r="B18" s="523" t="s">
        <v>576</v>
      </c>
      <c r="C18" s="532"/>
      <c r="D18" s="532"/>
      <c r="E18" s="533"/>
      <c r="G18" s="524" t="s">
        <v>576</v>
      </c>
      <c r="H18" s="535"/>
      <c r="I18" s="535"/>
      <c r="J18" s="536"/>
    </row>
    <row r="19" spans="1:10" s="335" customFormat="1" ht="15.75" customHeight="1">
      <c r="A19" s="522"/>
      <c r="B19" s="523" t="s">
        <v>4</v>
      </c>
      <c r="C19" s="527"/>
      <c r="D19" s="527"/>
      <c r="E19" s="537">
        <f>SUM(E12:E18)</f>
        <v>0</v>
      </c>
      <c r="G19" s="524" t="s">
        <v>4</v>
      </c>
      <c r="H19" s="535"/>
      <c r="I19" s="535"/>
      <c r="J19" s="538">
        <f>SUM(J12:J18)</f>
        <v>4046650</v>
      </c>
    </row>
    <row r="20" spans="1:10" ht="15.75" customHeight="1">
      <c r="A20" s="513"/>
      <c r="B20" s="513"/>
      <c r="C20" s="514"/>
      <c r="D20" s="514"/>
      <c r="E20" s="514"/>
      <c r="G20" s="518"/>
      <c r="J20" s="519"/>
    </row>
    <row r="21" spans="1:10" ht="15.75" customHeight="1">
      <c r="A21" s="513"/>
      <c r="B21" s="513"/>
      <c r="C21" s="514"/>
      <c r="D21" s="514"/>
      <c r="E21" s="514"/>
      <c r="G21" s="518"/>
      <c r="J21" s="519"/>
    </row>
    <row r="22" spans="1:10" ht="15.75" customHeight="1">
      <c r="A22" s="513"/>
      <c r="B22" s="513"/>
      <c r="C22" s="514"/>
      <c r="D22" s="514"/>
      <c r="E22" s="514"/>
      <c r="G22" s="518"/>
      <c r="J22" s="519"/>
    </row>
    <row r="23" spans="1:10" ht="15.75" customHeight="1">
      <c r="A23" s="513"/>
      <c r="B23" s="513"/>
      <c r="C23" s="514"/>
      <c r="D23" s="1269" t="s">
        <v>577</v>
      </c>
      <c r="E23" s="1269"/>
      <c r="G23" s="518"/>
      <c r="I23" s="1270" t="s">
        <v>577</v>
      </c>
      <c r="J23" s="1271"/>
    </row>
    <row r="24" spans="1:10" ht="15.75" customHeight="1" thickBot="1">
      <c r="B24" s="159"/>
      <c r="G24" s="539"/>
      <c r="H24" s="540"/>
      <c r="I24" s="540"/>
      <c r="J24" s="541"/>
    </row>
    <row r="25" spans="1:10" ht="13.5" thickTop="1"/>
  </sheetData>
  <mergeCells count="10">
    <mergeCell ref="C8:E9"/>
    <mergeCell ref="H8:J9"/>
    <mergeCell ref="D23:E23"/>
    <mergeCell ref="I23:J23"/>
    <mergeCell ref="B4:E4"/>
    <mergeCell ref="G4:J4"/>
    <mergeCell ref="B5:E5"/>
    <mergeCell ref="G5:J5"/>
    <mergeCell ref="B6:E6"/>
    <mergeCell ref="G6:J6"/>
  </mergeCells>
  <pageMargins left="0.43" right="0.4" top="0.41" bottom="0.75" header="0.3" footer="0.3"/>
  <pageSetup paperSize="9" orientation="portrait"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030A0"/>
  </sheetPr>
  <dimension ref="B1:J16"/>
  <sheetViews>
    <sheetView zoomScale="115" zoomScaleNormal="115" workbookViewId="0">
      <selection activeCell="B2" sqref="B2:E2"/>
    </sheetView>
  </sheetViews>
  <sheetFormatPr defaultRowHeight="12.75"/>
  <cols>
    <col min="1" max="1" width="4" style="158" customWidth="1"/>
    <col min="2" max="2" width="10.42578125" style="158" customWidth="1"/>
    <col min="3" max="4" width="10.42578125" style="159" customWidth="1"/>
    <col min="5" max="5" width="10.7109375" style="159" customWidth="1"/>
    <col min="6" max="6" width="7.28515625" style="158" customWidth="1"/>
    <col min="7" max="7" width="10.42578125" style="158" customWidth="1"/>
    <col min="8" max="9" width="10.42578125" style="159" customWidth="1"/>
    <col min="10" max="10" width="10.7109375" style="159" customWidth="1"/>
    <col min="11" max="27" width="7.28515625" style="158" customWidth="1"/>
    <col min="28" max="16384" width="9.140625" style="158"/>
  </cols>
  <sheetData>
    <row r="1" spans="2:10" ht="27.75" customHeight="1">
      <c r="B1" s="1283" t="str">
        <f>'3'!A18</f>
        <v>Certified that the item was recorded vide page no.      of M.B.No.  ……………………….  for the work</v>
      </c>
      <c r="C1" s="1283"/>
      <c r="D1" s="1283"/>
      <c r="E1" s="1283"/>
      <c r="G1" s="1284" t="str">
        <f>B1</f>
        <v>Certified that the item was recorded vide page no.      of M.B.No.  ……………………….  for the work</v>
      </c>
      <c r="H1" s="1284"/>
      <c r="I1" s="1284"/>
      <c r="J1" s="1284"/>
    </row>
    <row r="2" spans="2:10" ht="84" customHeight="1">
      <c r="B2" s="1283" t="str">
        <f>'2'!A19</f>
        <v>Providing BT Surface to the road from Inimerla SC colony to National Highway at Nuchupoda in Inimerla GP of Pamuru Mandal.140.00 Lakhs under MGNREGS (100%) Grant during the year 2024-25</v>
      </c>
      <c r="C2" s="1283"/>
      <c r="D2" s="1283"/>
      <c r="E2" s="1283"/>
      <c r="G2" s="1284" t="str">
        <f>B2</f>
        <v>Providing BT Surface to the road from Inimerla SC colony to National Highway at Nuchupoda in Inimerla GP of Pamuru Mandal.140.00 Lakhs under MGNREGS (100%) Grant during the year 2024-25</v>
      </c>
      <c r="H2" s="1284"/>
      <c r="I2" s="1284"/>
      <c r="J2" s="1284"/>
    </row>
    <row r="3" spans="2:10">
      <c r="B3" s="1278"/>
      <c r="C3" s="1278"/>
      <c r="D3" s="1278"/>
      <c r="E3" s="1278"/>
      <c r="G3" s="1278"/>
      <c r="H3" s="1278"/>
      <c r="I3" s="1278"/>
      <c r="J3" s="1278"/>
    </row>
    <row r="5" spans="2:10">
      <c r="B5" s="542"/>
      <c r="G5" s="542"/>
    </row>
    <row r="8" spans="2:10" s="335" customFormat="1" ht="25.5" customHeight="1">
      <c r="B8" s="543"/>
      <c r="C8" s="543"/>
      <c r="D8" s="543"/>
      <c r="E8" s="543"/>
      <c r="G8" s="543"/>
      <c r="H8" s="543"/>
      <c r="I8" s="543"/>
      <c r="J8" s="543"/>
    </row>
    <row r="9" spans="2:10" s="335" customFormat="1" ht="25.5" customHeight="1">
      <c r="B9" s="543"/>
      <c r="C9" s="544"/>
      <c r="D9" s="544"/>
      <c r="E9" s="544"/>
      <c r="G9" s="543"/>
      <c r="H9" s="544"/>
      <c r="I9" s="544"/>
      <c r="J9" s="544"/>
    </row>
    <row r="10" spans="2:10" s="335" customFormat="1" ht="25.5" customHeight="1">
      <c r="B10" s="543"/>
      <c r="C10" s="544"/>
      <c r="D10" s="544"/>
      <c r="E10" s="544"/>
      <c r="G10" s="543"/>
      <c r="H10" s="544"/>
      <c r="I10" s="544"/>
      <c r="J10" s="544"/>
    </row>
    <row r="11" spans="2:10" s="335" customFormat="1" ht="25.5" customHeight="1">
      <c r="B11" s="543"/>
      <c r="C11" s="544"/>
      <c r="D11" s="544"/>
      <c r="E11" s="544"/>
      <c r="G11" s="543"/>
      <c r="H11" s="544"/>
      <c r="I11" s="544"/>
      <c r="J11" s="544"/>
    </row>
    <row r="12" spans="2:10" s="335" customFormat="1" ht="25.5" customHeight="1">
      <c r="B12" s="543"/>
      <c r="C12" s="544"/>
      <c r="D12" s="544"/>
      <c r="E12" s="544"/>
      <c r="G12" s="543"/>
      <c r="H12" s="544"/>
      <c r="I12" s="544"/>
      <c r="J12" s="544"/>
    </row>
    <row r="13" spans="2:10" s="335" customFormat="1" ht="25.5" customHeight="1">
      <c r="B13" s="545"/>
      <c r="C13" s="544"/>
      <c r="D13" s="544"/>
      <c r="E13" s="544"/>
      <c r="G13" s="545"/>
      <c r="H13" s="544"/>
      <c r="I13" s="544"/>
      <c r="J13" s="544"/>
    </row>
    <row r="14" spans="2:10" s="335" customFormat="1" ht="25.5" customHeight="1">
      <c r="B14" s="545"/>
      <c r="C14" s="544"/>
      <c r="D14" s="544"/>
      <c r="E14" s="544"/>
      <c r="G14" s="545"/>
      <c r="H14" s="544"/>
      <c r="I14" s="544"/>
      <c r="J14" s="544"/>
    </row>
    <row r="15" spans="2:10" s="335" customFormat="1" ht="25.5" customHeight="1">
      <c r="B15" s="543"/>
      <c r="C15" s="544"/>
      <c r="D15" s="544"/>
      <c r="E15" s="544"/>
      <c r="G15" s="543"/>
      <c r="H15" s="544"/>
      <c r="I15" s="544"/>
      <c r="J15" s="544"/>
    </row>
    <row r="16" spans="2:10" s="335" customFormat="1" ht="25.5" customHeight="1">
      <c r="B16" s="543"/>
      <c r="C16" s="544"/>
      <c r="D16" s="544"/>
      <c r="E16" s="544"/>
      <c r="G16" s="543"/>
      <c r="H16" s="544"/>
      <c r="I16" s="544"/>
      <c r="J16" s="544"/>
    </row>
  </sheetData>
  <mergeCells count="6">
    <mergeCell ref="B1:E1"/>
    <mergeCell ref="G1:J1"/>
    <mergeCell ref="B2:E2"/>
    <mergeCell ref="G2:J2"/>
    <mergeCell ref="B3:E3"/>
    <mergeCell ref="G3:J3"/>
  </mergeCells>
  <pageMargins left="0.18" right="0.43" top="0.75" bottom="0.16" header="0.3" footer="0.16"/>
  <pageSetup paperSize="9" orientation="portrait" verticalDpi="0"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M47"/>
  <sheetViews>
    <sheetView view="pageBreakPreview" topLeftCell="A32" zoomScale="115" zoomScaleSheetLayoutView="115" workbookViewId="0">
      <selection activeCell="F36" sqref="F36"/>
    </sheetView>
  </sheetViews>
  <sheetFormatPr defaultRowHeight="15"/>
  <cols>
    <col min="1" max="1" width="5.7109375" style="304" customWidth="1"/>
    <col min="2" max="2" width="10.42578125" style="304" customWidth="1"/>
    <col min="3" max="3" width="13.5703125" style="303" customWidth="1"/>
    <col min="4" max="4" width="18.5703125" style="303" customWidth="1"/>
    <col min="5" max="5" width="12.85546875" style="315" customWidth="1"/>
    <col min="6" max="6" width="36.42578125" style="304" customWidth="1"/>
    <col min="7" max="7" width="19" style="304" customWidth="1"/>
    <col min="8" max="8" width="11.140625" style="304" customWidth="1"/>
    <col min="9" max="9" width="8.140625" style="303" customWidth="1"/>
    <col min="10" max="13" width="9.140625" style="303"/>
    <col min="14" max="259" width="9.140625" style="304"/>
    <col min="260" max="260" width="5.7109375" style="304" customWidth="1"/>
    <col min="261" max="261" width="13.5703125" style="304" customWidth="1"/>
    <col min="262" max="262" width="18.5703125" style="304" customWidth="1"/>
    <col min="263" max="263" width="50.42578125" style="304" customWidth="1"/>
    <col min="264" max="264" width="19" style="304" customWidth="1"/>
    <col min="265" max="515" width="9.140625" style="304"/>
    <col min="516" max="516" width="5.7109375" style="304" customWidth="1"/>
    <col min="517" max="517" width="13.5703125" style="304" customWidth="1"/>
    <col min="518" max="518" width="18.5703125" style="304" customWidth="1"/>
    <col min="519" max="519" width="50.42578125" style="304" customWidth="1"/>
    <col min="520" max="520" width="19" style="304" customWidth="1"/>
    <col min="521" max="771" width="9.140625" style="304"/>
    <col min="772" max="772" width="5.7109375" style="304" customWidth="1"/>
    <col min="773" max="773" width="13.5703125" style="304" customWidth="1"/>
    <col min="774" max="774" width="18.5703125" style="304" customWidth="1"/>
    <col min="775" max="775" width="50.42578125" style="304" customWidth="1"/>
    <col min="776" max="776" width="19" style="304" customWidth="1"/>
    <col min="777" max="1027" width="9.140625" style="304"/>
    <col min="1028" max="1028" width="5.7109375" style="304" customWidth="1"/>
    <col min="1029" max="1029" width="13.5703125" style="304" customWidth="1"/>
    <col min="1030" max="1030" width="18.5703125" style="304" customWidth="1"/>
    <col min="1031" max="1031" width="50.42578125" style="304" customWidth="1"/>
    <col min="1032" max="1032" width="19" style="304" customWidth="1"/>
    <col min="1033" max="1283" width="9.140625" style="304"/>
    <col min="1284" max="1284" width="5.7109375" style="304" customWidth="1"/>
    <col min="1285" max="1285" width="13.5703125" style="304" customWidth="1"/>
    <col min="1286" max="1286" width="18.5703125" style="304" customWidth="1"/>
    <col min="1287" max="1287" width="50.42578125" style="304" customWidth="1"/>
    <col min="1288" max="1288" width="19" style="304" customWidth="1"/>
    <col min="1289" max="1539" width="9.140625" style="304"/>
    <col min="1540" max="1540" width="5.7109375" style="304" customWidth="1"/>
    <col min="1541" max="1541" width="13.5703125" style="304" customWidth="1"/>
    <col min="1542" max="1542" width="18.5703125" style="304" customWidth="1"/>
    <col min="1543" max="1543" width="50.42578125" style="304" customWidth="1"/>
    <col min="1544" max="1544" width="19" style="304" customWidth="1"/>
    <col min="1545" max="1795" width="9.140625" style="304"/>
    <col min="1796" max="1796" width="5.7109375" style="304" customWidth="1"/>
    <col min="1797" max="1797" width="13.5703125" style="304" customWidth="1"/>
    <col min="1798" max="1798" width="18.5703125" style="304" customWidth="1"/>
    <col min="1799" max="1799" width="50.42578125" style="304" customWidth="1"/>
    <col min="1800" max="1800" width="19" style="304" customWidth="1"/>
    <col min="1801" max="2051" width="9.140625" style="304"/>
    <col min="2052" max="2052" width="5.7109375" style="304" customWidth="1"/>
    <col min="2053" max="2053" width="13.5703125" style="304" customWidth="1"/>
    <col min="2054" max="2054" width="18.5703125" style="304" customWidth="1"/>
    <col min="2055" max="2055" width="50.42578125" style="304" customWidth="1"/>
    <col min="2056" max="2056" width="19" style="304" customWidth="1"/>
    <col min="2057" max="2307" width="9.140625" style="304"/>
    <col min="2308" max="2308" width="5.7109375" style="304" customWidth="1"/>
    <col min="2309" max="2309" width="13.5703125" style="304" customWidth="1"/>
    <col min="2310" max="2310" width="18.5703125" style="304" customWidth="1"/>
    <col min="2311" max="2311" width="50.42578125" style="304" customWidth="1"/>
    <col min="2312" max="2312" width="19" style="304" customWidth="1"/>
    <col min="2313" max="2563" width="9.140625" style="304"/>
    <col min="2564" max="2564" width="5.7109375" style="304" customWidth="1"/>
    <col min="2565" max="2565" width="13.5703125" style="304" customWidth="1"/>
    <col min="2566" max="2566" width="18.5703125" style="304" customWidth="1"/>
    <col min="2567" max="2567" width="50.42578125" style="304" customWidth="1"/>
    <col min="2568" max="2568" width="19" style="304" customWidth="1"/>
    <col min="2569" max="2819" width="9.140625" style="304"/>
    <col min="2820" max="2820" width="5.7109375" style="304" customWidth="1"/>
    <col min="2821" max="2821" width="13.5703125" style="304" customWidth="1"/>
    <col min="2822" max="2822" width="18.5703125" style="304" customWidth="1"/>
    <col min="2823" max="2823" width="50.42578125" style="304" customWidth="1"/>
    <col min="2824" max="2824" width="19" style="304" customWidth="1"/>
    <col min="2825" max="3075" width="9.140625" style="304"/>
    <col min="3076" max="3076" width="5.7109375" style="304" customWidth="1"/>
    <col min="3077" max="3077" width="13.5703125" style="304" customWidth="1"/>
    <col min="3078" max="3078" width="18.5703125" style="304" customWidth="1"/>
    <col min="3079" max="3079" width="50.42578125" style="304" customWidth="1"/>
    <col min="3080" max="3080" width="19" style="304" customWidth="1"/>
    <col min="3081" max="3331" width="9.140625" style="304"/>
    <col min="3332" max="3332" width="5.7109375" style="304" customWidth="1"/>
    <col min="3333" max="3333" width="13.5703125" style="304" customWidth="1"/>
    <col min="3334" max="3334" width="18.5703125" style="304" customWidth="1"/>
    <col min="3335" max="3335" width="50.42578125" style="304" customWidth="1"/>
    <col min="3336" max="3336" width="19" style="304" customWidth="1"/>
    <col min="3337" max="3587" width="9.140625" style="304"/>
    <col min="3588" max="3588" width="5.7109375" style="304" customWidth="1"/>
    <col min="3589" max="3589" width="13.5703125" style="304" customWidth="1"/>
    <col min="3590" max="3590" width="18.5703125" style="304" customWidth="1"/>
    <col min="3591" max="3591" width="50.42578125" style="304" customWidth="1"/>
    <col min="3592" max="3592" width="19" style="304" customWidth="1"/>
    <col min="3593" max="3843" width="9.140625" style="304"/>
    <col min="3844" max="3844" width="5.7109375" style="304" customWidth="1"/>
    <col min="3845" max="3845" width="13.5703125" style="304" customWidth="1"/>
    <col min="3846" max="3846" width="18.5703125" style="304" customWidth="1"/>
    <col min="3847" max="3847" width="50.42578125" style="304" customWidth="1"/>
    <col min="3848" max="3848" width="19" style="304" customWidth="1"/>
    <col min="3849" max="4099" width="9.140625" style="304"/>
    <col min="4100" max="4100" width="5.7109375" style="304" customWidth="1"/>
    <col min="4101" max="4101" width="13.5703125" style="304" customWidth="1"/>
    <col min="4102" max="4102" width="18.5703125" style="304" customWidth="1"/>
    <col min="4103" max="4103" width="50.42578125" style="304" customWidth="1"/>
    <col min="4104" max="4104" width="19" style="304" customWidth="1"/>
    <col min="4105" max="4355" width="9.140625" style="304"/>
    <col min="4356" max="4356" width="5.7109375" style="304" customWidth="1"/>
    <col min="4357" max="4357" width="13.5703125" style="304" customWidth="1"/>
    <col min="4358" max="4358" width="18.5703125" style="304" customWidth="1"/>
    <col min="4359" max="4359" width="50.42578125" style="304" customWidth="1"/>
    <col min="4360" max="4360" width="19" style="304" customWidth="1"/>
    <col min="4361" max="4611" width="9.140625" style="304"/>
    <col min="4612" max="4612" width="5.7109375" style="304" customWidth="1"/>
    <col min="4613" max="4613" width="13.5703125" style="304" customWidth="1"/>
    <col min="4614" max="4614" width="18.5703125" style="304" customWidth="1"/>
    <col min="4615" max="4615" width="50.42578125" style="304" customWidth="1"/>
    <col min="4616" max="4616" width="19" style="304" customWidth="1"/>
    <col min="4617" max="4867" width="9.140625" style="304"/>
    <col min="4868" max="4868" width="5.7109375" style="304" customWidth="1"/>
    <col min="4869" max="4869" width="13.5703125" style="304" customWidth="1"/>
    <col min="4870" max="4870" width="18.5703125" style="304" customWidth="1"/>
    <col min="4871" max="4871" width="50.42578125" style="304" customWidth="1"/>
    <col min="4872" max="4872" width="19" style="304" customWidth="1"/>
    <col min="4873" max="5123" width="9.140625" style="304"/>
    <col min="5124" max="5124" width="5.7109375" style="304" customWidth="1"/>
    <col min="5125" max="5125" width="13.5703125" style="304" customWidth="1"/>
    <col min="5126" max="5126" width="18.5703125" style="304" customWidth="1"/>
    <col min="5127" max="5127" width="50.42578125" style="304" customWidth="1"/>
    <col min="5128" max="5128" width="19" style="304" customWidth="1"/>
    <col min="5129" max="5379" width="9.140625" style="304"/>
    <col min="5380" max="5380" width="5.7109375" style="304" customWidth="1"/>
    <col min="5381" max="5381" width="13.5703125" style="304" customWidth="1"/>
    <col min="5382" max="5382" width="18.5703125" style="304" customWidth="1"/>
    <col min="5383" max="5383" width="50.42578125" style="304" customWidth="1"/>
    <col min="5384" max="5384" width="19" style="304" customWidth="1"/>
    <col min="5385" max="5635" width="9.140625" style="304"/>
    <col min="5636" max="5636" width="5.7109375" style="304" customWidth="1"/>
    <col min="5637" max="5637" width="13.5703125" style="304" customWidth="1"/>
    <col min="5638" max="5638" width="18.5703125" style="304" customWidth="1"/>
    <col min="5639" max="5639" width="50.42578125" style="304" customWidth="1"/>
    <col min="5640" max="5640" width="19" style="304" customWidth="1"/>
    <col min="5641" max="5891" width="9.140625" style="304"/>
    <col min="5892" max="5892" width="5.7109375" style="304" customWidth="1"/>
    <col min="5893" max="5893" width="13.5703125" style="304" customWidth="1"/>
    <col min="5894" max="5894" width="18.5703125" style="304" customWidth="1"/>
    <col min="5895" max="5895" width="50.42578125" style="304" customWidth="1"/>
    <col min="5896" max="5896" width="19" style="304" customWidth="1"/>
    <col min="5897" max="6147" width="9.140625" style="304"/>
    <col min="6148" max="6148" width="5.7109375" style="304" customWidth="1"/>
    <col min="6149" max="6149" width="13.5703125" style="304" customWidth="1"/>
    <col min="6150" max="6150" width="18.5703125" style="304" customWidth="1"/>
    <col min="6151" max="6151" width="50.42578125" style="304" customWidth="1"/>
    <col min="6152" max="6152" width="19" style="304" customWidth="1"/>
    <col min="6153" max="6403" width="9.140625" style="304"/>
    <col min="6404" max="6404" width="5.7109375" style="304" customWidth="1"/>
    <col min="6405" max="6405" width="13.5703125" style="304" customWidth="1"/>
    <col min="6406" max="6406" width="18.5703125" style="304" customWidth="1"/>
    <col min="6407" max="6407" width="50.42578125" style="304" customWidth="1"/>
    <col min="6408" max="6408" width="19" style="304" customWidth="1"/>
    <col min="6409" max="6659" width="9.140625" style="304"/>
    <col min="6660" max="6660" width="5.7109375" style="304" customWidth="1"/>
    <col min="6661" max="6661" width="13.5703125" style="304" customWidth="1"/>
    <col min="6662" max="6662" width="18.5703125" style="304" customWidth="1"/>
    <col min="6663" max="6663" width="50.42578125" style="304" customWidth="1"/>
    <col min="6664" max="6664" width="19" style="304" customWidth="1"/>
    <col min="6665" max="6915" width="9.140625" style="304"/>
    <col min="6916" max="6916" width="5.7109375" style="304" customWidth="1"/>
    <col min="6917" max="6917" width="13.5703125" style="304" customWidth="1"/>
    <col min="6918" max="6918" width="18.5703125" style="304" customWidth="1"/>
    <col min="6919" max="6919" width="50.42578125" style="304" customWidth="1"/>
    <col min="6920" max="6920" width="19" style="304" customWidth="1"/>
    <col min="6921" max="7171" width="9.140625" style="304"/>
    <col min="7172" max="7172" width="5.7109375" style="304" customWidth="1"/>
    <col min="7173" max="7173" width="13.5703125" style="304" customWidth="1"/>
    <col min="7174" max="7174" width="18.5703125" style="304" customWidth="1"/>
    <col min="7175" max="7175" width="50.42578125" style="304" customWidth="1"/>
    <col min="7176" max="7176" width="19" style="304" customWidth="1"/>
    <col min="7177" max="7427" width="9.140625" style="304"/>
    <col min="7428" max="7428" width="5.7109375" style="304" customWidth="1"/>
    <col min="7429" max="7429" width="13.5703125" style="304" customWidth="1"/>
    <col min="7430" max="7430" width="18.5703125" style="304" customWidth="1"/>
    <col min="7431" max="7431" width="50.42578125" style="304" customWidth="1"/>
    <col min="7432" max="7432" width="19" style="304" customWidth="1"/>
    <col min="7433" max="7683" width="9.140625" style="304"/>
    <col min="7684" max="7684" width="5.7109375" style="304" customWidth="1"/>
    <col min="7685" max="7685" width="13.5703125" style="304" customWidth="1"/>
    <col min="7686" max="7686" width="18.5703125" style="304" customWidth="1"/>
    <col min="7687" max="7687" width="50.42578125" style="304" customWidth="1"/>
    <col min="7688" max="7688" width="19" style="304" customWidth="1"/>
    <col min="7689" max="7939" width="9.140625" style="304"/>
    <col min="7940" max="7940" width="5.7109375" style="304" customWidth="1"/>
    <col min="7941" max="7941" width="13.5703125" style="304" customWidth="1"/>
    <col min="7942" max="7942" width="18.5703125" style="304" customWidth="1"/>
    <col min="7943" max="7943" width="50.42578125" style="304" customWidth="1"/>
    <col min="7944" max="7944" width="19" style="304" customWidth="1"/>
    <col min="7945" max="8195" width="9.140625" style="304"/>
    <col min="8196" max="8196" width="5.7109375" style="304" customWidth="1"/>
    <col min="8197" max="8197" width="13.5703125" style="304" customWidth="1"/>
    <col min="8198" max="8198" width="18.5703125" style="304" customWidth="1"/>
    <col min="8199" max="8199" width="50.42578125" style="304" customWidth="1"/>
    <col min="8200" max="8200" width="19" style="304" customWidth="1"/>
    <col min="8201" max="8451" width="9.140625" style="304"/>
    <col min="8452" max="8452" width="5.7109375" style="304" customWidth="1"/>
    <col min="8453" max="8453" width="13.5703125" style="304" customWidth="1"/>
    <col min="8454" max="8454" width="18.5703125" style="304" customWidth="1"/>
    <col min="8455" max="8455" width="50.42578125" style="304" customWidth="1"/>
    <col min="8456" max="8456" width="19" style="304" customWidth="1"/>
    <col min="8457" max="8707" width="9.140625" style="304"/>
    <col min="8708" max="8708" width="5.7109375" style="304" customWidth="1"/>
    <col min="8709" max="8709" width="13.5703125" style="304" customWidth="1"/>
    <col min="8710" max="8710" width="18.5703125" style="304" customWidth="1"/>
    <col min="8711" max="8711" width="50.42578125" style="304" customWidth="1"/>
    <col min="8712" max="8712" width="19" style="304" customWidth="1"/>
    <col min="8713" max="8963" width="9.140625" style="304"/>
    <col min="8964" max="8964" width="5.7109375" style="304" customWidth="1"/>
    <col min="8965" max="8965" width="13.5703125" style="304" customWidth="1"/>
    <col min="8966" max="8966" width="18.5703125" style="304" customWidth="1"/>
    <col min="8967" max="8967" width="50.42578125" style="304" customWidth="1"/>
    <col min="8968" max="8968" width="19" style="304" customWidth="1"/>
    <col min="8969" max="9219" width="9.140625" style="304"/>
    <col min="9220" max="9220" width="5.7109375" style="304" customWidth="1"/>
    <col min="9221" max="9221" width="13.5703125" style="304" customWidth="1"/>
    <col min="9222" max="9222" width="18.5703125" style="304" customWidth="1"/>
    <col min="9223" max="9223" width="50.42578125" style="304" customWidth="1"/>
    <col min="9224" max="9224" width="19" style="304" customWidth="1"/>
    <col min="9225" max="9475" width="9.140625" style="304"/>
    <col min="9476" max="9476" width="5.7109375" style="304" customWidth="1"/>
    <col min="9477" max="9477" width="13.5703125" style="304" customWidth="1"/>
    <col min="9478" max="9478" width="18.5703125" style="304" customWidth="1"/>
    <col min="9479" max="9479" width="50.42578125" style="304" customWidth="1"/>
    <col min="9480" max="9480" width="19" style="304" customWidth="1"/>
    <col min="9481" max="9731" width="9.140625" style="304"/>
    <col min="9732" max="9732" width="5.7109375" style="304" customWidth="1"/>
    <col min="9733" max="9733" width="13.5703125" style="304" customWidth="1"/>
    <col min="9734" max="9734" width="18.5703125" style="304" customWidth="1"/>
    <col min="9735" max="9735" width="50.42578125" style="304" customWidth="1"/>
    <col min="9736" max="9736" width="19" style="304" customWidth="1"/>
    <col min="9737" max="9987" width="9.140625" style="304"/>
    <col min="9988" max="9988" width="5.7109375" style="304" customWidth="1"/>
    <col min="9989" max="9989" width="13.5703125" style="304" customWidth="1"/>
    <col min="9990" max="9990" width="18.5703125" style="304" customWidth="1"/>
    <col min="9991" max="9991" width="50.42578125" style="304" customWidth="1"/>
    <col min="9992" max="9992" width="19" style="304" customWidth="1"/>
    <col min="9993" max="10243" width="9.140625" style="304"/>
    <col min="10244" max="10244" width="5.7109375" style="304" customWidth="1"/>
    <col min="10245" max="10245" width="13.5703125" style="304" customWidth="1"/>
    <col min="10246" max="10246" width="18.5703125" style="304" customWidth="1"/>
    <col min="10247" max="10247" width="50.42578125" style="304" customWidth="1"/>
    <col min="10248" max="10248" width="19" style="304" customWidth="1"/>
    <col min="10249" max="10499" width="9.140625" style="304"/>
    <col min="10500" max="10500" width="5.7109375" style="304" customWidth="1"/>
    <col min="10501" max="10501" width="13.5703125" style="304" customWidth="1"/>
    <col min="10502" max="10502" width="18.5703125" style="304" customWidth="1"/>
    <col min="10503" max="10503" width="50.42578125" style="304" customWidth="1"/>
    <col min="10504" max="10504" width="19" style="304" customWidth="1"/>
    <col min="10505" max="10755" width="9.140625" style="304"/>
    <col min="10756" max="10756" width="5.7109375" style="304" customWidth="1"/>
    <col min="10757" max="10757" width="13.5703125" style="304" customWidth="1"/>
    <col min="10758" max="10758" width="18.5703125" style="304" customWidth="1"/>
    <col min="10759" max="10759" width="50.42578125" style="304" customWidth="1"/>
    <col min="10760" max="10760" width="19" style="304" customWidth="1"/>
    <col min="10761" max="11011" width="9.140625" style="304"/>
    <col min="11012" max="11012" width="5.7109375" style="304" customWidth="1"/>
    <col min="11013" max="11013" width="13.5703125" style="304" customWidth="1"/>
    <col min="11014" max="11014" width="18.5703125" style="304" customWidth="1"/>
    <col min="11015" max="11015" width="50.42578125" style="304" customWidth="1"/>
    <col min="11016" max="11016" width="19" style="304" customWidth="1"/>
    <col min="11017" max="11267" width="9.140625" style="304"/>
    <col min="11268" max="11268" width="5.7109375" style="304" customWidth="1"/>
    <col min="11269" max="11269" width="13.5703125" style="304" customWidth="1"/>
    <col min="11270" max="11270" width="18.5703125" style="304" customWidth="1"/>
    <col min="11271" max="11271" width="50.42578125" style="304" customWidth="1"/>
    <col min="11272" max="11272" width="19" style="304" customWidth="1"/>
    <col min="11273" max="11523" width="9.140625" style="304"/>
    <col min="11524" max="11524" width="5.7109375" style="304" customWidth="1"/>
    <col min="11525" max="11525" width="13.5703125" style="304" customWidth="1"/>
    <col min="11526" max="11526" width="18.5703125" style="304" customWidth="1"/>
    <col min="11527" max="11527" width="50.42578125" style="304" customWidth="1"/>
    <col min="11528" max="11528" width="19" style="304" customWidth="1"/>
    <col min="11529" max="11779" width="9.140625" style="304"/>
    <col min="11780" max="11780" width="5.7109375" style="304" customWidth="1"/>
    <col min="11781" max="11781" width="13.5703125" style="304" customWidth="1"/>
    <col min="11782" max="11782" width="18.5703125" style="304" customWidth="1"/>
    <col min="11783" max="11783" width="50.42578125" style="304" customWidth="1"/>
    <col min="11784" max="11784" width="19" style="304" customWidth="1"/>
    <col min="11785" max="12035" width="9.140625" style="304"/>
    <col min="12036" max="12036" width="5.7109375" style="304" customWidth="1"/>
    <col min="12037" max="12037" width="13.5703125" style="304" customWidth="1"/>
    <col min="12038" max="12038" width="18.5703125" style="304" customWidth="1"/>
    <col min="12039" max="12039" width="50.42578125" style="304" customWidth="1"/>
    <col min="12040" max="12040" width="19" style="304" customWidth="1"/>
    <col min="12041" max="12291" width="9.140625" style="304"/>
    <col min="12292" max="12292" width="5.7109375" style="304" customWidth="1"/>
    <col min="12293" max="12293" width="13.5703125" style="304" customWidth="1"/>
    <col min="12294" max="12294" width="18.5703125" style="304" customWidth="1"/>
    <col min="12295" max="12295" width="50.42578125" style="304" customWidth="1"/>
    <col min="12296" max="12296" width="19" style="304" customWidth="1"/>
    <col min="12297" max="12547" width="9.140625" style="304"/>
    <col min="12548" max="12548" width="5.7109375" style="304" customWidth="1"/>
    <col min="12549" max="12549" width="13.5703125" style="304" customWidth="1"/>
    <col min="12550" max="12550" width="18.5703125" style="304" customWidth="1"/>
    <col min="12551" max="12551" width="50.42578125" style="304" customWidth="1"/>
    <col min="12552" max="12552" width="19" style="304" customWidth="1"/>
    <col min="12553" max="12803" width="9.140625" style="304"/>
    <col min="12804" max="12804" width="5.7109375" style="304" customWidth="1"/>
    <col min="12805" max="12805" width="13.5703125" style="304" customWidth="1"/>
    <col min="12806" max="12806" width="18.5703125" style="304" customWidth="1"/>
    <col min="12807" max="12807" width="50.42578125" style="304" customWidth="1"/>
    <col min="12808" max="12808" width="19" style="304" customWidth="1"/>
    <col min="12809" max="13059" width="9.140625" style="304"/>
    <col min="13060" max="13060" width="5.7109375" style="304" customWidth="1"/>
    <col min="13061" max="13061" width="13.5703125" style="304" customWidth="1"/>
    <col min="13062" max="13062" width="18.5703125" style="304" customWidth="1"/>
    <col min="13063" max="13063" width="50.42578125" style="304" customWidth="1"/>
    <col min="13064" max="13064" width="19" style="304" customWidth="1"/>
    <col min="13065" max="13315" width="9.140625" style="304"/>
    <col min="13316" max="13316" width="5.7109375" style="304" customWidth="1"/>
    <col min="13317" max="13317" width="13.5703125" style="304" customWidth="1"/>
    <col min="13318" max="13318" width="18.5703125" style="304" customWidth="1"/>
    <col min="13319" max="13319" width="50.42578125" style="304" customWidth="1"/>
    <col min="13320" max="13320" width="19" style="304" customWidth="1"/>
    <col min="13321" max="13571" width="9.140625" style="304"/>
    <col min="13572" max="13572" width="5.7109375" style="304" customWidth="1"/>
    <col min="13573" max="13573" width="13.5703125" style="304" customWidth="1"/>
    <col min="13574" max="13574" width="18.5703125" style="304" customWidth="1"/>
    <col min="13575" max="13575" width="50.42578125" style="304" customWidth="1"/>
    <col min="13576" max="13576" width="19" style="304" customWidth="1"/>
    <col min="13577" max="13827" width="9.140625" style="304"/>
    <col min="13828" max="13828" width="5.7109375" style="304" customWidth="1"/>
    <col min="13829" max="13829" width="13.5703125" style="304" customWidth="1"/>
    <col min="13830" max="13830" width="18.5703125" style="304" customWidth="1"/>
    <col min="13831" max="13831" width="50.42578125" style="304" customWidth="1"/>
    <col min="13832" max="13832" width="19" style="304" customWidth="1"/>
    <col min="13833" max="14083" width="9.140625" style="304"/>
    <col min="14084" max="14084" width="5.7109375" style="304" customWidth="1"/>
    <col min="14085" max="14085" width="13.5703125" style="304" customWidth="1"/>
    <col min="14086" max="14086" width="18.5703125" style="304" customWidth="1"/>
    <col min="14087" max="14087" width="50.42578125" style="304" customWidth="1"/>
    <col min="14088" max="14088" width="19" style="304" customWidth="1"/>
    <col min="14089" max="14339" width="9.140625" style="304"/>
    <col min="14340" max="14340" width="5.7109375" style="304" customWidth="1"/>
    <col min="14341" max="14341" width="13.5703125" style="304" customWidth="1"/>
    <col min="14342" max="14342" width="18.5703125" style="304" customWidth="1"/>
    <col min="14343" max="14343" width="50.42578125" style="304" customWidth="1"/>
    <col min="14344" max="14344" width="19" style="304" customWidth="1"/>
    <col min="14345" max="14595" width="9.140625" style="304"/>
    <col min="14596" max="14596" width="5.7109375" style="304" customWidth="1"/>
    <col min="14597" max="14597" width="13.5703125" style="304" customWidth="1"/>
    <col min="14598" max="14598" width="18.5703125" style="304" customWidth="1"/>
    <col min="14599" max="14599" width="50.42578125" style="304" customWidth="1"/>
    <col min="14600" max="14600" width="19" style="304" customWidth="1"/>
    <col min="14601" max="14851" width="9.140625" style="304"/>
    <col min="14852" max="14852" width="5.7109375" style="304" customWidth="1"/>
    <col min="14853" max="14853" width="13.5703125" style="304" customWidth="1"/>
    <col min="14854" max="14854" width="18.5703125" style="304" customWidth="1"/>
    <col min="14855" max="14855" width="50.42578125" style="304" customWidth="1"/>
    <col min="14856" max="14856" width="19" style="304" customWidth="1"/>
    <col min="14857" max="15107" width="9.140625" style="304"/>
    <col min="15108" max="15108" width="5.7109375" style="304" customWidth="1"/>
    <col min="15109" max="15109" width="13.5703125" style="304" customWidth="1"/>
    <col min="15110" max="15110" width="18.5703125" style="304" customWidth="1"/>
    <col min="15111" max="15111" width="50.42578125" style="304" customWidth="1"/>
    <col min="15112" max="15112" width="19" style="304" customWidth="1"/>
    <col min="15113" max="15363" width="9.140625" style="304"/>
    <col min="15364" max="15364" width="5.7109375" style="304" customWidth="1"/>
    <col min="15365" max="15365" width="13.5703125" style="304" customWidth="1"/>
    <col min="15366" max="15366" width="18.5703125" style="304" customWidth="1"/>
    <col min="15367" max="15367" width="50.42578125" style="304" customWidth="1"/>
    <col min="15368" max="15368" width="19" style="304" customWidth="1"/>
    <col min="15369" max="15619" width="9.140625" style="304"/>
    <col min="15620" max="15620" width="5.7109375" style="304" customWidth="1"/>
    <col min="15621" max="15621" width="13.5703125" style="304" customWidth="1"/>
    <col min="15622" max="15622" width="18.5703125" style="304" customWidth="1"/>
    <col min="15623" max="15623" width="50.42578125" style="304" customWidth="1"/>
    <col min="15624" max="15624" width="19" style="304" customWidth="1"/>
    <col min="15625" max="15875" width="9.140625" style="304"/>
    <col min="15876" max="15876" width="5.7109375" style="304" customWidth="1"/>
    <col min="15877" max="15877" width="13.5703125" style="304" customWidth="1"/>
    <col min="15878" max="15878" width="18.5703125" style="304" customWidth="1"/>
    <col min="15879" max="15879" width="50.42578125" style="304" customWidth="1"/>
    <col min="15880" max="15880" width="19" style="304" customWidth="1"/>
    <col min="15881" max="16131" width="9.140625" style="304"/>
    <col min="16132" max="16132" width="5.7109375" style="304" customWidth="1"/>
    <col min="16133" max="16133" width="13.5703125" style="304" customWidth="1"/>
    <col min="16134" max="16134" width="18.5703125" style="304" customWidth="1"/>
    <col min="16135" max="16135" width="50.42578125" style="304" customWidth="1"/>
    <col min="16136" max="16136" width="19" style="304" customWidth="1"/>
    <col min="16137" max="16384" width="9.140625" style="304"/>
  </cols>
  <sheetData>
    <row r="1" spans="1:13" ht="25.5" customHeight="1">
      <c r="A1" s="1285" t="s">
        <v>410</v>
      </c>
      <c r="B1" s="1285"/>
      <c r="C1" s="1285"/>
      <c r="D1" s="1285"/>
      <c r="E1" s="1285"/>
      <c r="F1" s="1285"/>
      <c r="G1" s="1285"/>
      <c r="H1" s="312"/>
    </row>
    <row r="2" spans="1:13" s="315" customFormat="1" ht="37.5" customHeight="1">
      <c r="A2" s="313" t="s">
        <v>35</v>
      </c>
      <c r="B2" s="313" t="s">
        <v>307</v>
      </c>
      <c r="C2" s="313" t="s">
        <v>273</v>
      </c>
      <c r="D2" s="313" t="s">
        <v>275</v>
      </c>
      <c r="E2" s="313" t="s">
        <v>308</v>
      </c>
      <c r="F2" s="313" t="s">
        <v>276</v>
      </c>
      <c r="G2" s="313" t="s">
        <v>277</v>
      </c>
      <c r="H2" s="313"/>
      <c r="I2" s="314" t="s">
        <v>61</v>
      </c>
      <c r="J2" s="314" t="s">
        <v>50</v>
      </c>
      <c r="K2" s="314"/>
      <c r="L2" s="314"/>
    </row>
    <row r="3" spans="1:13" s="311" customFormat="1" ht="51">
      <c r="A3" s="307">
        <v>1</v>
      </c>
      <c r="B3" s="307" t="s">
        <v>166</v>
      </c>
      <c r="C3" s="307" t="s">
        <v>166</v>
      </c>
      <c r="D3" s="307" t="s">
        <v>278</v>
      </c>
      <c r="E3" s="320" t="s">
        <v>309</v>
      </c>
      <c r="F3" s="308" t="s">
        <v>394</v>
      </c>
      <c r="G3" s="309">
        <v>5</v>
      </c>
      <c r="H3" s="309" t="s">
        <v>269</v>
      </c>
      <c r="I3" s="316">
        <v>50</v>
      </c>
      <c r="J3" s="317">
        <v>62</v>
      </c>
      <c r="K3" s="307"/>
      <c r="L3" s="307"/>
      <c r="M3" s="310"/>
    </row>
    <row r="4" spans="1:13" s="311" customFormat="1" ht="51">
      <c r="A4" s="307">
        <v>2</v>
      </c>
      <c r="B4" s="307" t="s">
        <v>166</v>
      </c>
      <c r="C4" s="307" t="s">
        <v>166</v>
      </c>
      <c r="D4" s="307" t="s">
        <v>278</v>
      </c>
      <c r="E4" s="320" t="s">
        <v>310</v>
      </c>
      <c r="F4" s="308" t="s">
        <v>395</v>
      </c>
      <c r="G4" s="309">
        <v>5</v>
      </c>
      <c r="H4" s="309" t="s">
        <v>269</v>
      </c>
      <c r="I4" s="316">
        <v>50</v>
      </c>
      <c r="J4" s="317">
        <v>62</v>
      </c>
      <c r="K4" s="307"/>
      <c r="L4" s="307"/>
      <c r="M4" s="310"/>
    </row>
    <row r="5" spans="1:13" s="311" customFormat="1" ht="38.25">
      <c r="A5" s="307">
        <v>3</v>
      </c>
      <c r="B5" s="307" t="s">
        <v>166</v>
      </c>
      <c r="C5" s="307" t="s">
        <v>166</v>
      </c>
      <c r="D5" s="307" t="s">
        <v>279</v>
      </c>
      <c r="E5" s="320" t="s">
        <v>311</v>
      </c>
      <c r="F5" s="308" t="s">
        <v>396</v>
      </c>
      <c r="G5" s="309">
        <v>5</v>
      </c>
      <c r="H5" s="309" t="s">
        <v>269</v>
      </c>
      <c r="I5" s="316">
        <v>63</v>
      </c>
      <c r="J5" s="317">
        <v>74</v>
      </c>
      <c r="K5" s="307"/>
      <c r="L5" s="307"/>
      <c r="M5" s="310"/>
    </row>
    <row r="6" spans="1:13" s="311" customFormat="1" ht="38.25">
      <c r="A6" s="307">
        <v>4</v>
      </c>
      <c r="B6" s="307" t="s">
        <v>166</v>
      </c>
      <c r="C6" s="307" t="s">
        <v>166</v>
      </c>
      <c r="D6" s="307" t="s">
        <v>280</v>
      </c>
      <c r="E6" s="320" t="s">
        <v>280</v>
      </c>
      <c r="F6" s="308" t="s">
        <v>397</v>
      </c>
      <c r="G6" s="309">
        <v>3</v>
      </c>
      <c r="H6" s="309" t="s">
        <v>298</v>
      </c>
      <c r="I6" s="316">
        <v>46</v>
      </c>
      <c r="J6" s="317">
        <v>58</v>
      </c>
      <c r="K6" s="307"/>
      <c r="L6" s="307"/>
      <c r="M6" s="310"/>
    </row>
    <row r="7" spans="1:13" s="311" customFormat="1" ht="51">
      <c r="A7" s="307">
        <v>5</v>
      </c>
      <c r="B7" s="307" t="s">
        <v>166</v>
      </c>
      <c r="C7" s="307" t="s">
        <v>166</v>
      </c>
      <c r="D7" s="307" t="s">
        <v>281</v>
      </c>
      <c r="E7" s="320" t="s">
        <v>312</v>
      </c>
      <c r="F7" s="308" t="s">
        <v>398</v>
      </c>
      <c r="G7" s="309">
        <v>3</v>
      </c>
      <c r="H7" s="309" t="s">
        <v>298</v>
      </c>
      <c r="I7" s="316">
        <v>38</v>
      </c>
      <c r="J7" s="317">
        <v>60</v>
      </c>
      <c r="K7" s="307"/>
      <c r="L7" s="307"/>
      <c r="M7" s="310"/>
    </row>
    <row r="8" spans="1:13" s="311" customFormat="1" ht="38.25">
      <c r="A8" s="307">
        <v>6</v>
      </c>
      <c r="B8" s="307" t="s">
        <v>166</v>
      </c>
      <c r="C8" s="307" t="s">
        <v>166</v>
      </c>
      <c r="D8" s="307" t="s">
        <v>282</v>
      </c>
      <c r="E8" s="320" t="s">
        <v>313</v>
      </c>
      <c r="F8" s="308" t="s">
        <v>399</v>
      </c>
      <c r="G8" s="309">
        <v>3</v>
      </c>
      <c r="H8" s="309" t="s">
        <v>298</v>
      </c>
      <c r="I8" s="316">
        <v>65</v>
      </c>
      <c r="J8" s="317">
        <v>78</v>
      </c>
      <c r="K8" s="307"/>
      <c r="L8" s="307"/>
      <c r="M8" s="310"/>
    </row>
    <row r="9" spans="1:13" s="311" customFormat="1" ht="63.75">
      <c r="A9" s="307">
        <v>7</v>
      </c>
      <c r="B9" s="307" t="s">
        <v>166</v>
      </c>
      <c r="C9" s="307" t="s">
        <v>166</v>
      </c>
      <c r="D9" s="307" t="s">
        <v>283</v>
      </c>
      <c r="E9" s="307" t="s">
        <v>283</v>
      </c>
      <c r="F9" s="308" t="s">
        <v>400</v>
      </c>
      <c r="G9" s="309">
        <v>3</v>
      </c>
      <c r="H9" s="309" t="s">
        <v>298</v>
      </c>
      <c r="I9" s="316">
        <v>65</v>
      </c>
      <c r="J9" s="317">
        <v>78</v>
      </c>
      <c r="K9" s="307"/>
      <c r="L9" s="307"/>
      <c r="M9" s="310"/>
    </row>
    <row r="10" spans="1:13" s="311" customFormat="1" ht="38.25">
      <c r="A10" s="307">
        <v>8</v>
      </c>
      <c r="B10" s="307" t="s">
        <v>166</v>
      </c>
      <c r="C10" s="307" t="s">
        <v>166</v>
      </c>
      <c r="D10" s="307" t="s">
        <v>284</v>
      </c>
      <c r="E10" s="320" t="s">
        <v>284</v>
      </c>
      <c r="F10" s="308" t="s">
        <v>401</v>
      </c>
      <c r="G10" s="309">
        <v>3</v>
      </c>
      <c r="H10" s="309" t="s">
        <v>298</v>
      </c>
      <c r="I10" s="316">
        <v>55</v>
      </c>
      <c r="J10" s="317">
        <v>67</v>
      </c>
      <c r="K10" s="307"/>
      <c r="L10" s="307"/>
      <c r="M10" s="310"/>
    </row>
    <row r="11" spans="1:13" s="311" customFormat="1" ht="25.5">
      <c r="A11" s="307">
        <v>9</v>
      </c>
      <c r="B11" s="307" t="s">
        <v>166</v>
      </c>
      <c r="C11" s="307" t="s">
        <v>166</v>
      </c>
      <c r="D11" s="307" t="s">
        <v>285</v>
      </c>
      <c r="E11" s="320" t="s">
        <v>285</v>
      </c>
      <c r="F11" s="308" t="s">
        <v>402</v>
      </c>
      <c r="G11" s="309">
        <v>3</v>
      </c>
      <c r="H11" s="309" t="s">
        <v>298</v>
      </c>
      <c r="I11" s="316">
        <v>58</v>
      </c>
      <c r="J11" s="317">
        <v>70</v>
      </c>
      <c r="K11" s="307"/>
      <c r="L11" s="307"/>
      <c r="M11" s="310"/>
    </row>
    <row r="12" spans="1:13" s="311" customFormat="1" ht="38.25">
      <c r="A12" s="307">
        <v>10</v>
      </c>
      <c r="B12" s="307" t="s">
        <v>166</v>
      </c>
      <c r="C12" s="307" t="s">
        <v>166</v>
      </c>
      <c r="D12" s="307" t="s">
        <v>286</v>
      </c>
      <c r="E12" s="320" t="s">
        <v>286</v>
      </c>
      <c r="F12" s="308" t="s">
        <v>403</v>
      </c>
      <c r="G12" s="309">
        <v>5</v>
      </c>
      <c r="H12" s="309" t="s">
        <v>269</v>
      </c>
      <c r="I12" s="316">
        <v>62</v>
      </c>
      <c r="J12" s="317">
        <v>74</v>
      </c>
      <c r="K12" s="307"/>
      <c r="L12" s="307"/>
      <c r="M12" s="310"/>
    </row>
    <row r="13" spans="1:13" s="311" customFormat="1" ht="38.25">
      <c r="A13" s="307">
        <v>11</v>
      </c>
      <c r="B13" s="307" t="s">
        <v>166</v>
      </c>
      <c r="C13" s="307" t="s">
        <v>166</v>
      </c>
      <c r="D13" s="307" t="s">
        <v>287</v>
      </c>
      <c r="E13" s="320" t="s">
        <v>287</v>
      </c>
      <c r="F13" s="308" t="s">
        <v>404</v>
      </c>
      <c r="G13" s="309">
        <v>3</v>
      </c>
      <c r="H13" s="309" t="s">
        <v>298</v>
      </c>
      <c r="I13" s="316">
        <v>36</v>
      </c>
      <c r="J13" s="317">
        <v>62</v>
      </c>
      <c r="K13" s="307"/>
      <c r="L13" s="307"/>
      <c r="M13" s="310"/>
    </row>
    <row r="14" spans="1:13" s="311" customFormat="1" ht="51">
      <c r="A14" s="307">
        <v>12</v>
      </c>
      <c r="B14" s="307" t="s">
        <v>166</v>
      </c>
      <c r="C14" s="307" t="s">
        <v>166</v>
      </c>
      <c r="D14" s="307" t="s">
        <v>288</v>
      </c>
      <c r="E14" s="320" t="s">
        <v>288</v>
      </c>
      <c r="F14" s="308" t="s">
        <v>405</v>
      </c>
      <c r="G14" s="309">
        <v>3</v>
      </c>
      <c r="H14" s="309" t="s">
        <v>298</v>
      </c>
      <c r="I14" s="316">
        <v>43</v>
      </c>
      <c r="J14" s="317">
        <v>54</v>
      </c>
      <c r="K14" s="307"/>
      <c r="L14" s="307"/>
      <c r="M14" s="310"/>
    </row>
    <row r="15" spans="1:13" s="311" customFormat="1" ht="51">
      <c r="A15" s="307">
        <v>13</v>
      </c>
      <c r="B15" s="307" t="s">
        <v>166</v>
      </c>
      <c r="C15" s="307" t="s">
        <v>166</v>
      </c>
      <c r="D15" s="307" t="s">
        <v>288</v>
      </c>
      <c r="E15" s="320" t="s">
        <v>288</v>
      </c>
      <c r="F15" s="308" t="s">
        <v>406</v>
      </c>
      <c r="G15" s="309">
        <v>4</v>
      </c>
      <c r="H15" s="309" t="s">
        <v>299</v>
      </c>
      <c r="I15" s="316">
        <v>43</v>
      </c>
      <c r="J15" s="317">
        <v>54</v>
      </c>
      <c r="K15" s="307"/>
      <c r="L15" s="307"/>
      <c r="M15" s="310"/>
    </row>
    <row r="16" spans="1:13" s="311" customFormat="1" ht="25.5">
      <c r="A16" s="307">
        <v>14</v>
      </c>
      <c r="B16" s="307" t="s">
        <v>166</v>
      </c>
      <c r="C16" s="307" t="s">
        <v>166</v>
      </c>
      <c r="D16" s="307" t="s">
        <v>289</v>
      </c>
      <c r="E16" s="320" t="s">
        <v>289</v>
      </c>
      <c r="F16" s="308" t="s">
        <v>407</v>
      </c>
      <c r="G16" s="309">
        <v>3</v>
      </c>
      <c r="H16" s="309" t="s">
        <v>298</v>
      </c>
      <c r="I16" s="316">
        <v>24</v>
      </c>
      <c r="J16" s="317">
        <v>70</v>
      </c>
      <c r="K16" s="307"/>
      <c r="L16" s="307"/>
      <c r="M16" s="310"/>
    </row>
    <row r="17" spans="1:13" s="311" customFormat="1" ht="25.5">
      <c r="A17" s="307">
        <v>15</v>
      </c>
      <c r="B17" s="307" t="s">
        <v>166</v>
      </c>
      <c r="C17" s="307" t="s">
        <v>166</v>
      </c>
      <c r="D17" s="307" t="s">
        <v>290</v>
      </c>
      <c r="E17" s="320" t="s">
        <v>290</v>
      </c>
      <c r="F17" s="308" t="s">
        <v>408</v>
      </c>
      <c r="G17" s="309">
        <v>3</v>
      </c>
      <c r="H17" s="309" t="s">
        <v>298</v>
      </c>
      <c r="I17" s="316">
        <v>52</v>
      </c>
      <c r="J17" s="317">
        <v>45</v>
      </c>
      <c r="K17" s="307"/>
      <c r="L17" s="307"/>
      <c r="M17" s="310"/>
    </row>
    <row r="18" spans="1:13" s="32" customFormat="1" ht="63.75">
      <c r="A18" s="307">
        <v>16</v>
      </c>
      <c r="B18" s="307" t="s">
        <v>166</v>
      </c>
      <c r="C18" s="73" t="s">
        <v>411</v>
      </c>
      <c r="D18" s="73" t="s">
        <v>292</v>
      </c>
      <c r="E18" s="321" t="s">
        <v>314</v>
      </c>
      <c r="F18" s="305" t="s">
        <v>322</v>
      </c>
      <c r="G18" s="78">
        <v>10</v>
      </c>
      <c r="H18" s="309" t="s">
        <v>300</v>
      </c>
      <c r="I18" s="318">
        <v>22</v>
      </c>
      <c r="J18" s="319">
        <v>66</v>
      </c>
      <c r="K18" s="73"/>
      <c r="L18" s="73"/>
      <c r="M18" s="142"/>
    </row>
    <row r="19" spans="1:13" s="32" customFormat="1" ht="38.25">
      <c r="A19" s="307">
        <v>17</v>
      </c>
      <c r="B19" s="307" t="s">
        <v>166</v>
      </c>
      <c r="C19" s="73" t="s">
        <v>411</v>
      </c>
      <c r="D19" s="73" t="s">
        <v>293</v>
      </c>
      <c r="E19" s="321" t="s">
        <v>315</v>
      </c>
      <c r="F19" s="305" t="s">
        <v>323</v>
      </c>
      <c r="G19" s="78">
        <v>5</v>
      </c>
      <c r="H19" s="309" t="s">
        <v>269</v>
      </c>
      <c r="I19" s="318">
        <v>40</v>
      </c>
      <c r="J19" s="319">
        <v>84</v>
      </c>
      <c r="K19" s="73"/>
      <c r="L19" s="73"/>
      <c r="M19" s="142"/>
    </row>
    <row r="20" spans="1:13" s="32" customFormat="1" ht="51">
      <c r="A20" s="307">
        <v>18</v>
      </c>
      <c r="B20" s="307" t="s">
        <v>166</v>
      </c>
      <c r="C20" s="73" t="s">
        <v>411</v>
      </c>
      <c r="D20" s="73" t="s">
        <v>294</v>
      </c>
      <c r="E20" s="73" t="s">
        <v>294</v>
      </c>
      <c r="F20" s="305" t="s">
        <v>324</v>
      </c>
      <c r="G20" s="78">
        <v>10</v>
      </c>
      <c r="H20" s="309" t="s">
        <v>300</v>
      </c>
      <c r="I20" s="318">
        <v>39</v>
      </c>
      <c r="J20" s="319">
        <v>70</v>
      </c>
      <c r="K20" s="73"/>
      <c r="L20" s="73"/>
      <c r="M20" s="142"/>
    </row>
    <row r="21" spans="1:13" s="32" customFormat="1" ht="25.5">
      <c r="A21" s="307">
        <v>19</v>
      </c>
      <c r="B21" s="307" t="s">
        <v>166</v>
      </c>
      <c r="C21" s="73" t="s">
        <v>411</v>
      </c>
      <c r="D21" s="73" t="s">
        <v>295</v>
      </c>
      <c r="E21" s="321" t="s">
        <v>316</v>
      </c>
      <c r="F21" s="305" t="s">
        <v>409</v>
      </c>
      <c r="G21" s="78">
        <v>5</v>
      </c>
      <c r="H21" s="309" t="s">
        <v>269</v>
      </c>
      <c r="I21" s="318">
        <v>36</v>
      </c>
      <c r="J21" s="319">
        <v>67</v>
      </c>
      <c r="K21" s="73"/>
      <c r="L21" s="73"/>
      <c r="M21" s="142"/>
    </row>
    <row r="22" spans="1:13" s="32" customFormat="1" ht="25.5">
      <c r="A22" s="307">
        <v>20</v>
      </c>
      <c r="B22" s="307" t="s">
        <v>166</v>
      </c>
      <c r="C22" s="73" t="s">
        <v>411</v>
      </c>
      <c r="D22" s="73" t="s">
        <v>291</v>
      </c>
      <c r="E22" s="73" t="s">
        <v>291</v>
      </c>
      <c r="F22" s="305" t="s">
        <v>325</v>
      </c>
      <c r="G22" s="78">
        <v>5</v>
      </c>
      <c r="H22" s="309" t="s">
        <v>269</v>
      </c>
      <c r="I22" s="318">
        <v>30</v>
      </c>
      <c r="J22" s="319">
        <v>74</v>
      </c>
      <c r="K22" s="73"/>
      <c r="L22" s="73"/>
      <c r="M22" s="142"/>
    </row>
    <row r="23" spans="1:13" s="32" customFormat="1" ht="38.25">
      <c r="A23" s="307">
        <v>21</v>
      </c>
      <c r="B23" s="307" t="s">
        <v>166</v>
      </c>
      <c r="C23" s="73" t="s">
        <v>411</v>
      </c>
      <c r="D23" s="73" t="s">
        <v>291</v>
      </c>
      <c r="E23" s="321" t="s">
        <v>317</v>
      </c>
      <c r="F23" s="305" t="s">
        <v>326</v>
      </c>
      <c r="G23" s="78">
        <v>5</v>
      </c>
      <c r="H23" s="309" t="s">
        <v>269</v>
      </c>
      <c r="I23" s="318">
        <v>30</v>
      </c>
      <c r="J23" s="319">
        <v>74</v>
      </c>
      <c r="K23" s="73"/>
      <c r="L23" s="73"/>
      <c r="M23" s="142"/>
    </row>
    <row r="24" spans="1:13" s="32" customFormat="1" ht="38.25">
      <c r="A24" s="307">
        <v>22</v>
      </c>
      <c r="B24" s="307" t="s">
        <v>166</v>
      </c>
      <c r="C24" s="73" t="s">
        <v>411</v>
      </c>
      <c r="D24" s="73" t="s">
        <v>291</v>
      </c>
      <c r="E24" s="321" t="s">
        <v>318</v>
      </c>
      <c r="F24" s="305" t="s">
        <v>327</v>
      </c>
      <c r="G24" s="78">
        <v>5</v>
      </c>
      <c r="H24" s="309" t="s">
        <v>269</v>
      </c>
      <c r="I24" s="318">
        <v>30</v>
      </c>
      <c r="J24" s="319">
        <v>74</v>
      </c>
      <c r="K24" s="73"/>
      <c r="L24" s="73"/>
      <c r="M24" s="142"/>
    </row>
    <row r="25" spans="1:13" s="32" customFormat="1" ht="51">
      <c r="A25" s="307">
        <v>23</v>
      </c>
      <c r="B25" s="307" t="s">
        <v>166</v>
      </c>
      <c r="C25" s="73" t="s">
        <v>411</v>
      </c>
      <c r="D25" s="73" t="s">
        <v>296</v>
      </c>
      <c r="E25" s="73" t="s">
        <v>293</v>
      </c>
      <c r="F25" s="305" t="s">
        <v>328</v>
      </c>
      <c r="G25" s="78">
        <v>4</v>
      </c>
      <c r="H25" s="309" t="s">
        <v>299</v>
      </c>
      <c r="I25" s="318">
        <v>40</v>
      </c>
      <c r="J25" s="319">
        <v>84</v>
      </c>
      <c r="K25" s="73"/>
      <c r="L25" s="73"/>
      <c r="M25" s="142"/>
    </row>
    <row r="26" spans="1:13" s="32" customFormat="1" ht="51">
      <c r="A26" s="307">
        <v>24</v>
      </c>
      <c r="B26" s="307" t="s">
        <v>166</v>
      </c>
      <c r="C26" s="73" t="s">
        <v>411</v>
      </c>
      <c r="D26" s="73" t="s">
        <v>296</v>
      </c>
      <c r="E26" s="73" t="s">
        <v>293</v>
      </c>
      <c r="F26" s="305" t="s">
        <v>329</v>
      </c>
      <c r="G26" s="78">
        <v>6</v>
      </c>
      <c r="H26" s="309" t="s">
        <v>301</v>
      </c>
      <c r="I26" s="318">
        <v>40</v>
      </c>
      <c r="J26" s="319">
        <v>84</v>
      </c>
      <c r="K26" s="73"/>
      <c r="L26" s="73"/>
      <c r="M26" s="142"/>
    </row>
    <row r="27" spans="1:13" s="32" customFormat="1" ht="38.25">
      <c r="A27" s="307">
        <v>25</v>
      </c>
      <c r="B27" s="307" t="s">
        <v>166</v>
      </c>
      <c r="C27" s="73" t="s">
        <v>411</v>
      </c>
      <c r="D27" s="73" t="s">
        <v>297</v>
      </c>
      <c r="E27" s="321" t="s">
        <v>319</v>
      </c>
      <c r="F27" s="305" t="s">
        <v>330</v>
      </c>
      <c r="G27" s="78">
        <v>5</v>
      </c>
      <c r="H27" s="309" t="s">
        <v>269</v>
      </c>
      <c r="I27" s="318">
        <v>50</v>
      </c>
      <c r="J27" s="319">
        <v>94</v>
      </c>
      <c r="K27" s="73"/>
      <c r="L27" s="73"/>
      <c r="M27" s="142"/>
    </row>
    <row r="28" spans="1:13" s="311" customFormat="1" ht="25.5">
      <c r="A28" s="307">
        <v>26</v>
      </c>
      <c r="B28" s="307" t="s">
        <v>166</v>
      </c>
      <c r="C28" s="321" t="s">
        <v>302</v>
      </c>
      <c r="D28" s="321" t="s">
        <v>303</v>
      </c>
      <c r="E28" s="321" t="s">
        <v>303</v>
      </c>
      <c r="F28" s="306" t="s">
        <v>338</v>
      </c>
      <c r="G28" s="95">
        <v>5</v>
      </c>
      <c r="H28" s="309" t="s">
        <v>269</v>
      </c>
      <c r="I28" s="318">
        <v>65</v>
      </c>
      <c r="J28" s="319">
        <v>73</v>
      </c>
      <c r="K28" s="307"/>
      <c r="L28" s="307"/>
      <c r="M28" s="310"/>
    </row>
    <row r="29" spans="1:13" s="311" customFormat="1" ht="25.5">
      <c r="A29" s="307">
        <v>27</v>
      </c>
      <c r="B29" s="307" t="s">
        <v>166</v>
      </c>
      <c r="C29" s="321" t="s">
        <v>302</v>
      </c>
      <c r="D29" s="321" t="s">
        <v>303</v>
      </c>
      <c r="E29" s="321" t="s">
        <v>303</v>
      </c>
      <c r="F29" s="306" t="s">
        <v>338</v>
      </c>
      <c r="G29" s="95">
        <v>5</v>
      </c>
      <c r="H29" s="309" t="s">
        <v>269</v>
      </c>
      <c r="I29" s="318">
        <v>65</v>
      </c>
      <c r="J29" s="319">
        <v>73</v>
      </c>
      <c r="K29" s="307"/>
      <c r="L29" s="307"/>
      <c r="M29" s="310"/>
    </row>
    <row r="30" spans="1:13" s="311" customFormat="1" ht="38.25">
      <c r="A30" s="307">
        <v>28</v>
      </c>
      <c r="B30" s="307" t="s">
        <v>166</v>
      </c>
      <c r="C30" s="321" t="s">
        <v>302</v>
      </c>
      <c r="D30" s="321" t="s">
        <v>302</v>
      </c>
      <c r="E30" s="321" t="s">
        <v>302</v>
      </c>
      <c r="F30" s="306" t="s">
        <v>337</v>
      </c>
      <c r="G30" s="95">
        <v>5</v>
      </c>
      <c r="H30" s="309" t="s">
        <v>269</v>
      </c>
      <c r="I30" s="318">
        <v>50</v>
      </c>
      <c r="J30" s="319">
        <v>53</v>
      </c>
      <c r="K30" s="307"/>
      <c r="L30" s="307"/>
      <c r="M30" s="310"/>
    </row>
    <row r="31" spans="1:13" s="311" customFormat="1" ht="38.25">
      <c r="A31" s="307">
        <v>29</v>
      </c>
      <c r="B31" s="307" t="s">
        <v>166</v>
      </c>
      <c r="C31" s="321" t="s">
        <v>302</v>
      </c>
      <c r="D31" s="321" t="s">
        <v>302</v>
      </c>
      <c r="E31" s="321" t="s">
        <v>302</v>
      </c>
      <c r="F31" s="306" t="s">
        <v>337</v>
      </c>
      <c r="G31" s="95">
        <v>5</v>
      </c>
      <c r="H31" s="309" t="s">
        <v>269</v>
      </c>
      <c r="I31" s="318">
        <v>50</v>
      </c>
      <c r="J31" s="319">
        <v>53</v>
      </c>
      <c r="K31" s="307"/>
      <c r="L31" s="307"/>
      <c r="M31" s="310"/>
    </row>
    <row r="32" spans="1:13" s="311" customFormat="1" ht="25.5">
      <c r="A32" s="307">
        <v>30</v>
      </c>
      <c r="B32" s="307" t="s">
        <v>166</v>
      </c>
      <c r="C32" s="321" t="s">
        <v>302</v>
      </c>
      <c r="D32" s="321" t="s">
        <v>306</v>
      </c>
      <c r="E32" s="321" t="s">
        <v>306</v>
      </c>
      <c r="F32" s="306" t="s">
        <v>336</v>
      </c>
      <c r="G32" s="95">
        <v>5</v>
      </c>
      <c r="H32" s="309" t="s">
        <v>269</v>
      </c>
      <c r="I32" s="318">
        <v>60</v>
      </c>
      <c r="J32" s="319">
        <v>53</v>
      </c>
      <c r="K32" s="307"/>
      <c r="L32" s="307"/>
      <c r="M32" s="310"/>
    </row>
    <row r="33" spans="1:13" s="311" customFormat="1" ht="25.5">
      <c r="A33" s="307">
        <v>31</v>
      </c>
      <c r="B33" s="307" t="s">
        <v>166</v>
      </c>
      <c r="C33" s="321" t="s">
        <v>302</v>
      </c>
      <c r="D33" s="321" t="s">
        <v>306</v>
      </c>
      <c r="E33" s="321" t="s">
        <v>306</v>
      </c>
      <c r="F33" s="306" t="s">
        <v>336</v>
      </c>
      <c r="G33" s="95">
        <v>5</v>
      </c>
      <c r="H33" s="309" t="s">
        <v>269</v>
      </c>
      <c r="I33" s="318">
        <v>60</v>
      </c>
      <c r="J33" s="319">
        <v>53</v>
      </c>
      <c r="K33" s="307"/>
      <c r="L33" s="307"/>
      <c r="M33" s="310"/>
    </row>
    <row r="34" spans="1:13" s="311" customFormat="1" ht="25.5">
      <c r="A34" s="307">
        <v>32</v>
      </c>
      <c r="B34" s="307" t="s">
        <v>166</v>
      </c>
      <c r="C34" s="321" t="s">
        <v>302</v>
      </c>
      <c r="D34" s="321" t="s">
        <v>305</v>
      </c>
      <c r="E34" s="321" t="s">
        <v>305</v>
      </c>
      <c r="F34" s="306" t="s">
        <v>335</v>
      </c>
      <c r="G34" s="95">
        <v>5</v>
      </c>
      <c r="H34" s="309" t="s">
        <v>269</v>
      </c>
      <c r="I34" s="318">
        <v>61</v>
      </c>
      <c r="J34" s="319">
        <v>69</v>
      </c>
      <c r="K34" s="307"/>
      <c r="L34" s="307"/>
      <c r="M34" s="310"/>
    </row>
    <row r="35" spans="1:13" s="311" customFormat="1" ht="25.5">
      <c r="A35" s="307">
        <v>33</v>
      </c>
      <c r="B35" s="307" t="s">
        <v>166</v>
      </c>
      <c r="C35" s="321" t="s">
        <v>302</v>
      </c>
      <c r="D35" s="321" t="s">
        <v>305</v>
      </c>
      <c r="E35" s="321" t="s">
        <v>305</v>
      </c>
      <c r="F35" s="306" t="s">
        <v>335</v>
      </c>
      <c r="G35" s="95">
        <v>3</v>
      </c>
      <c r="H35" s="309" t="s">
        <v>298</v>
      </c>
      <c r="I35" s="318">
        <v>61</v>
      </c>
      <c r="J35" s="319">
        <v>69</v>
      </c>
      <c r="K35" s="307"/>
      <c r="L35" s="307"/>
      <c r="M35" s="310"/>
    </row>
    <row r="36" spans="1:13" s="311" customFormat="1" ht="38.25">
      <c r="A36" s="307">
        <v>34</v>
      </c>
      <c r="B36" s="307" t="s">
        <v>166</v>
      </c>
      <c r="C36" s="321" t="s">
        <v>302</v>
      </c>
      <c r="D36" s="321" t="s">
        <v>320</v>
      </c>
      <c r="E36" s="321" t="s">
        <v>320</v>
      </c>
      <c r="F36" s="306" t="s">
        <v>334</v>
      </c>
      <c r="G36" s="95">
        <v>4</v>
      </c>
      <c r="H36" s="309" t="s">
        <v>299</v>
      </c>
      <c r="I36" s="318">
        <v>53</v>
      </c>
      <c r="J36" s="319">
        <v>70</v>
      </c>
      <c r="K36" s="307"/>
      <c r="L36" s="307"/>
      <c r="M36" s="310"/>
    </row>
    <row r="37" spans="1:13" s="311" customFormat="1" ht="38.25">
      <c r="A37" s="307">
        <v>35</v>
      </c>
      <c r="B37" s="307" t="s">
        <v>166</v>
      </c>
      <c r="C37" s="321" t="s">
        <v>302</v>
      </c>
      <c r="D37" s="321" t="s">
        <v>320</v>
      </c>
      <c r="E37" s="321" t="s">
        <v>320</v>
      </c>
      <c r="F37" s="306" t="s">
        <v>334</v>
      </c>
      <c r="G37" s="95">
        <v>3</v>
      </c>
      <c r="H37" s="309" t="s">
        <v>298</v>
      </c>
      <c r="I37" s="318">
        <v>53</v>
      </c>
      <c r="J37" s="319">
        <v>70</v>
      </c>
      <c r="K37" s="307"/>
      <c r="L37" s="307"/>
      <c r="M37" s="310"/>
    </row>
    <row r="38" spans="1:13" s="311" customFormat="1" ht="38.25">
      <c r="A38" s="307">
        <v>36</v>
      </c>
      <c r="B38" s="307" t="s">
        <v>166</v>
      </c>
      <c r="C38" s="321" t="s">
        <v>302</v>
      </c>
      <c r="D38" s="321" t="s">
        <v>304</v>
      </c>
      <c r="E38" s="321" t="s">
        <v>304</v>
      </c>
      <c r="F38" s="306" t="s">
        <v>331</v>
      </c>
      <c r="G38" s="95">
        <v>5</v>
      </c>
      <c r="H38" s="309" t="s">
        <v>269</v>
      </c>
      <c r="I38" s="318">
        <v>46</v>
      </c>
      <c r="J38" s="319">
        <v>58</v>
      </c>
      <c r="K38" s="307"/>
      <c r="L38" s="307"/>
      <c r="M38" s="310"/>
    </row>
    <row r="39" spans="1:13" s="311" customFormat="1" ht="25.5">
      <c r="A39" s="307">
        <v>37</v>
      </c>
      <c r="B39" s="307" t="s">
        <v>166</v>
      </c>
      <c r="C39" s="321" t="s">
        <v>302</v>
      </c>
      <c r="D39" s="321" t="s">
        <v>304</v>
      </c>
      <c r="E39" s="321" t="s">
        <v>304</v>
      </c>
      <c r="F39" s="306" t="s">
        <v>332</v>
      </c>
      <c r="G39" s="95">
        <v>5</v>
      </c>
      <c r="H39" s="309" t="s">
        <v>269</v>
      </c>
      <c r="I39" s="318">
        <v>46</v>
      </c>
      <c r="J39" s="319">
        <v>58</v>
      </c>
      <c r="K39" s="307"/>
      <c r="L39" s="307"/>
      <c r="M39" s="310"/>
    </row>
    <row r="40" spans="1:13" s="311" customFormat="1" ht="51">
      <c r="A40" s="307">
        <v>38</v>
      </c>
      <c r="B40" s="307" t="s">
        <v>166</v>
      </c>
      <c r="C40" s="321" t="s">
        <v>302</v>
      </c>
      <c r="D40" s="321" t="s">
        <v>321</v>
      </c>
      <c r="E40" s="321" t="s">
        <v>321</v>
      </c>
      <c r="F40" s="306" t="s">
        <v>333</v>
      </c>
      <c r="G40" s="95">
        <v>5</v>
      </c>
      <c r="H40" s="309" t="s">
        <v>269</v>
      </c>
      <c r="I40" s="318">
        <v>62</v>
      </c>
      <c r="J40" s="319">
        <v>61</v>
      </c>
      <c r="K40" s="307"/>
      <c r="L40" s="307"/>
      <c r="M40" s="310"/>
    </row>
    <row r="41" spans="1:13" s="311" customFormat="1" ht="15.75">
      <c r="A41" s="307"/>
      <c r="B41" s="307"/>
      <c r="C41" s="321"/>
      <c r="D41" s="321"/>
      <c r="E41" s="321"/>
      <c r="F41" s="306"/>
      <c r="G41" s="95"/>
      <c r="H41" s="309"/>
      <c r="I41" s="318"/>
      <c r="J41" s="319"/>
      <c r="K41" s="307"/>
      <c r="L41" s="307"/>
      <c r="M41" s="310"/>
    </row>
    <row r="42" spans="1:13" s="311" customFormat="1" ht="15.75">
      <c r="A42" s="307"/>
      <c r="B42" s="307"/>
      <c r="C42" s="321"/>
      <c r="D42" s="321"/>
      <c r="E42" s="321"/>
      <c r="F42" s="306"/>
      <c r="G42" s="95"/>
      <c r="H42" s="309"/>
      <c r="I42" s="318"/>
      <c r="J42" s="319"/>
      <c r="K42" s="307"/>
      <c r="L42" s="307"/>
      <c r="M42" s="310"/>
    </row>
    <row r="43" spans="1:13" s="311" customFormat="1" ht="15.75">
      <c r="A43" s="307"/>
      <c r="B43" s="307"/>
      <c r="C43" s="321"/>
      <c r="D43" s="321"/>
      <c r="E43" s="321"/>
      <c r="F43" s="306"/>
      <c r="G43" s="95"/>
      <c r="H43" s="309"/>
      <c r="I43" s="318"/>
      <c r="J43" s="319"/>
      <c r="K43" s="307"/>
      <c r="L43" s="307"/>
      <c r="M43" s="310"/>
    </row>
    <row r="44" spans="1:13" s="311" customFormat="1" ht="15.75">
      <c r="A44" s="307"/>
      <c r="B44" s="307"/>
      <c r="C44" s="321"/>
      <c r="D44" s="321"/>
      <c r="E44" s="321"/>
      <c r="F44" s="306"/>
      <c r="G44" s="95"/>
      <c r="H44" s="309"/>
      <c r="I44" s="318"/>
      <c r="J44" s="319"/>
      <c r="K44" s="307"/>
      <c r="L44" s="307"/>
      <c r="M44" s="310"/>
    </row>
    <row r="45" spans="1:13" s="311" customFormat="1" ht="15.75">
      <c r="A45" s="307"/>
      <c r="B45" s="307"/>
      <c r="C45" s="321"/>
      <c r="D45" s="321"/>
      <c r="E45" s="321"/>
      <c r="F45" s="306"/>
      <c r="G45" s="95"/>
      <c r="H45" s="309"/>
      <c r="I45" s="318"/>
      <c r="J45" s="319"/>
      <c r="K45" s="307"/>
      <c r="L45" s="307"/>
      <c r="M45" s="310"/>
    </row>
    <row r="46" spans="1:13" s="311" customFormat="1" ht="15.75">
      <c r="A46" s="307"/>
      <c r="B46" s="307"/>
      <c r="C46" s="321"/>
      <c r="D46" s="321"/>
      <c r="E46" s="321"/>
      <c r="F46" s="306"/>
      <c r="G46" s="95"/>
      <c r="H46" s="309"/>
      <c r="I46" s="318"/>
      <c r="J46" s="319"/>
      <c r="K46" s="307"/>
      <c r="L46" s="307"/>
      <c r="M46" s="310"/>
    </row>
    <row r="47" spans="1:13" s="311" customFormat="1" ht="15.75">
      <c r="A47" s="307"/>
      <c r="B47" s="307"/>
      <c r="C47" s="321"/>
      <c r="D47" s="321"/>
      <c r="E47" s="321"/>
      <c r="F47" s="306"/>
      <c r="G47" s="95"/>
      <c r="H47" s="309"/>
      <c r="I47" s="318"/>
      <c r="J47" s="319"/>
      <c r="K47" s="307"/>
      <c r="L47" s="307"/>
      <c r="M47" s="310"/>
    </row>
  </sheetData>
  <mergeCells count="1">
    <mergeCell ref="A1:G1"/>
  </mergeCells>
  <pageMargins left="0.7" right="0.7" top="0.75" bottom="0.75" header="0.3" footer="0.3"/>
  <pageSetup paperSize="9" scale="82"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D305"/>
  <sheetViews>
    <sheetView view="pageBreakPreview" topLeftCell="A304" zoomScale="115" zoomScaleSheetLayoutView="85" workbookViewId="0">
      <selection activeCell="B6" sqref="B6:D305"/>
    </sheetView>
  </sheetViews>
  <sheetFormatPr defaultRowHeight="12.75"/>
  <cols>
    <col min="2" max="2" width="14.140625" style="277" customWidth="1"/>
    <col min="3" max="3" width="9.140625" style="277"/>
    <col min="4" max="4" width="16" style="278" customWidth="1"/>
  </cols>
  <sheetData>
    <row r="1" spans="1:4" ht="23.25">
      <c r="A1" s="1286" t="s">
        <v>1255</v>
      </c>
      <c r="B1" s="1286"/>
      <c r="C1" s="1286"/>
      <c r="D1" s="1286"/>
    </row>
    <row r="2" spans="1:4" ht="21" customHeight="1">
      <c r="A2" s="1"/>
      <c r="B2" s="1287" t="s">
        <v>47</v>
      </c>
      <c r="C2" s="1287"/>
      <c r="D2" s="1287"/>
    </row>
    <row r="3" spans="1:4" ht="45.75" customHeight="1">
      <c r="A3" s="1288" t="s">
        <v>48</v>
      </c>
      <c r="B3" s="186" t="s">
        <v>49</v>
      </c>
      <c r="C3" s="186" t="s">
        <v>50</v>
      </c>
      <c r="D3" s="186" t="s">
        <v>161</v>
      </c>
    </row>
    <row r="4" spans="1:4" ht="25.5">
      <c r="A4" s="1288"/>
      <c r="B4" s="276" t="s">
        <v>51</v>
      </c>
      <c r="C4" s="276" t="s">
        <v>51</v>
      </c>
      <c r="D4" s="276" t="s">
        <v>51</v>
      </c>
    </row>
    <row r="5" spans="1:4">
      <c r="A5" s="2">
        <v>1</v>
      </c>
      <c r="B5" s="3">
        <v>2</v>
      </c>
      <c r="C5" s="3">
        <v>3</v>
      </c>
      <c r="D5" s="99">
        <v>4</v>
      </c>
    </row>
    <row r="6" spans="1:4">
      <c r="A6" s="2">
        <v>1</v>
      </c>
      <c r="B6" s="150">
        <v>38.619999999999997</v>
      </c>
      <c r="C6" s="150">
        <v>37.07</v>
      </c>
      <c r="D6" s="150">
        <v>61.79</v>
      </c>
    </row>
    <row r="7" spans="1:4">
      <c r="A7" s="2">
        <v>2</v>
      </c>
      <c r="B7" s="150">
        <v>54.08</v>
      </c>
      <c r="C7" s="150">
        <v>51.91</v>
      </c>
      <c r="D7" s="150">
        <v>86.51</v>
      </c>
    </row>
    <row r="8" spans="1:4">
      <c r="A8" s="2">
        <v>3</v>
      </c>
      <c r="B8" s="150">
        <v>72.099999999999994</v>
      </c>
      <c r="C8" s="150">
        <v>69.209999999999994</v>
      </c>
      <c r="D8" s="150">
        <v>115.34</v>
      </c>
    </row>
    <row r="9" spans="1:4">
      <c r="A9" s="2">
        <v>4</v>
      </c>
      <c r="B9" s="150">
        <v>87.55</v>
      </c>
      <c r="C9" s="150">
        <v>84.04</v>
      </c>
      <c r="D9" s="150">
        <v>140.06</v>
      </c>
    </row>
    <row r="10" spans="1:4">
      <c r="A10" s="2">
        <v>5</v>
      </c>
      <c r="B10" s="150">
        <v>103</v>
      </c>
      <c r="C10" s="150">
        <v>98.86</v>
      </c>
      <c r="D10" s="150">
        <v>164.77</v>
      </c>
    </row>
    <row r="11" spans="1:4">
      <c r="A11" s="2">
        <v>6</v>
      </c>
      <c r="B11" s="150">
        <f>B10+15.45</f>
        <v>118.45</v>
      </c>
      <c r="C11" s="150">
        <f>C10+14.83</f>
        <v>113.69</v>
      </c>
      <c r="D11" s="150">
        <f>D10+24.72</f>
        <v>189.49</v>
      </c>
    </row>
    <row r="12" spans="1:4">
      <c r="A12" s="2">
        <v>7</v>
      </c>
      <c r="B12" s="150">
        <f>B11+15.45</f>
        <v>133.9</v>
      </c>
      <c r="C12" s="150">
        <f t="shared" ref="C12:C35" si="0">C11+14.83</f>
        <v>128.52000000000001</v>
      </c>
      <c r="D12" s="150">
        <f t="shared" ref="D12:D35" si="1">D11+24.72</f>
        <v>214.21</v>
      </c>
    </row>
    <row r="13" spans="1:4">
      <c r="A13" s="2">
        <v>8</v>
      </c>
      <c r="B13" s="150">
        <f t="shared" ref="B13:B35" si="2">B12+15.45</f>
        <v>149.35</v>
      </c>
      <c r="C13" s="150">
        <f t="shared" si="0"/>
        <v>143.35000000000002</v>
      </c>
      <c r="D13" s="150">
        <f t="shared" si="1"/>
        <v>238.93</v>
      </c>
    </row>
    <row r="14" spans="1:4">
      <c r="A14" s="2">
        <v>9</v>
      </c>
      <c r="B14" s="150">
        <f t="shared" si="2"/>
        <v>164.79999999999998</v>
      </c>
      <c r="C14" s="150">
        <f t="shared" si="0"/>
        <v>158.18000000000004</v>
      </c>
      <c r="D14" s="150">
        <f t="shared" si="1"/>
        <v>263.64999999999998</v>
      </c>
    </row>
    <row r="15" spans="1:4">
      <c r="A15" s="2">
        <v>10</v>
      </c>
      <c r="B15" s="150">
        <f t="shared" si="2"/>
        <v>180.24999999999997</v>
      </c>
      <c r="C15" s="150">
        <f t="shared" si="0"/>
        <v>173.01000000000005</v>
      </c>
      <c r="D15" s="150">
        <f t="shared" si="1"/>
        <v>288.37</v>
      </c>
    </row>
    <row r="16" spans="1:4">
      <c r="A16" s="2">
        <v>11</v>
      </c>
      <c r="B16" s="150">
        <f t="shared" si="2"/>
        <v>195.69999999999996</v>
      </c>
      <c r="C16" s="150">
        <f t="shared" si="0"/>
        <v>187.84000000000006</v>
      </c>
      <c r="D16" s="150">
        <f t="shared" si="1"/>
        <v>313.09000000000003</v>
      </c>
    </row>
    <row r="17" spans="1:4">
      <c r="A17" s="2">
        <v>12</v>
      </c>
      <c r="B17" s="150">
        <f t="shared" si="2"/>
        <v>211.14999999999995</v>
      </c>
      <c r="C17" s="150">
        <f t="shared" si="0"/>
        <v>202.67000000000007</v>
      </c>
      <c r="D17" s="150">
        <f t="shared" si="1"/>
        <v>337.81000000000006</v>
      </c>
    </row>
    <row r="18" spans="1:4">
      <c r="A18" s="2">
        <v>13</v>
      </c>
      <c r="B18" s="150">
        <f t="shared" si="2"/>
        <v>226.59999999999994</v>
      </c>
      <c r="C18" s="150">
        <f t="shared" si="0"/>
        <v>217.50000000000009</v>
      </c>
      <c r="D18" s="150">
        <f t="shared" si="1"/>
        <v>362.53000000000009</v>
      </c>
    </row>
    <row r="19" spans="1:4">
      <c r="A19" s="2">
        <v>14</v>
      </c>
      <c r="B19" s="150">
        <f t="shared" si="2"/>
        <v>242.04999999999993</v>
      </c>
      <c r="C19" s="150">
        <f t="shared" si="0"/>
        <v>232.3300000000001</v>
      </c>
      <c r="D19" s="150">
        <f t="shared" si="1"/>
        <v>387.25000000000011</v>
      </c>
    </row>
    <row r="20" spans="1:4">
      <c r="A20" s="2">
        <v>15</v>
      </c>
      <c r="B20" s="150">
        <f t="shared" si="2"/>
        <v>257.49999999999994</v>
      </c>
      <c r="C20" s="150">
        <f t="shared" si="0"/>
        <v>247.16000000000011</v>
      </c>
      <c r="D20" s="150">
        <f t="shared" si="1"/>
        <v>411.97000000000014</v>
      </c>
    </row>
    <row r="21" spans="1:4">
      <c r="A21" s="2">
        <v>16</v>
      </c>
      <c r="B21" s="150">
        <f t="shared" si="2"/>
        <v>272.94999999999993</v>
      </c>
      <c r="C21" s="150">
        <f t="shared" si="0"/>
        <v>261.99000000000012</v>
      </c>
      <c r="D21" s="150">
        <f t="shared" si="1"/>
        <v>436.69000000000017</v>
      </c>
    </row>
    <row r="22" spans="1:4">
      <c r="A22" s="2">
        <v>17</v>
      </c>
      <c r="B22" s="150">
        <f t="shared" si="2"/>
        <v>288.39999999999992</v>
      </c>
      <c r="C22" s="150">
        <f t="shared" si="0"/>
        <v>276.82000000000011</v>
      </c>
      <c r="D22" s="150">
        <f t="shared" si="1"/>
        <v>461.4100000000002</v>
      </c>
    </row>
    <row r="23" spans="1:4">
      <c r="A23" s="2">
        <v>18</v>
      </c>
      <c r="B23" s="150">
        <f t="shared" si="2"/>
        <v>303.84999999999991</v>
      </c>
      <c r="C23" s="150">
        <f t="shared" si="0"/>
        <v>291.65000000000009</v>
      </c>
      <c r="D23" s="150">
        <f t="shared" si="1"/>
        <v>486.13000000000022</v>
      </c>
    </row>
    <row r="24" spans="1:4">
      <c r="A24" s="2">
        <v>19</v>
      </c>
      <c r="B24" s="150">
        <f t="shared" si="2"/>
        <v>319.2999999999999</v>
      </c>
      <c r="C24" s="150">
        <f t="shared" si="0"/>
        <v>306.48000000000008</v>
      </c>
      <c r="D24" s="150">
        <f t="shared" si="1"/>
        <v>510.85000000000025</v>
      </c>
    </row>
    <row r="25" spans="1:4">
      <c r="A25" s="2">
        <v>20</v>
      </c>
      <c r="B25" s="150">
        <f t="shared" si="2"/>
        <v>334.74999999999989</v>
      </c>
      <c r="C25" s="150">
        <f t="shared" si="0"/>
        <v>321.31000000000006</v>
      </c>
      <c r="D25" s="150">
        <f t="shared" si="1"/>
        <v>535.57000000000028</v>
      </c>
    </row>
    <row r="26" spans="1:4">
      <c r="A26" s="2">
        <v>21</v>
      </c>
      <c r="B26" s="150">
        <f t="shared" si="2"/>
        <v>350.19999999999987</v>
      </c>
      <c r="C26" s="150">
        <f t="shared" si="0"/>
        <v>336.14000000000004</v>
      </c>
      <c r="D26" s="150">
        <f t="shared" si="1"/>
        <v>560.2900000000003</v>
      </c>
    </row>
    <row r="27" spans="1:4">
      <c r="A27" s="2">
        <v>22</v>
      </c>
      <c r="B27" s="150">
        <f t="shared" si="2"/>
        <v>365.64999999999986</v>
      </c>
      <c r="C27" s="150">
        <f t="shared" si="0"/>
        <v>350.97</v>
      </c>
      <c r="D27" s="150">
        <f t="shared" si="1"/>
        <v>585.01000000000033</v>
      </c>
    </row>
    <row r="28" spans="1:4">
      <c r="A28" s="2">
        <v>23</v>
      </c>
      <c r="B28" s="150">
        <f t="shared" si="2"/>
        <v>381.09999999999985</v>
      </c>
      <c r="C28" s="150">
        <f t="shared" si="0"/>
        <v>365.8</v>
      </c>
      <c r="D28" s="150">
        <f t="shared" si="1"/>
        <v>609.73000000000036</v>
      </c>
    </row>
    <row r="29" spans="1:4">
      <c r="A29" s="2">
        <v>24</v>
      </c>
      <c r="B29" s="150">
        <f t="shared" si="2"/>
        <v>396.54999999999984</v>
      </c>
      <c r="C29" s="150">
        <f t="shared" si="0"/>
        <v>380.63</v>
      </c>
      <c r="D29" s="150">
        <f t="shared" si="1"/>
        <v>634.45000000000039</v>
      </c>
    </row>
    <row r="30" spans="1:4">
      <c r="A30" s="2">
        <v>25</v>
      </c>
      <c r="B30" s="150">
        <f t="shared" si="2"/>
        <v>411.99999999999983</v>
      </c>
      <c r="C30" s="150">
        <f t="shared" si="0"/>
        <v>395.46</v>
      </c>
      <c r="D30" s="150">
        <f t="shared" si="1"/>
        <v>659.17000000000041</v>
      </c>
    </row>
    <row r="31" spans="1:4">
      <c r="A31" s="2">
        <v>26</v>
      </c>
      <c r="B31" s="150">
        <f t="shared" si="2"/>
        <v>427.44999999999982</v>
      </c>
      <c r="C31" s="150">
        <f t="shared" si="0"/>
        <v>410.28999999999996</v>
      </c>
      <c r="D31" s="150">
        <f t="shared" si="1"/>
        <v>683.89000000000044</v>
      </c>
    </row>
    <row r="32" spans="1:4">
      <c r="A32" s="2">
        <v>27</v>
      </c>
      <c r="B32" s="150">
        <f t="shared" si="2"/>
        <v>442.89999999999981</v>
      </c>
      <c r="C32" s="150">
        <f t="shared" si="0"/>
        <v>425.11999999999995</v>
      </c>
      <c r="D32" s="150">
        <f t="shared" si="1"/>
        <v>708.61000000000047</v>
      </c>
    </row>
    <row r="33" spans="1:4">
      <c r="A33" s="2">
        <v>28</v>
      </c>
      <c r="B33" s="150">
        <f t="shared" si="2"/>
        <v>458.3499999999998</v>
      </c>
      <c r="C33" s="150">
        <f t="shared" si="0"/>
        <v>439.94999999999993</v>
      </c>
      <c r="D33" s="150">
        <f t="shared" si="1"/>
        <v>733.3300000000005</v>
      </c>
    </row>
    <row r="34" spans="1:4">
      <c r="A34" s="2">
        <v>29</v>
      </c>
      <c r="B34" s="150">
        <f t="shared" si="2"/>
        <v>473.79999999999978</v>
      </c>
      <c r="C34" s="150">
        <f t="shared" si="0"/>
        <v>454.77999999999992</v>
      </c>
      <c r="D34" s="150">
        <f t="shared" si="1"/>
        <v>758.05000000000052</v>
      </c>
    </row>
    <row r="35" spans="1:4">
      <c r="A35" s="2">
        <v>30</v>
      </c>
      <c r="B35" s="150">
        <f t="shared" si="2"/>
        <v>489.24999999999977</v>
      </c>
      <c r="C35" s="150">
        <f t="shared" si="0"/>
        <v>469.6099999999999</v>
      </c>
      <c r="D35" s="150">
        <f t="shared" si="1"/>
        <v>782.77000000000055</v>
      </c>
    </row>
    <row r="36" spans="1:4">
      <c r="A36" s="2">
        <v>31</v>
      </c>
      <c r="B36" s="150">
        <f>B35+12.87</f>
        <v>502.11999999999978</v>
      </c>
      <c r="C36" s="150">
        <f>C35+12.36</f>
        <v>481.96999999999991</v>
      </c>
      <c r="D36" s="150">
        <f>D35+20.6</f>
        <v>803.37000000000057</v>
      </c>
    </row>
    <row r="37" spans="1:4">
      <c r="A37" s="2">
        <v>32</v>
      </c>
      <c r="B37" s="150">
        <f t="shared" ref="B37:B100" si="3">B36+12.87</f>
        <v>514.98999999999978</v>
      </c>
      <c r="C37" s="150">
        <f t="shared" ref="C37:C100" si="4">C36+12.36</f>
        <v>494.32999999999993</v>
      </c>
      <c r="D37" s="150">
        <f t="shared" ref="D37:D100" si="5">D36+20.6</f>
        <v>823.9700000000006</v>
      </c>
    </row>
    <row r="38" spans="1:4">
      <c r="A38" s="2">
        <v>33</v>
      </c>
      <c r="B38" s="150">
        <f t="shared" si="3"/>
        <v>527.85999999999979</v>
      </c>
      <c r="C38" s="150">
        <f t="shared" si="4"/>
        <v>506.68999999999994</v>
      </c>
      <c r="D38" s="150">
        <f t="shared" si="5"/>
        <v>844.57000000000062</v>
      </c>
    </row>
    <row r="39" spans="1:4">
      <c r="A39" s="2">
        <v>34</v>
      </c>
      <c r="B39" s="150">
        <f t="shared" si="3"/>
        <v>540.72999999999979</v>
      </c>
      <c r="C39" s="150">
        <f t="shared" si="4"/>
        <v>519.04999999999995</v>
      </c>
      <c r="D39" s="150">
        <f t="shared" si="5"/>
        <v>865.17000000000064</v>
      </c>
    </row>
    <row r="40" spans="1:4">
      <c r="A40" s="2">
        <v>35</v>
      </c>
      <c r="B40" s="150">
        <f t="shared" si="3"/>
        <v>553.5999999999998</v>
      </c>
      <c r="C40" s="150">
        <f t="shared" si="4"/>
        <v>531.41</v>
      </c>
      <c r="D40" s="150">
        <f t="shared" si="5"/>
        <v>885.77000000000066</v>
      </c>
    </row>
    <row r="41" spans="1:4">
      <c r="A41" s="2">
        <v>36</v>
      </c>
      <c r="B41" s="150">
        <f t="shared" si="3"/>
        <v>566.4699999999998</v>
      </c>
      <c r="C41" s="150">
        <f t="shared" si="4"/>
        <v>543.77</v>
      </c>
      <c r="D41" s="150">
        <f t="shared" si="5"/>
        <v>906.37000000000069</v>
      </c>
    </row>
    <row r="42" spans="1:4">
      <c r="A42" s="2">
        <v>37</v>
      </c>
      <c r="B42" s="150">
        <f t="shared" si="3"/>
        <v>579.3399999999998</v>
      </c>
      <c r="C42" s="150">
        <f t="shared" si="4"/>
        <v>556.13</v>
      </c>
      <c r="D42" s="150">
        <f t="shared" si="5"/>
        <v>926.97000000000071</v>
      </c>
    </row>
    <row r="43" spans="1:4">
      <c r="A43" s="2">
        <v>38</v>
      </c>
      <c r="B43" s="150">
        <f t="shared" si="3"/>
        <v>592.20999999999981</v>
      </c>
      <c r="C43" s="150">
        <f t="shared" si="4"/>
        <v>568.49</v>
      </c>
      <c r="D43" s="150">
        <f t="shared" si="5"/>
        <v>947.57000000000073</v>
      </c>
    </row>
    <row r="44" spans="1:4">
      <c r="A44" s="2">
        <v>39</v>
      </c>
      <c r="B44" s="150">
        <f t="shared" si="3"/>
        <v>605.07999999999981</v>
      </c>
      <c r="C44" s="150">
        <f t="shared" si="4"/>
        <v>580.85</v>
      </c>
      <c r="D44" s="150">
        <f t="shared" si="5"/>
        <v>968.17000000000075</v>
      </c>
    </row>
    <row r="45" spans="1:4">
      <c r="A45" s="2">
        <v>40</v>
      </c>
      <c r="B45" s="150">
        <f t="shared" si="3"/>
        <v>617.94999999999982</v>
      </c>
      <c r="C45" s="150">
        <f t="shared" si="4"/>
        <v>593.21</v>
      </c>
      <c r="D45" s="150">
        <f t="shared" si="5"/>
        <v>988.77000000000078</v>
      </c>
    </row>
    <row r="46" spans="1:4">
      <c r="A46" s="2">
        <v>41</v>
      </c>
      <c r="B46" s="150">
        <f t="shared" si="3"/>
        <v>630.81999999999982</v>
      </c>
      <c r="C46" s="150">
        <f t="shared" si="4"/>
        <v>605.57000000000005</v>
      </c>
      <c r="D46" s="150">
        <f t="shared" si="5"/>
        <v>1009.3700000000008</v>
      </c>
    </row>
    <row r="47" spans="1:4">
      <c r="A47" s="2">
        <v>42</v>
      </c>
      <c r="B47" s="150">
        <f t="shared" si="3"/>
        <v>643.68999999999983</v>
      </c>
      <c r="C47" s="150">
        <f t="shared" si="4"/>
        <v>617.93000000000006</v>
      </c>
      <c r="D47" s="150">
        <f t="shared" si="5"/>
        <v>1029.9700000000007</v>
      </c>
    </row>
    <row r="48" spans="1:4">
      <c r="A48" s="2">
        <v>43</v>
      </c>
      <c r="B48" s="150">
        <f t="shared" si="3"/>
        <v>656.55999999999983</v>
      </c>
      <c r="C48" s="150">
        <f t="shared" si="4"/>
        <v>630.29000000000008</v>
      </c>
      <c r="D48" s="150">
        <f t="shared" si="5"/>
        <v>1050.5700000000006</v>
      </c>
    </row>
    <row r="49" spans="1:4">
      <c r="A49" s="2">
        <v>44</v>
      </c>
      <c r="B49" s="150">
        <f t="shared" si="3"/>
        <v>669.42999999999984</v>
      </c>
      <c r="C49" s="150">
        <f t="shared" si="4"/>
        <v>642.65000000000009</v>
      </c>
      <c r="D49" s="150">
        <f t="shared" si="5"/>
        <v>1071.1700000000005</v>
      </c>
    </row>
    <row r="50" spans="1:4">
      <c r="A50" s="2">
        <v>45</v>
      </c>
      <c r="B50" s="150">
        <f t="shared" si="3"/>
        <v>682.29999999999984</v>
      </c>
      <c r="C50" s="150">
        <f t="shared" si="4"/>
        <v>655.0100000000001</v>
      </c>
      <c r="D50" s="150">
        <f t="shared" si="5"/>
        <v>1091.7700000000004</v>
      </c>
    </row>
    <row r="51" spans="1:4">
      <c r="A51" s="2">
        <v>46</v>
      </c>
      <c r="B51" s="150">
        <f t="shared" si="3"/>
        <v>695.16999999999985</v>
      </c>
      <c r="C51" s="150">
        <f t="shared" si="4"/>
        <v>667.37000000000012</v>
      </c>
      <c r="D51" s="150">
        <f t="shared" si="5"/>
        <v>1112.3700000000003</v>
      </c>
    </row>
    <row r="52" spans="1:4">
      <c r="A52" s="2">
        <v>47</v>
      </c>
      <c r="B52" s="150">
        <f t="shared" si="3"/>
        <v>708.03999999999985</v>
      </c>
      <c r="C52" s="150">
        <f t="shared" si="4"/>
        <v>679.73000000000013</v>
      </c>
      <c r="D52" s="150">
        <f t="shared" si="5"/>
        <v>1132.9700000000003</v>
      </c>
    </row>
    <row r="53" spans="1:4">
      <c r="A53" s="2">
        <v>48</v>
      </c>
      <c r="B53" s="150">
        <f t="shared" si="3"/>
        <v>720.90999999999985</v>
      </c>
      <c r="C53" s="150">
        <f t="shared" si="4"/>
        <v>692.09000000000015</v>
      </c>
      <c r="D53" s="150">
        <f t="shared" si="5"/>
        <v>1153.5700000000002</v>
      </c>
    </row>
    <row r="54" spans="1:4">
      <c r="A54" s="2">
        <v>49</v>
      </c>
      <c r="B54" s="150">
        <f t="shared" si="3"/>
        <v>733.77999999999986</v>
      </c>
      <c r="C54" s="150">
        <f t="shared" si="4"/>
        <v>704.45000000000016</v>
      </c>
      <c r="D54" s="150">
        <f t="shared" si="5"/>
        <v>1174.17</v>
      </c>
    </row>
    <row r="55" spans="1:4">
      <c r="A55" s="2">
        <v>50</v>
      </c>
      <c r="B55" s="150">
        <f t="shared" si="3"/>
        <v>746.64999999999986</v>
      </c>
      <c r="C55" s="150">
        <f t="shared" si="4"/>
        <v>716.81000000000017</v>
      </c>
      <c r="D55" s="150">
        <f t="shared" si="5"/>
        <v>1194.77</v>
      </c>
    </row>
    <row r="56" spans="1:4">
      <c r="A56" s="2">
        <v>51</v>
      </c>
      <c r="B56" s="150">
        <f t="shared" si="3"/>
        <v>759.51999999999987</v>
      </c>
      <c r="C56" s="150">
        <f t="shared" si="4"/>
        <v>729.17000000000019</v>
      </c>
      <c r="D56" s="150">
        <f t="shared" si="5"/>
        <v>1215.3699999999999</v>
      </c>
    </row>
    <row r="57" spans="1:4">
      <c r="A57" s="2">
        <v>52</v>
      </c>
      <c r="B57" s="150">
        <f t="shared" si="3"/>
        <v>772.38999999999987</v>
      </c>
      <c r="C57" s="150">
        <f t="shared" si="4"/>
        <v>741.5300000000002</v>
      </c>
      <c r="D57" s="150">
        <f t="shared" si="5"/>
        <v>1235.9699999999998</v>
      </c>
    </row>
    <row r="58" spans="1:4">
      <c r="A58" s="2">
        <v>53</v>
      </c>
      <c r="B58" s="150">
        <f t="shared" si="3"/>
        <v>785.25999999999988</v>
      </c>
      <c r="C58" s="150">
        <f t="shared" si="4"/>
        <v>753.89000000000021</v>
      </c>
      <c r="D58" s="150">
        <f t="shared" si="5"/>
        <v>1256.5699999999997</v>
      </c>
    </row>
    <row r="59" spans="1:4">
      <c r="A59" s="2">
        <v>54</v>
      </c>
      <c r="B59" s="150">
        <f t="shared" si="3"/>
        <v>798.12999999999988</v>
      </c>
      <c r="C59" s="150">
        <f t="shared" si="4"/>
        <v>766.25000000000023</v>
      </c>
      <c r="D59" s="150">
        <f t="shared" si="5"/>
        <v>1277.1699999999996</v>
      </c>
    </row>
    <row r="60" spans="1:4">
      <c r="A60" s="2">
        <v>55</v>
      </c>
      <c r="B60" s="150">
        <f t="shared" si="3"/>
        <v>810.99999999999989</v>
      </c>
      <c r="C60" s="150">
        <f t="shared" si="4"/>
        <v>778.61000000000024</v>
      </c>
      <c r="D60" s="150">
        <f t="shared" si="5"/>
        <v>1297.7699999999995</v>
      </c>
    </row>
    <row r="61" spans="1:4">
      <c r="A61" s="2">
        <v>56</v>
      </c>
      <c r="B61" s="150">
        <f t="shared" si="3"/>
        <v>823.86999999999989</v>
      </c>
      <c r="C61" s="150">
        <f t="shared" si="4"/>
        <v>790.97000000000025</v>
      </c>
      <c r="D61" s="150">
        <f t="shared" si="5"/>
        <v>1318.3699999999994</v>
      </c>
    </row>
    <row r="62" spans="1:4">
      <c r="A62" s="2">
        <v>57</v>
      </c>
      <c r="B62" s="150">
        <f t="shared" si="3"/>
        <v>836.7399999999999</v>
      </c>
      <c r="C62" s="150">
        <f t="shared" si="4"/>
        <v>803.33000000000027</v>
      </c>
      <c r="D62" s="150">
        <f t="shared" si="5"/>
        <v>1338.9699999999993</v>
      </c>
    </row>
    <row r="63" spans="1:4">
      <c r="A63" s="2">
        <v>58</v>
      </c>
      <c r="B63" s="150">
        <f t="shared" si="3"/>
        <v>849.6099999999999</v>
      </c>
      <c r="C63" s="150">
        <f t="shared" si="4"/>
        <v>815.69000000000028</v>
      </c>
      <c r="D63" s="150">
        <f t="shared" si="5"/>
        <v>1359.5699999999993</v>
      </c>
    </row>
    <row r="64" spans="1:4">
      <c r="A64" s="2">
        <v>59</v>
      </c>
      <c r="B64" s="150">
        <f t="shared" si="3"/>
        <v>862.4799999999999</v>
      </c>
      <c r="C64" s="150">
        <f t="shared" si="4"/>
        <v>828.0500000000003</v>
      </c>
      <c r="D64" s="150">
        <f t="shared" si="5"/>
        <v>1380.1699999999992</v>
      </c>
    </row>
    <row r="65" spans="1:4">
      <c r="A65" s="2">
        <v>60</v>
      </c>
      <c r="B65" s="150">
        <f t="shared" si="3"/>
        <v>875.34999999999991</v>
      </c>
      <c r="C65" s="150">
        <f t="shared" si="4"/>
        <v>840.41000000000031</v>
      </c>
      <c r="D65" s="150">
        <f t="shared" si="5"/>
        <v>1400.7699999999991</v>
      </c>
    </row>
    <row r="66" spans="1:4">
      <c r="A66" s="2">
        <v>61</v>
      </c>
      <c r="B66" s="150">
        <f t="shared" si="3"/>
        <v>888.21999999999991</v>
      </c>
      <c r="C66" s="150">
        <f t="shared" si="4"/>
        <v>852.77000000000032</v>
      </c>
      <c r="D66" s="150">
        <f t="shared" si="5"/>
        <v>1421.369999999999</v>
      </c>
    </row>
    <row r="67" spans="1:4">
      <c r="A67" s="2">
        <v>62</v>
      </c>
      <c r="B67" s="150">
        <f t="shared" si="3"/>
        <v>901.08999999999992</v>
      </c>
      <c r="C67" s="150">
        <f t="shared" si="4"/>
        <v>865.13000000000034</v>
      </c>
      <c r="D67" s="150">
        <f t="shared" si="5"/>
        <v>1441.9699999999989</v>
      </c>
    </row>
    <row r="68" spans="1:4">
      <c r="A68" s="2">
        <v>63</v>
      </c>
      <c r="B68" s="150">
        <f t="shared" si="3"/>
        <v>913.95999999999992</v>
      </c>
      <c r="C68" s="150">
        <f t="shared" si="4"/>
        <v>877.49000000000035</v>
      </c>
      <c r="D68" s="150">
        <f t="shared" si="5"/>
        <v>1462.5699999999988</v>
      </c>
    </row>
    <row r="69" spans="1:4">
      <c r="A69" s="2">
        <v>64</v>
      </c>
      <c r="B69" s="150">
        <f t="shared" si="3"/>
        <v>926.82999999999993</v>
      </c>
      <c r="C69" s="150">
        <f t="shared" si="4"/>
        <v>889.85000000000036</v>
      </c>
      <c r="D69" s="150">
        <f t="shared" si="5"/>
        <v>1483.1699999999987</v>
      </c>
    </row>
    <row r="70" spans="1:4">
      <c r="A70" s="2">
        <v>65</v>
      </c>
      <c r="B70" s="150">
        <f t="shared" si="3"/>
        <v>939.69999999999993</v>
      </c>
      <c r="C70" s="150">
        <f t="shared" si="4"/>
        <v>902.21000000000038</v>
      </c>
      <c r="D70" s="150">
        <f t="shared" si="5"/>
        <v>1503.7699999999986</v>
      </c>
    </row>
    <row r="71" spans="1:4">
      <c r="A71" s="2">
        <v>66</v>
      </c>
      <c r="B71" s="150">
        <f t="shared" si="3"/>
        <v>952.56999999999994</v>
      </c>
      <c r="C71" s="150">
        <f t="shared" si="4"/>
        <v>914.57000000000039</v>
      </c>
      <c r="D71" s="150">
        <f t="shared" si="5"/>
        <v>1524.3699999999985</v>
      </c>
    </row>
    <row r="72" spans="1:4">
      <c r="A72" s="2">
        <v>67</v>
      </c>
      <c r="B72" s="150">
        <f t="shared" si="3"/>
        <v>965.43999999999994</v>
      </c>
      <c r="C72" s="150">
        <f t="shared" si="4"/>
        <v>926.9300000000004</v>
      </c>
      <c r="D72" s="150">
        <f t="shared" si="5"/>
        <v>1544.9699999999984</v>
      </c>
    </row>
    <row r="73" spans="1:4">
      <c r="A73" s="2">
        <v>68</v>
      </c>
      <c r="B73" s="150">
        <f t="shared" si="3"/>
        <v>978.31</v>
      </c>
      <c r="C73" s="150">
        <f t="shared" si="4"/>
        <v>939.29000000000042</v>
      </c>
      <c r="D73" s="150">
        <f t="shared" si="5"/>
        <v>1565.5699999999983</v>
      </c>
    </row>
    <row r="74" spans="1:4">
      <c r="A74" s="2">
        <v>69</v>
      </c>
      <c r="B74" s="150">
        <f t="shared" si="3"/>
        <v>991.18</v>
      </c>
      <c r="C74" s="150">
        <f t="shared" si="4"/>
        <v>951.65000000000043</v>
      </c>
      <c r="D74" s="150">
        <f t="shared" si="5"/>
        <v>1586.1699999999983</v>
      </c>
    </row>
    <row r="75" spans="1:4">
      <c r="A75" s="2">
        <v>70</v>
      </c>
      <c r="B75" s="150">
        <f t="shared" si="3"/>
        <v>1004.05</v>
      </c>
      <c r="C75" s="150">
        <f t="shared" si="4"/>
        <v>964.01000000000045</v>
      </c>
      <c r="D75" s="150">
        <f t="shared" si="5"/>
        <v>1606.7699999999982</v>
      </c>
    </row>
    <row r="76" spans="1:4">
      <c r="A76" s="2">
        <v>71</v>
      </c>
      <c r="B76" s="150">
        <f t="shared" si="3"/>
        <v>1016.92</v>
      </c>
      <c r="C76" s="150">
        <f t="shared" si="4"/>
        <v>976.37000000000046</v>
      </c>
      <c r="D76" s="150">
        <f t="shared" si="5"/>
        <v>1627.3699999999981</v>
      </c>
    </row>
    <row r="77" spans="1:4">
      <c r="A77" s="2">
        <v>72</v>
      </c>
      <c r="B77" s="150">
        <f t="shared" si="3"/>
        <v>1029.79</v>
      </c>
      <c r="C77" s="150">
        <f t="shared" si="4"/>
        <v>988.73000000000047</v>
      </c>
      <c r="D77" s="150">
        <f t="shared" si="5"/>
        <v>1647.969999999998</v>
      </c>
    </row>
    <row r="78" spans="1:4">
      <c r="A78" s="2">
        <v>73</v>
      </c>
      <c r="B78" s="150">
        <f t="shared" si="3"/>
        <v>1042.6599999999999</v>
      </c>
      <c r="C78" s="150">
        <f t="shared" si="4"/>
        <v>1001.0900000000005</v>
      </c>
      <c r="D78" s="150">
        <f t="shared" si="5"/>
        <v>1668.5699999999979</v>
      </c>
    </row>
    <row r="79" spans="1:4">
      <c r="A79" s="2">
        <v>74</v>
      </c>
      <c r="B79" s="150">
        <f t="shared" si="3"/>
        <v>1055.5299999999997</v>
      </c>
      <c r="C79" s="150">
        <f t="shared" si="4"/>
        <v>1013.4500000000005</v>
      </c>
      <c r="D79" s="150">
        <f t="shared" si="5"/>
        <v>1689.1699999999978</v>
      </c>
    </row>
    <row r="80" spans="1:4">
      <c r="A80" s="2">
        <v>75</v>
      </c>
      <c r="B80" s="150">
        <f t="shared" si="3"/>
        <v>1068.3999999999996</v>
      </c>
      <c r="C80" s="150">
        <f t="shared" si="4"/>
        <v>1025.8100000000004</v>
      </c>
      <c r="D80" s="150">
        <f t="shared" si="5"/>
        <v>1709.7699999999977</v>
      </c>
    </row>
    <row r="81" spans="1:4">
      <c r="A81" s="2">
        <v>76</v>
      </c>
      <c r="B81" s="150">
        <f t="shared" si="3"/>
        <v>1081.2699999999995</v>
      </c>
      <c r="C81" s="150">
        <f t="shared" si="4"/>
        <v>1038.1700000000003</v>
      </c>
      <c r="D81" s="150">
        <f t="shared" si="5"/>
        <v>1730.3699999999976</v>
      </c>
    </row>
    <row r="82" spans="1:4">
      <c r="A82" s="2">
        <v>77</v>
      </c>
      <c r="B82" s="150">
        <f t="shared" si="3"/>
        <v>1094.1399999999994</v>
      </c>
      <c r="C82" s="150">
        <f t="shared" si="4"/>
        <v>1050.5300000000002</v>
      </c>
      <c r="D82" s="150">
        <f t="shared" si="5"/>
        <v>1750.9699999999975</v>
      </c>
    </row>
    <row r="83" spans="1:4">
      <c r="A83" s="2">
        <v>78</v>
      </c>
      <c r="B83" s="150">
        <f t="shared" si="3"/>
        <v>1107.0099999999993</v>
      </c>
      <c r="C83" s="150">
        <f t="shared" si="4"/>
        <v>1062.8900000000001</v>
      </c>
      <c r="D83" s="150">
        <f t="shared" si="5"/>
        <v>1771.5699999999974</v>
      </c>
    </row>
    <row r="84" spans="1:4">
      <c r="A84" s="2">
        <v>79</v>
      </c>
      <c r="B84" s="150">
        <f t="shared" si="3"/>
        <v>1119.8799999999992</v>
      </c>
      <c r="C84" s="150">
        <f t="shared" si="4"/>
        <v>1075.25</v>
      </c>
      <c r="D84" s="150">
        <f t="shared" si="5"/>
        <v>1792.1699999999973</v>
      </c>
    </row>
    <row r="85" spans="1:4">
      <c r="A85" s="2">
        <v>80</v>
      </c>
      <c r="B85" s="150">
        <f t="shared" si="3"/>
        <v>1132.7499999999991</v>
      </c>
      <c r="C85" s="150">
        <f t="shared" si="4"/>
        <v>1087.6099999999999</v>
      </c>
      <c r="D85" s="150">
        <f t="shared" si="5"/>
        <v>1812.7699999999973</v>
      </c>
    </row>
    <row r="86" spans="1:4">
      <c r="A86" s="2">
        <v>81</v>
      </c>
      <c r="B86" s="150">
        <f t="shared" si="3"/>
        <v>1145.619999999999</v>
      </c>
      <c r="C86" s="150">
        <f t="shared" si="4"/>
        <v>1099.9699999999998</v>
      </c>
      <c r="D86" s="150">
        <f t="shared" si="5"/>
        <v>1833.3699999999972</v>
      </c>
    </row>
    <row r="87" spans="1:4">
      <c r="A87" s="2">
        <v>82</v>
      </c>
      <c r="B87" s="150">
        <f t="shared" si="3"/>
        <v>1158.4899999999989</v>
      </c>
      <c r="C87" s="150">
        <f t="shared" si="4"/>
        <v>1112.3299999999997</v>
      </c>
      <c r="D87" s="150">
        <f t="shared" si="5"/>
        <v>1853.9699999999971</v>
      </c>
    </row>
    <row r="88" spans="1:4">
      <c r="A88" s="2">
        <v>83</v>
      </c>
      <c r="B88" s="150">
        <f t="shared" si="3"/>
        <v>1171.3599999999988</v>
      </c>
      <c r="C88" s="150">
        <f t="shared" si="4"/>
        <v>1124.6899999999996</v>
      </c>
      <c r="D88" s="150">
        <f t="shared" si="5"/>
        <v>1874.569999999997</v>
      </c>
    </row>
    <row r="89" spans="1:4">
      <c r="A89" s="2">
        <v>84</v>
      </c>
      <c r="B89" s="150">
        <f t="shared" si="3"/>
        <v>1184.2299999999987</v>
      </c>
      <c r="C89" s="150">
        <f t="shared" si="4"/>
        <v>1137.0499999999995</v>
      </c>
      <c r="D89" s="150">
        <f t="shared" si="5"/>
        <v>1895.1699999999969</v>
      </c>
    </row>
    <row r="90" spans="1:4">
      <c r="A90" s="2">
        <v>85</v>
      </c>
      <c r="B90" s="150">
        <f t="shared" si="3"/>
        <v>1197.0999999999985</v>
      </c>
      <c r="C90" s="150">
        <f t="shared" si="4"/>
        <v>1149.4099999999994</v>
      </c>
      <c r="D90" s="150">
        <f t="shared" si="5"/>
        <v>1915.7699999999968</v>
      </c>
    </row>
    <row r="91" spans="1:4">
      <c r="A91" s="2">
        <v>86</v>
      </c>
      <c r="B91" s="150">
        <f t="shared" si="3"/>
        <v>1209.9699999999984</v>
      </c>
      <c r="C91" s="150">
        <f t="shared" si="4"/>
        <v>1161.7699999999993</v>
      </c>
      <c r="D91" s="150">
        <f t="shared" si="5"/>
        <v>1936.3699999999967</v>
      </c>
    </row>
    <row r="92" spans="1:4">
      <c r="A92" s="2">
        <v>87</v>
      </c>
      <c r="B92" s="150">
        <f t="shared" si="3"/>
        <v>1222.8399999999983</v>
      </c>
      <c r="C92" s="150">
        <f t="shared" si="4"/>
        <v>1174.1299999999992</v>
      </c>
      <c r="D92" s="150">
        <f t="shared" si="5"/>
        <v>1956.9699999999966</v>
      </c>
    </row>
    <row r="93" spans="1:4">
      <c r="A93" s="2">
        <v>88</v>
      </c>
      <c r="B93" s="150">
        <f t="shared" si="3"/>
        <v>1235.7099999999982</v>
      </c>
      <c r="C93" s="150">
        <f t="shared" si="4"/>
        <v>1186.4899999999991</v>
      </c>
      <c r="D93" s="150">
        <f t="shared" si="5"/>
        <v>1977.5699999999965</v>
      </c>
    </row>
    <row r="94" spans="1:4">
      <c r="A94" s="2">
        <v>89</v>
      </c>
      <c r="B94" s="150">
        <f t="shared" si="3"/>
        <v>1248.5799999999981</v>
      </c>
      <c r="C94" s="150">
        <f t="shared" si="4"/>
        <v>1198.849999999999</v>
      </c>
      <c r="D94" s="150">
        <f t="shared" si="5"/>
        <v>1998.1699999999964</v>
      </c>
    </row>
    <row r="95" spans="1:4">
      <c r="A95" s="2">
        <v>90</v>
      </c>
      <c r="B95" s="150">
        <f t="shared" si="3"/>
        <v>1261.449999999998</v>
      </c>
      <c r="C95" s="150">
        <f t="shared" si="4"/>
        <v>1211.2099999999989</v>
      </c>
      <c r="D95" s="150">
        <f t="shared" si="5"/>
        <v>2018.7699999999963</v>
      </c>
    </row>
    <row r="96" spans="1:4">
      <c r="A96" s="2">
        <v>91</v>
      </c>
      <c r="B96" s="150">
        <f t="shared" si="3"/>
        <v>1274.3199999999979</v>
      </c>
      <c r="C96" s="150">
        <f t="shared" si="4"/>
        <v>1223.5699999999988</v>
      </c>
      <c r="D96" s="150">
        <f t="shared" si="5"/>
        <v>2039.3699999999963</v>
      </c>
    </row>
    <row r="97" spans="1:4">
      <c r="A97" s="2">
        <v>92</v>
      </c>
      <c r="B97" s="150">
        <f t="shared" si="3"/>
        <v>1287.1899999999978</v>
      </c>
      <c r="C97" s="150">
        <f t="shared" si="4"/>
        <v>1235.9299999999987</v>
      </c>
      <c r="D97" s="150">
        <f t="shared" si="5"/>
        <v>2059.9699999999962</v>
      </c>
    </row>
    <row r="98" spans="1:4">
      <c r="A98" s="2">
        <v>93</v>
      </c>
      <c r="B98" s="150">
        <f t="shared" si="3"/>
        <v>1300.0599999999977</v>
      </c>
      <c r="C98" s="150">
        <f t="shared" si="4"/>
        <v>1248.2899999999986</v>
      </c>
      <c r="D98" s="150">
        <f t="shared" si="5"/>
        <v>2080.5699999999961</v>
      </c>
    </row>
    <row r="99" spans="1:4">
      <c r="A99" s="2">
        <v>94</v>
      </c>
      <c r="B99" s="150">
        <f t="shared" si="3"/>
        <v>1312.9299999999976</v>
      </c>
      <c r="C99" s="150">
        <f t="shared" si="4"/>
        <v>1260.6499999999985</v>
      </c>
      <c r="D99" s="150">
        <f t="shared" si="5"/>
        <v>2101.169999999996</v>
      </c>
    </row>
    <row r="100" spans="1:4">
      <c r="A100" s="2">
        <v>95</v>
      </c>
      <c r="B100" s="150">
        <f t="shared" si="3"/>
        <v>1325.7999999999975</v>
      </c>
      <c r="C100" s="150">
        <f t="shared" si="4"/>
        <v>1273.0099999999984</v>
      </c>
      <c r="D100" s="150">
        <f t="shared" si="5"/>
        <v>2121.7699999999959</v>
      </c>
    </row>
    <row r="101" spans="1:4">
      <c r="A101" s="2">
        <v>96</v>
      </c>
      <c r="B101" s="150">
        <f t="shared" ref="B101:B164" si="6">B100+12.87</f>
        <v>1338.6699999999973</v>
      </c>
      <c r="C101" s="150">
        <f t="shared" ref="C101:C164" si="7">C100+12.36</f>
        <v>1285.3699999999983</v>
      </c>
      <c r="D101" s="150">
        <f t="shared" ref="D101:D164" si="8">D100+20.6</f>
        <v>2142.3699999999958</v>
      </c>
    </row>
    <row r="102" spans="1:4">
      <c r="A102" s="2">
        <v>97</v>
      </c>
      <c r="B102" s="150">
        <f t="shared" si="6"/>
        <v>1351.5399999999972</v>
      </c>
      <c r="C102" s="150">
        <f t="shared" si="7"/>
        <v>1297.7299999999982</v>
      </c>
      <c r="D102" s="150">
        <f t="shared" si="8"/>
        <v>2162.9699999999957</v>
      </c>
    </row>
    <row r="103" spans="1:4">
      <c r="A103" s="2">
        <v>98</v>
      </c>
      <c r="B103" s="150">
        <f t="shared" si="6"/>
        <v>1364.4099999999971</v>
      </c>
      <c r="C103" s="150">
        <f t="shared" si="7"/>
        <v>1310.0899999999981</v>
      </c>
      <c r="D103" s="150">
        <f t="shared" si="8"/>
        <v>2183.5699999999956</v>
      </c>
    </row>
    <row r="104" spans="1:4">
      <c r="A104" s="2">
        <v>99</v>
      </c>
      <c r="B104" s="150">
        <f t="shared" si="6"/>
        <v>1377.279999999997</v>
      </c>
      <c r="C104" s="150">
        <f t="shared" si="7"/>
        <v>1322.449999999998</v>
      </c>
      <c r="D104" s="150">
        <f t="shared" si="8"/>
        <v>2204.1699999999955</v>
      </c>
    </row>
    <row r="105" spans="1:4">
      <c r="A105" s="2">
        <v>100</v>
      </c>
      <c r="B105" s="150">
        <f t="shared" si="6"/>
        <v>1390.1499999999969</v>
      </c>
      <c r="C105" s="150">
        <f t="shared" si="7"/>
        <v>1334.8099999999979</v>
      </c>
      <c r="D105" s="150">
        <f t="shared" si="8"/>
        <v>2224.7699999999954</v>
      </c>
    </row>
    <row r="106" spans="1:4">
      <c r="A106" s="2">
        <v>101</v>
      </c>
      <c r="B106" s="150">
        <f t="shared" si="6"/>
        <v>1403.0199999999968</v>
      </c>
      <c r="C106" s="150">
        <f t="shared" si="7"/>
        <v>1347.1699999999978</v>
      </c>
      <c r="D106" s="150">
        <f t="shared" si="8"/>
        <v>2245.3699999999953</v>
      </c>
    </row>
    <row r="107" spans="1:4">
      <c r="A107" s="2">
        <v>102</v>
      </c>
      <c r="B107" s="150">
        <f t="shared" si="6"/>
        <v>1415.8899999999967</v>
      </c>
      <c r="C107" s="150">
        <f t="shared" si="7"/>
        <v>1359.5299999999977</v>
      </c>
      <c r="D107" s="150">
        <f t="shared" si="8"/>
        <v>2265.9699999999953</v>
      </c>
    </row>
    <row r="108" spans="1:4">
      <c r="A108" s="2">
        <v>103</v>
      </c>
      <c r="B108" s="150">
        <f t="shared" si="6"/>
        <v>1428.7599999999966</v>
      </c>
      <c r="C108" s="150">
        <f t="shared" si="7"/>
        <v>1371.8899999999976</v>
      </c>
      <c r="D108" s="150">
        <f t="shared" si="8"/>
        <v>2286.5699999999952</v>
      </c>
    </row>
    <row r="109" spans="1:4">
      <c r="A109" s="2">
        <v>104</v>
      </c>
      <c r="B109" s="150">
        <f t="shared" si="6"/>
        <v>1441.6299999999965</v>
      </c>
      <c r="C109" s="150">
        <f t="shared" si="7"/>
        <v>1384.2499999999975</v>
      </c>
      <c r="D109" s="150">
        <f t="shared" si="8"/>
        <v>2307.1699999999951</v>
      </c>
    </row>
    <row r="110" spans="1:4">
      <c r="A110" s="2">
        <v>105</v>
      </c>
      <c r="B110" s="150">
        <f t="shared" si="6"/>
        <v>1454.4999999999964</v>
      </c>
      <c r="C110" s="150">
        <f t="shared" si="7"/>
        <v>1396.6099999999974</v>
      </c>
      <c r="D110" s="150">
        <f t="shared" si="8"/>
        <v>2327.769999999995</v>
      </c>
    </row>
    <row r="111" spans="1:4">
      <c r="A111" s="2">
        <v>106</v>
      </c>
      <c r="B111" s="150">
        <f t="shared" si="6"/>
        <v>1467.3699999999963</v>
      </c>
      <c r="C111" s="150">
        <f t="shared" si="7"/>
        <v>1408.9699999999973</v>
      </c>
      <c r="D111" s="150">
        <f t="shared" si="8"/>
        <v>2348.3699999999949</v>
      </c>
    </row>
    <row r="112" spans="1:4">
      <c r="A112" s="2">
        <v>107</v>
      </c>
      <c r="B112" s="150">
        <f t="shared" si="6"/>
        <v>1480.2399999999961</v>
      </c>
      <c r="C112" s="150">
        <f t="shared" si="7"/>
        <v>1421.3299999999972</v>
      </c>
      <c r="D112" s="150">
        <f t="shared" si="8"/>
        <v>2368.9699999999948</v>
      </c>
    </row>
    <row r="113" spans="1:4">
      <c r="A113" s="2">
        <v>108</v>
      </c>
      <c r="B113" s="150">
        <f t="shared" si="6"/>
        <v>1493.109999999996</v>
      </c>
      <c r="C113" s="150">
        <f t="shared" si="7"/>
        <v>1433.6899999999971</v>
      </c>
      <c r="D113" s="150">
        <f t="shared" si="8"/>
        <v>2389.5699999999947</v>
      </c>
    </row>
    <row r="114" spans="1:4">
      <c r="A114" s="2">
        <v>109</v>
      </c>
      <c r="B114" s="150">
        <f t="shared" si="6"/>
        <v>1505.9799999999959</v>
      </c>
      <c r="C114" s="150">
        <f t="shared" si="7"/>
        <v>1446.049999999997</v>
      </c>
      <c r="D114" s="150">
        <f t="shared" si="8"/>
        <v>2410.1699999999946</v>
      </c>
    </row>
    <row r="115" spans="1:4">
      <c r="A115" s="2">
        <v>110</v>
      </c>
      <c r="B115" s="150">
        <f t="shared" si="6"/>
        <v>1518.8499999999958</v>
      </c>
      <c r="C115" s="150">
        <f t="shared" si="7"/>
        <v>1458.4099999999969</v>
      </c>
      <c r="D115" s="150">
        <f t="shared" si="8"/>
        <v>2430.7699999999945</v>
      </c>
    </row>
    <row r="116" spans="1:4">
      <c r="A116" s="2">
        <v>111</v>
      </c>
      <c r="B116" s="150">
        <f t="shared" si="6"/>
        <v>1531.7199999999957</v>
      </c>
      <c r="C116" s="150">
        <f t="shared" si="7"/>
        <v>1470.7699999999968</v>
      </c>
      <c r="D116" s="150">
        <f t="shared" si="8"/>
        <v>2451.3699999999944</v>
      </c>
    </row>
    <row r="117" spans="1:4">
      <c r="A117" s="2">
        <v>112</v>
      </c>
      <c r="B117" s="150">
        <f t="shared" si="6"/>
        <v>1544.5899999999956</v>
      </c>
      <c r="C117" s="150">
        <f t="shared" si="7"/>
        <v>1483.1299999999967</v>
      </c>
      <c r="D117" s="150">
        <f t="shared" si="8"/>
        <v>2471.9699999999943</v>
      </c>
    </row>
    <row r="118" spans="1:4">
      <c r="A118" s="2">
        <v>113</v>
      </c>
      <c r="B118" s="150">
        <f t="shared" si="6"/>
        <v>1557.4599999999955</v>
      </c>
      <c r="C118" s="150">
        <f t="shared" si="7"/>
        <v>1495.4899999999966</v>
      </c>
      <c r="D118" s="150">
        <f t="shared" si="8"/>
        <v>2492.5699999999943</v>
      </c>
    </row>
    <row r="119" spans="1:4">
      <c r="A119" s="2">
        <v>114</v>
      </c>
      <c r="B119" s="150">
        <f t="shared" si="6"/>
        <v>1570.3299999999954</v>
      </c>
      <c r="C119" s="150">
        <f t="shared" si="7"/>
        <v>1507.8499999999965</v>
      </c>
      <c r="D119" s="150">
        <f t="shared" si="8"/>
        <v>2513.1699999999942</v>
      </c>
    </row>
    <row r="120" spans="1:4">
      <c r="A120" s="2">
        <v>115</v>
      </c>
      <c r="B120" s="150">
        <f t="shared" si="6"/>
        <v>1583.1999999999953</v>
      </c>
      <c r="C120" s="150">
        <f t="shared" si="7"/>
        <v>1520.2099999999964</v>
      </c>
      <c r="D120" s="150">
        <f t="shared" si="8"/>
        <v>2533.7699999999941</v>
      </c>
    </row>
    <row r="121" spans="1:4">
      <c r="A121" s="2">
        <v>116</v>
      </c>
      <c r="B121" s="150">
        <f t="shared" si="6"/>
        <v>1596.0699999999952</v>
      </c>
      <c r="C121" s="150">
        <f t="shared" si="7"/>
        <v>1532.5699999999963</v>
      </c>
      <c r="D121" s="150">
        <f t="shared" si="8"/>
        <v>2554.369999999994</v>
      </c>
    </row>
    <row r="122" spans="1:4">
      <c r="A122" s="2">
        <v>117</v>
      </c>
      <c r="B122" s="150">
        <f t="shared" si="6"/>
        <v>1608.9399999999951</v>
      </c>
      <c r="C122" s="150">
        <f t="shared" si="7"/>
        <v>1544.9299999999962</v>
      </c>
      <c r="D122" s="150">
        <f t="shared" si="8"/>
        <v>2574.9699999999939</v>
      </c>
    </row>
    <row r="123" spans="1:4">
      <c r="A123" s="2">
        <v>118</v>
      </c>
      <c r="B123" s="150">
        <f t="shared" si="6"/>
        <v>1621.8099999999949</v>
      </c>
      <c r="C123" s="150">
        <f t="shared" si="7"/>
        <v>1557.2899999999961</v>
      </c>
      <c r="D123" s="150">
        <f t="shared" si="8"/>
        <v>2595.5699999999938</v>
      </c>
    </row>
    <row r="124" spans="1:4">
      <c r="A124" s="2">
        <v>119</v>
      </c>
      <c r="B124" s="150">
        <f t="shared" si="6"/>
        <v>1634.6799999999948</v>
      </c>
      <c r="C124" s="150">
        <f t="shared" si="7"/>
        <v>1569.649999999996</v>
      </c>
      <c r="D124" s="150">
        <f t="shared" si="8"/>
        <v>2616.1699999999937</v>
      </c>
    </row>
    <row r="125" spans="1:4">
      <c r="A125" s="2">
        <v>120</v>
      </c>
      <c r="B125" s="150">
        <f t="shared" si="6"/>
        <v>1647.5499999999947</v>
      </c>
      <c r="C125" s="150">
        <f t="shared" si="7"/>
        <v>1582.0099999999959</v>
      </c>
      <c r="D125" s="150">
        <f t="shared" si="8"/>
        <v>2636.7699999999936</v>
      </c>
    </row>
    <row r="126" spans="1:4">
      <c r="A126" s="2">
        <v>121</v>
      </c>
      <c r="B126" s="150">
        <f t="shared" si="6"/>
        <v>1660.4199999999946</v>
      </c>
      <c r="C126" s="150">
        <f t="shared" si="7"/>
        <v>1594.3699999999958</v>
      </c>
      <c r="D126" s="150">
        <f t="shared" si="8"/>
        <v>2657.3699999999935</v>
      </c>
    </row>
    <row r="127" spans="1:4">
      <c r="A127" s="2">
        <v>122</v>
      </c>
      <c r="B127" s="150">
        <f t="shared" si="6"/>
        <v>1673.2899999999945</v>
      </c>
      <c r="C127" s="150">
        <f t="shared" si="7"/>
        <v>1606.7299999999957</v>
      </c>
      <c r="D127" s="150">
        <f t="shared" si="8"/>
        <v>2677.9699999999934</v>
      </c>
    </row>
    <row r="128" spans="1:4">
      <c r="A128" s="2">
        <v>123</v>
      </c>
      <c r="B128" s="150">
        <f t="shared" si="6"/>
        <v>1686.1599999999944</v>
      </c>
      <c r="C128" s="150">
        <f t="shared" si="7"/>
        <v>1619.0899999999956</v>
      </c>
      <c r="D128" s="150">
        <f t="shared" si="8"/>
        <v>2698.5699999999933</v>
      </c>
    </row>
    <row r="129" spans="1:4">
      <c r="A129" s="2">
        <v>124</v>
      </c>
      <c r="B129" s="150">
        <f t="shared" si="6"/>
        <v>1699.0299999999943</v>
      </c>
      <c r="C129" s="150">
        <f t="shared" si="7"/>
        <v>1631.4499999999955</v>
      </c>
      <c r="D129" s="150">
        <f t="shared" si="8"/>
        <v>2719.1699999999933</v>
      </c>
    </row>
    <row r="130" spans="1:4">
      <c r="A130" s="2">
        <v>125</v>
      </c>
      <c r="B130" s="150">
        <f t="shared" si="6"/>
        <v>1711.8999999999942</v>
      </c>
      <c r="C130" s="150">
        <f t="shared" si="7"/>
        <v>1643.8099999999954</v>
      </c>
      <c r="D130" s="150">
        <f t="shared" si="8"/>
        <v>2739.7699999999932</v>
      </c>
    </row>
    <row r="131" spans="1:4">
      <c r="A131" s="2">
        <v>126</v>
      </c>
      <c r="B131" s="150">
        <f t="shared" si="6"/>
        <v>1724.7699999999941</v>
      </c>
      <c r="C131" s="150">
        <f t="shared" si="7"/>
        <v>1656.1699999999953</v>
      </c>
      <c r="D131" s="150">
        <f t="shared" si="8"/>
        <v>2760.3699999999931</v>
      </c>
    </row>
    <row r="132" spans="1:4">
      <c r="A132" s="2">
        <v>127</v>
      </c>
      <c r="B132" s="150">
        <f t="shared" si="6"/>
        <v>1737.639999999994</v>
      </c>
      <c r="C132" s="150">
        <f t="shared" si="7"/>
        <v>1668.5299999999952</v>
      </c>
      <c r="D132" s="150">
        <f t="shared" si="8"/>
        <v>2780.969999999993</v>
      </c>
    </row>
    <row r="133" spans="1:4">
      <c r="A133" s="2">
        <v>128</v>
      </c>
      <c r="B133" s="150">
        <f t="shared" si="6"/>
        <v>1750.5099999999939</v>
      </c>
      <c r="C133" s="150">
        <f t="shared" si="7"/>
        <v>1680.8899999999951</v>
      </c>
      <c r="D133" s="150">
        <f t="shared" si="8"/>
        <v>2801.5699999999929</v>
      </c>
    </row>
    <row r="134" spans="1:4">
      <c r="A134" s="2">
        <v>129</v>
      </c>
      <c r="B134" s="150">
        <f t="shared" si="6"/>
        <v>1763.3799999999937</v>
      </c>
      <c r="C134" s="150">
        <f t="shared" si="7"/>
        <v>1693.249999999995</v>
      </c>
      <c r="D134" s="150">
        <f t="shared" si="8"/>
        <v>2822.1699999999928</v>
      </c>
    </row>
    <row r="135" spans="1:4">
      <c r="A135" s="2">
        <v>130</v>
      </c>
      <c r="B135" s="150">
        <f t="shared" si="6"/>
        <v>1776.2499999999936</v>
      </c>
      <c r="C135" s="150">
        <f t="shared" si="7"/>
        <v>1705.6099999999949</v>
      </c>
      <c r="D135" s="150">
        <f t="shared" si="8"/>
        <v>2842.7699999999927</v>
      </c>
    </row>
    <row r="136" spans="1:4">
      <c r="A136" s="2">
        <v>131</v>
      </c>
      <c r="B136" s="150">
        <f t="shared" si="6"/>
        <v>1789.1199999999935</v>
      </c>
      <c r="C136" s="150">
        <f t="shared" si="7"/>
        <v>1717.9699999999948</v>
      </c>
      <c r="D136" s="150">
        <f t="shared" si="8"/>
        <v>2863.3699999999926</v>
      </c>
    </row>
    <row r="137" spans="1:4">
      <c r="A137" s="2">
        <v>132</v>
      </c>
      <c r="B137" s="150">
        <f t="shared" si="6"/>
        <v>1801.9899999999934</v>
      </c>
      <c r="C137" s="150">
        <f t="shared" si="7"/>
        <v>1730.3299999999947</v>
      </c>
      <c r="D137" s="150">
        <f t="shared" si="8"/>
        <v>2883.9699999999925</v>
      </c>
    </row>
    <row r="138" spans="1:4">
      <c r="A138" s="2">
        <v>133</v>
      </c>
      <c r="B138" s="150">
        <f t="shared" si="6"/>
        <v>1814.8599999999933</v>
      </c>
      <c r="C138" s="150">
        <f t="shared" si="7"/>
        <v>1742.6899999999946</v>
      </c>
      <c r="D138" s="150">
        <f t="shared" si="8"/>
        <v>2904.5699999999924</v>
      </c>
    </row>
    <row r="139" spans="1:4">
      <c r="A139" s="2">
        <v>134</v>
      </c>
      <c r="B139" s="150">
        <f t="shared" si="6"/>
        <v>1827.7299999999932</v>
      </c>
      <c r="C139" s="150">
        <f t="shared" si="7"/>
        <v>1755.0499999999945</v>
      </c>
      <c r="D139" s="150">
        <f t="shared" si="8"/>
        <v>2925.1699999999923</v>
      </c>
    </row>
    <row r="140" spans="1:4">
      <c r="A140" s="2">
        <v>135</v>
      </c>
      <c r="B140" s="150">
        <f t="shared" si="6"/>
        <v>1840.5999999999931</v>
      </c>
      <c r="C140" s="150">
        <f t="shared" si="7"/>
        <v>1767.4099999999944</v>
      </c>
      <c r="D140" s="150">
        <f t="shared" si="8"/>
        <v>2945.7699999999923</v>
      </c>
    </row>
    <row r="141" spans="1:4">
      <c r="A141" s="2">
        <v>136</v>
      </c>
      <c r="B141" s="150">
        <f t="shared" si="6"/>
        <v>1853.469999999993</v>
      </c>
      <c r="C141" s="150">
        <f t="shared" si="7"/>
        <v>1779.7699999999943</v>
      </c>
      <c r="D141" s="150">
        <f t="shared" si="8"/>
        <v>2966.3699999999922</v>
      </c>
    </row>
    <row r="142" spans="1:4">
      <c r="A142" s="2">
        <v>137</v>
      </c>
      <c r="B142" s="150">
        <f t="shared" si="6"/>
        <v>1866.3399999999929</v>
      </c>
      <c r="C142" s="150">
        <f t="shared" si="7"/>
        <v>1792.1299999999942</v>
      </c>
      <c r="D142" s="150">
        <f t="shared" si="8"/>
        <v>2986.9699999999921</v>
      </c>
    </row>
    <row r="143" spans="1:4">
      <c r="A143" s="2">
        <v>138</v>
      </c>
      <c r="B143" s="150">
        <f t="shared" si="6"/>
        <v>1879.2099999999928</v>
      </c>
      <c r="C143" s="150">
        <f t="shared" si="7"/>
        <v>1804.4899999999941</v>
      </c>
      <c r="D143" s="150">
        <f t="shared" si="8"/>
        <v>3007.569999999992</v>
      </c>
    </row>
    <row r="144" spans="1:4">
      <c r="A144" s="2">
        <v>139</v>
      </c>
      <c r="B144" s="150">
        <f t="shared" si="6"/>
        <v>1892.0799999999927</v>
      </c>
      <c r="C144" s="150">
        <f t="shared" si="7"/>
        <v>1816.849999999994</v>
      </c>
      <c r="D144" s="150">
        <f t="shared" si="8"/>
        <v>3028.1699999999919</v>
      </c>
    </row>
    <row r="145" spans="1:4">
      <c r="A145" s="2">
        <v>140</v>
      </c>
      <c r="B145" s="150">
        <f t="shared" si="6"/>
        <v>1904.9499999999925</v>
      </c>
      <c r="C145" s="150">
        <f t="shared" si="7"/>
        <v>1829.2099999999939</v>
      </c>
      <c r="D145" s="150">
        <f t="shared" si="8"/>
        <v>3048.7699999999918</v>
      </c>
    </row>
    <row r="146" spans="1:4">
      <c r="A146" s="2">
        <v>141</v>
      </c>
      <c r="B146" s="150">
        <f t="shared" si="6"/>
        <v>1917.8199999999924</v>
      </c>
      <c r="C146" s="150">
        <f t="shared" si="7"/>
        <v>1841.5699999999938</v>
      </c>
      <c r="D146" s="150">
        <f t="shared" si="8"/>
        <v>3069.3699999999917</v>
      </c>
    </row>
    <row r="147" spans="1:4">
      <c r="A147" s="2">
        <v>142</v>
      </c>
      <c r="B147" s="150">
        <f t="shared" si="6"/>
        <v>1930.6899999999923</v>
      </c>
      <c r="C147" s="150">
        <f t="shared" si="7"/>
        <v>1853.9299999999937</v>
      </c>
      <c r="D147" s="150">
        <f t="shared" si="8"/>
        <v>3089.9699999999916</v>
      </c>
    </row>
    <row r="148" spans="1:4">
      <c r="A148" s="2">
        <v>143</v>
      </c>
      <c r="B148" s="150">
        <f t="shared" si="6"/>
        <v>1943.5599999999922</v>
      </c>
      <c r="C148" s="150">
        <f t="shared" si="7"/>
        <v>1866.2899999999936</v>
      </c>
      <c r="D148" s="150">
        <f t="shared" si="8"/>
        <v>3110.5699999999915</v>
      </c>
    </row>
    <row r="149" spans="1:4">
      <c r="A149" s="2">
        <v>144</v>
      </c>
      <c r="B149" s="150">
        <f t="shared" si="6"/>
        <v>1956.4299999999921</v>
      </c>
      <c r="C149" s="150">
        <f t="shared" si="7"/>
        <v>1878.6499999999935</v>
      </c>
      <c r="D149" s="150">
        <f t="shared" si="8"/>
        <v>3131.1699999999914</v>
      </c>
    </row>
    <row r="150" spans="1:4">
      <c r="A150" s="2">
        <v>145</v>
      </c>
      <c r="B150" s="150">
        <f t="shared" si="6"/>
        <v>1969.299999999992</v>
      </c>
      <c r="C150" s="150">
        <f t="shared" si="7"/>
        <v>1891.0099999999934</v>
      </c>
      <c r="D150" s="150">
        <f t="shared" si="8"/>
        <v>3151.7699999999913</v>
      </c>
    </row>
    <row r="151" spans="1:4">
      <c r="A151" s="2">
        <v>146</v>
      </c>
      <c r="B151" s="150">
        <f t="shared" si="6"/>
        <v>1982.1699999999919</v>
      </c>
      <c r="C151" s="150">
        <f t="shared" si="7"/>
        <v>1903.3699999999933</v>
      </c>
      <c r="D151" s="150">
        <f t="shared" si="8"/>
        <v>3172.3699999999913</v>
      </c>
    </row>
    <row r="152" spans="1:4">
      <c r="A152" s="2">
        <v>147</v>
      </c>
      <c r="B152" s="150">
        <f t="shared" si="6"/>
        <v>1995.0399999999918</v>
      </c>
      <c r="C152" s="150">
        <f t="shared" si="7"/>
        <v>1915.7299999999932</v>
      </c>
      <c r="D152" s="150">
        <f t="shared" si="8"/>
        <v>3192.9699999999912</v>
      </c>
    </row>
    <row r="153" spans="1:4">
      <c r="A153" s="2">
        <v>148</v>
      </c>
      <c r="B153" s="150">
        <f t="shared" si="6"/>
        <v>2007.9099999999917</v>
      </c>
      <c r="C153" s="150">
        <f t="shared" si="7"/>
        <v>1928.0899999999931</v>
      </c>
      <c r="D153" s="150">
        <f t="shared" si="8"/>
        <v>3213.5699999999911</v>
      </c>
    </row>
    <row r="154" spans="1:4">
      <c r="A154" s="2">
        <v>149</v>
      </c>
      <c r="B154" s="150">
        <f t="shared" si="6"/>
        <v>2020.7799999999916</v>
      </c>
      <c r="C154" s="150">
        <f t="shared" si="7"/>
        <v>1940.449999999993</v>
      </c>
      <c r="D154" s="150">
        <f t="shared" si="8"/>
        <v>3234.169999999991</v>
      </c>
    </row>
    <row r="155" spans="1:4">
      <c r="A155" s="2">
        <v>150</v>
      </c>
      <c r="B155" s="150">
        <f t="shared" si="6"/>
        <v>2033.6499999999915</v>
      </c>
      <c r="C155" s="150">
        <f t="shared" si="7"/>
        <v>1952.8099999999929</v>
      </c>
      <c r="D155" s="150">
        <f t="shared" si="8"/>
        <v>3254.7699999999909</v>
      </c>
    </row>
    <row r="156" spans="1:4">
      <c r="A156" s="2">
        <v>151</v>
      </c>
      <c r="B156" s="150">
        <f t="shared" si="6"/>
        <v>2046.5199999999913</v>
      </c>
      <c r="C156" s="150">
        <f t="shared" si="7"/>
        <v>1965.1699999999928</v>
      </c>
      <c r="D156" s="150">
        <f t="shared" si="8"/>
        <v>3275.3699999999908</v>
      </c>
    </row>
    <row r="157" spans="1:4">
      <c r="A157" s="2">
        <v>152</v>
      </c>
      <c r="B157" s="150">
        <f t="shared" si="6"/>
        <v>2059.3899999999912</v>
      </c>
      <c r="C157" s="150">
        <f t="shared" si="7"/>
        <v>1977.5299999999927</v>
      </c>
      <c r="D157" s="150">
        <f t="shared" si="8"/>
        <v>3295.9699999999907</v>
      </c>
    </row>
    <row r="158" spans="1:4">
      <c r="A158" s="2">
        <v>153</v>
      </c>
      <c r="B158" s="150">
        <f t="shared" si="6"/>
        <v>2072.2599999999911</v>
      </c>
      <c r="C158" s="150">
        <f t="shared" si="7"/>
        <v>1989.8899999999926</v>
      </c>
      <c r="D158" s="150">
        <f t="shared" si="8"/>
        <v>3316.5699999999906</v>
      </c>
    </row>
    <row r="159" spans="1:4">
      <c r="A159" s="2">
        <v>154</v>
      </c>
      <c r="B159" s="150">
        <f t="shared" si="6"/>
        <v>2085.129999999991</v>
      </c>
      <c r="C159" s="150">
        <f t="shared" si="7"/>
        <v>2002.2499999999925</v>
      </c>
      <c r="D159" s="150">
        <f t="shared" si="8"/>
        <v>3337.1699999999905</v>
      </c>
    </row>
    <row r="160" spans="1:4">
      <c r="A160" s="2">
        <v>155</v>
      </c>
      <c r="B160" s="150">
        <f t="shared" si="6"/>
        <v>2097.9999999999909</v>
      </c>
      <c r="C160" s="150">
        <f t="shared" si="7"/>
        <v>2014.6099999999924</v>
      </c>
      <c r="D160" s="150">
        <f t="shared" si="8"/>
        <v>3357.7699999999904</v>
      </c>
    </row>
    <row r="161" spans="1:4">
      <c r="A161" s="2">
        <v>156</v>
      </c>
      <c r="B161" s="150">
        <f t="shared" si="6"/>
        <v>2110.8699999999908</v>
      </c>
      <c r="C161" s="150">
        <f t="shared" si="7"/>
        <v>2026.9699999999923</v>
      </c>
      <c r="D161" s="150">
        <f t="shared" si="8"/>
        <v>3378.3699999999903</v>
      </c>
    </row>
    <row r="162" spans="1:4">
      <c r="A162" s="2">
        <v>157</v>
      </c>
      <c r="B162" s="150">
        <f t="shared" si="6"/>
        <v>2123.7399999999907</v>
      </c>
      <c r="C162" s="150">
        <f t="shared" si="7"/>
        <v>2039.3299999999922</v>
      </c>
      <c r="D162" s="150">
        <f t="shared" si="8"/>
        <v>3398.9699999999903</v>
      </c>
    </row>
    <row r="163" spans="1:4">
      <c r="A163" s="2">
        <v>158</v>
      </c>
      <c r="B163" s="150">
        <f t="shared" si="6"/>
        <v>2136.6099999999906</v>
      </c>
      <c r="C163" s="150">
        <f t="shared" si="7"/>
        <v>2051.6899999999923</v>
      </c>
      <c r="D163" s="150">
        <f t="shared" si="8"/>
        <v>3419.5699999999902</v>
      </c>
    </row>
    <row r="164" spans="1:4">
      <c r="A164" s="2">
        <v>159</v>
      </c>
      <c r="B164" s="150">
        <f t="shared" si="6"/>
        <v>2149.4799999999905</v>
      </c>
      <c r="C164" s="150">
        <f t="shared" si="7"/>
        <v>2064.0499999999925</v>
      </c>
      <c r="D164" s="150">
        <f t="shared" si="8"/>
        <v>3440.1699999999901</v>
      </c>
    </row>
    <row r="165" spans="1:4">
      <c r="A165" s="2">
        <v>160</v>
      </c>
      <c r="B165" s="150">
        <f t="shared" ref="B165:B228" si="9">B164+12.87</f>
        <v>2162.3499999999904</v>
      </c>
      <c r="C165" s="150">
        <f t="shared" ref="C165:C228" si="10">C164+12.36</f>
        <v>2076.4099999999926</v>
      </c>
      <c r="D165" s="150">
        <f t="shared" ref="D165:D228" si="11">D164+20.6</f>
        <v>3460.76999999999</v>
      </c>
    </row>
    <row r="166" spans="1:4">
      <c r="A166" s="2">
        <v>161</v>
      </c>
      <c r="B166" s="150">
        <f t="shared" si="9"/>
        <v>2175.2199999999903</v>
      </c>
      <c r="C166" s="150">
        <f t="shared" si="10"/>
        <v>2088.7699999999927</v>
      </c>
      <c r="D166" s="150">
        <f t="shared" si="11"/>
        <v>3481.3699999999899</v>
      </c>
    </row>
    <row r="167" spans="1:4">
      <c r="A167" s="2">
        <v>162</v>
      </c>
      <c r="B167" s="150">
        <f t="shared" si="9"/>
        <v>2188.0899999999901</v>
      </c>
      <c r="C167" s="150">
        <f t="shared" si="10"/>
        <v>2101.1299999999928</v>
      </c>
      <c r="D167" s="150">
        <f t="shared" si="11"/>
        <v>3501.9699999999898</v>
      </c>
    </row>
    <row r="168" spans="1:4">
      <c r="A168" s="2">
        <v>163</v>
      </c>
      <c r="B168" s="150">
        <f t="shared" si="9"/>
        <v>2200.95999999999</v>
      </c>
      <c r="C168" s="150">
        <f t="shared" si="10"/>
        <v>2113.489999999993</v>
      </c>
      <c r="D168" s="150">
        <f t="shared" si="11"/>
        <v>3522.5699999999897</v>
      </c>
    </row>
    <row r="169" spans="1:4">
      <c r="A169" s="2">
        <v>164</v>
      </c>
      <c r="B169" s="150">
        <f t="shared" si="9"/>
        <v>2213.8299999999899</v>
      </c>
      <c r="C169" s="150">
        <f t="shared" si="10"/>
        <v>2125.8499999999931</v>
      </c>
      <c r="D169" s="150">
        <f t="shared" si="11"/>
        <v>3543.1699999999896</v>
      </c>
    </row>
    <row r="170" spans="1:4">
      <c r="A170" s="2">
        <v>165</v>
      </c>
      <c r="B170" s="150">
        <f t="shared" si="9"/>
        <v>2226.6999999999898</v>
      </c>
      <c r="C170" s="150">
        <f t="shared" si="10"/>
        <v>2138.2099999999932</v>
      </c>
      <c r="D170" s="150">
        <f t="shared" si="11"/>
        <v>3563.7699999999895</v>
      </c>
    </row>
    <row r="171" spans="1:4">
      <c r="A171" s="2">
        <v>166</v>
      </c>
      <c r="B171" s="150">
        <f t="shared" si="9"/>
        <v>2239.5699999999897</v>
      </c>
      <c r="C171" s="150">
        <f t="shared" si="10"/>
        <v>2150.5699999999933</v>
      </c>
      <c r="D171" s="150">
        <f t="shared" si="11"/>
        <v>3584.3699999999894</v>
      </c>
    </row>
    <row r="172" spans="1:4">
      <c r="A172" s="2">
        <v>167</v>
      </c>
      <c r="B172" s="150">
        <f t="shared" si="9"/>
        <v>2252.4399999999896</v>
      </c>
      <c r="C172" s="150">
        <f t="shared" si="10"/>
        <v>2162.9299999999935</v>
      </c>
      <c r="D172" s="150">
        <f t="shared" si="11"/>
        <v>3604.9699999999893</v>
      </c>
    </row>
    <row r="173" spans="1:4">
      <c r="A173" s="2">
        <v>168</v>
      </c>
      <c r="B173" s="150">
        <f t="shared" si="9"/>
        <v>2265.3099999999895</v>
      </c>
      <c r="C173" s="150">
        <f t="shared" si="10"/>
        <v>2175.2899999999936</v>
      </c>
      <c r="D173" s="150">
        <f t="shared" si="11"/>
        <v>3625.5699999999892</v>
      </c>
    </row>
    <row r="174" spans="1:4">
      <c r="A174" s="2">
        <v>169</v>
      </c>
      <c r="B174" s="150">
        <f t="shared" si="9"/>
        <v>2278.1799999999894</v>
      </c>
      <c r="C174" s="150">
        <f t="shared" si="10"/>
        <v>2187.6499999999937</v>
      </c>
      <c r="D174" s="150">
        <f t="shared" si="11"/>
        <v>3646.1699999999892</v>
      </c>
    </row>
    <row r="175" spans="1:4">
      <c r="A175" s="2">
        <v>170</v>
      </c>
      <c r="B175" s="150">
        <f t="shared" si="9"/>
        <v>2291.0499999999893</v>
      </c>
      <c r="C175" s="150">
        <f t="shared" si="10"/>
        <v>2200.0099999999939</v>
      </c>
      <c r="D175" s="150">
        <f t="shared" si="11"/>
        <v>3666.7699999999891</v>
      </c>
    </row>
    <row r="176" spans="1:4">
      <c r="A176" s="2">
        <v>171</v>
      </c>
      <c r="B176" s="150">
        <f t="shared" si="9"/>
        <v>2303.9199999999892</v>
      </c>
      <c r="C176" s="150">
        <f t="shared" si="10"/>
        <v>2212.369999999994</v>
      </c>
      <c r="D176" s="150">
        <f t="shared" si="11"/>
        <v>3687.369999999989</v>
      </c>
    </row>
    <row r="177" spans="1:4">
      <c r="A177" s="2">
        <v>172</v>
      </c>
      <c r="B177" s="150">
        <f t="shared" si="9"/>
        <v>2316.789999999989</v>
      </c>
      <c r="C177" s="150">
        <f t="shared" si="10"/>
        <v>2224.7299999999941</v>
      </c>
      <c r="D177" s="150">
        <f t="shared" si="11"/>
        <v>3707.9699999999889</v>
      </c>
    </row>
    <row r="178" spans="1:4">
      <c r="A178" s="2">
        <v>173</v>
      </c>
      <c r="B178" s="150">
        <f t="shared" si="9"/>
        <v>2329.6599999999889</v>
      </c>
      <c r="C178" s="150">
        <f t="shared" si="10"/>
        <v>2237.0899999999942</v>
      </c>
      <c r="D178" s="150">
        <f t="shared" si="11"/>
        <v>3728.5699999999888</v>
      </c>
    </row>
    <row r="179" spans="1:4">
      <c r="A179" s="2">
        <v>174</v>
      </c>
      <c r="B179" s="150">
        <f t="shared" si="9"/>
        <v>2342.5299999999888</v>
      </c>
      <c r="C179" s="150">
        <f t="shared" si="10"/>
        <v>2249.4499999999944</v>
      </c>
      <c r="D179" s="150">
        <f t="shared" si="11"/>
        <v>3749.1699999999887</v>
      </c>
    </row>
    <row r="180" spans="1:4">
      <c r="A180" s="2">
        <v>175</v>
      </c>
      <c r="B180" s="150">
        <f t="shared" si="9"/>
        <v>2355.3999999999887</v>
      </c>
      <c r="C180" s="150">
        <f t="shared" si="10"/>
        <v>2261.8099999999945</v>
      </c>
      <c r="D180" s="150">
        <f t="shared" si="11"/>
        <v>3769.7699999999886</v>
      </c>
    </row>
    <row r="181" spans="1:4">
      <c r="A181" s="2">
        <v>176</v>
      </c>
      <c r="B181" s="150">
        <f t="shared" si="9"/>
        <v>2368.2699999999886</v>
      </c>
      <c r="C181" s="150">
        <f t="shared" si="10"/>
        <v>2274.1699999999946</v>
      </c>
      <c r="D181" s="150">
        <f t="shared" si="11"/>
        <v>3790.3699999999885</v>
      </c>
    </row>
    <row r="182" spans="1:4">
      <c r="A182" s="2">
        <v>177</v>
      </c>
      <c r="B182" s="150">
        <f t="shared" si="9"/>
        <v>2381.1399999999885</v>
      </c>
      <c r="C182" s="150">
        <f t="shared" si="10"/>
        <v>2286.5299999999947</v>
      </c>
      <c r="D182" s="150">
        <f t="shared" si="11"/>
        <v>3810.9699999999884</v>
      </c>
    </row>
    <row r="183" spans="1:4">
      <c r="A183" s="2">
        <v>178</v>
      </c>
      <c r="B183" s="150">
        <f t="shared" si="9"/>
        <v>2394.0099999999884</v>
      </c>
      <c r="C183" s="150">
        <f t="shared" si="10"/>
        <v>2298.8899999999949</v>
      </c>
      <c r="D183" s="150">
        <f t="shared" si="11"/>
        <v>3831.5699999999883</v>
      </c>
    </row>
    <row r="184" spans="1:4">
      <c r="A184" s="2">
        <v>179</v>
      </c>
      <c r="B184" s="150">
        <f t="shared" si="9"/>
        <v>2406.8799999999883</v>
      </c>
      <c r="C184" s="150">
        <f t="shared" si="10"/>
        <v>2311.249999999995</v>
      </c>
      <c r="D184" s="150">
        <f t="shared" si="11"/>
        <v>3852.1699999999882</v>
      </c>
    </row>
    <row r="185" spans="1:4">
      <c r="A185" s="2">
        <v>180</v>
      </c>
      <c r="B185" s="150">
        <f t="shared" si="9"/>
        <v>2419.7499999999882</v>
      </c>
      <c r="C185" s="150">
        <f t="shared" si="10"/>
        <v>2323.6099999999951</v>
      </c>
      <c r="D185" s="150">
        <f t="shared" si="11"/>
        <v>3872.7699999999882</v>
      </c>
    </row>
    <row r="186" spans="1:4">
      <c r="A186" s="2">
        <v>181</v>
      </c>
      <c r="B186" s="150">
        <f t="shared" si="9"/>
        <v>2432.6199999999881</v>
      </c>
      <c r="C186" s="150">
        <f t="shared" si="10"/>
        <v>2335.9699999999953</v>
      </c>
      <c r="D186" s="150">
        <f t="shared" si="11"/>
        <v>3893.3699999999881</v>
      </c>
    </row>
    <row r="187" spans="1:4">
      <c r="A187" s="2">
        <v>182</v>
      </c>
      <c r="B187" s="150">
        <f t="shared" si="9"/>
        <v>2445.489999999988</v>
      </c>
      <c r="C187" s="150">
        <f t="shared" si="10"/>
        <v>2348.3299999999954</v>
      </c>
      <c r="D187" s="150">
        <f t="shared" si="11"/>
        <v>3913.969999999988</v>
      </c>
    </row>
    <row r="188" spans="1:4">
      <c r="A188" s="2">
        <v>183</v>
      </c>
      <c r="B188" s="150">
        <f t="shared" si="9"/>
        <v>2458.3599999999878</v>
      </c>
      <c r="C188" s="150">
        <f t="shared" si="10"/>
        <v>2360.6899999999955</v>
      </c>
      <c r="D188" s="150">
        <f t="shared" si="11"/>
        <v>3934.5699999999879</v>
      </c>
    </row>
    <row r="189" spans="1:4">
      <c r="A189" s="2">
        <v>184</v>
      </c>
      <c r="B189" s="150">
        <f t="shared" si="9"/>
        <v>2471.2299999999877</v>
      </c>
      <c r="C189" s="150">
        <f t="shared" si="10"/>
        <v>2373.0499999999956</v>
      </c>
      <c r="D189" s="150">
        <f t="shared" si="11"/>
        <v>3955.1699999999878</v>
      </c>
    </row>
    <row r="190" spans="1:4">
      <c r="A190" s="2">
        <v>185</v>
      </c>
      <c r="B190" s="150">
        <f t="shared" si="9"/>
        <v>2484.0999999999876</v>
      </c>
      <c r="C190" s="150">
        <f t="shared" si="10"/>
        <v>2385.4099999999958</v>
      </c>
      <c r="D190" s="150">
        <f t="shared" si="11"/>
        <v>3975.7699999999877</v>
      </c>
    </row>
    <row r="191" spans="1:4">
      <c r="A191" s="2">
        <v>186</v>
      </c>
      <c r="B191" s="150">
        <f t="shared" si="9"/>
        <v>2496.9699999999875</v>
      </c>
      <c r="C191" s="150">
        <f t="shared" si="10"/>
        <v>2397.7699999999959</v>
      </c>
      <c r="D191" s="150">
        <f t="shared" si="11"/>
        <v>3996.3699999999876</v>
      </c>
    </row>
    <row r="192" spans="1:4">
      <c r="A192" s="2">
        <v>187</v>
      </c>
      <c r="B192" s="150">
        <f t="shared" si="9"/>
        <v>2509.8399999999874</v>
      </c>
      <c r="C192" s="150">
        <f t="shared" si="10"/>
        <v>2410.129999999996</v>
      </c>
      <c r="D192" s="150">
        <f t="shared" si="11"/>
        <v>4016.9699999999875</v>
      </c>
    </row>
    <row r="193" spans="1:4">
      <c r="A193" s="2">
        <v>188</v>
      </c>
      <c r="B193" s="150">
        <f t="shared" si="9"/>
        <v>2522.7099999999873</v>
      </c>
      <c r="C193" s="150">
        <f t="shared" si="10"/>
        <v>2422.4899999999961</v>
      </c>
      <c r="D193" s="150">
        <f t="shared" si="11"/>
        <v>4037.5699999999874</v>
      </c>
    </row>
    <row r="194" spans="1:4">
      <c r="A194" s="2">
        <v>189</v>
      </c>
      <c r="B194" s="150">
        <f t="shared" si="9"/>
        <v>2535.5799999999872</v>
      </c>
      <c r="C194" s="150">
        <f t="shared" si="10"/>
        <v>2434.8499999999963</v>
      </c>
      <c r="D194" s="150">
        <f t="shared" si="11"/>
        <v>4058.1699999999873</v>
      </c>
    </row>
    <row r="195" spans="1:4">
      <c r="A195" s="2">
        <v>190</v>
      </c>
      <c r="B195" s="150">
        <f t="shared" si="9"/>
        <v>2548.4499999999871</v>
      </c>
      <c r="C195" s="150">
        <f t="shared" si="10"/>
        <v>2447.2099999999964</v>
      </c>
      <c r="D195" s="150">
        <f t="shared" si="11"/>
        <v>4078.7699999999872</v>
      </c>
    </row>
    <row r="196" spans="1:4">
      <c r="A196" s="2">
        <v>191</v>
      </c>
      <c r="B196" s="150">
        <f t="shared" si="9"/>
        <v>2561.319999999987</v>
      </c>
      <c r="C196" s="150">
        <f t="shared" si="10"/>
        <v>2459.5699999999965</v>
      </c>
      <c r="D196" s="150">
        <f t="shared" si="11"/>
        <v>4099.3699999999872</v>
      </c>
    </row>
    <row r="197" spans="1:4">
      <c r="A197" s="2">
        <v>192</v>
      </c>
      <c r="B197" s="150">
        <f t="shared" si="9"/>
        <v>2574.1899999999869</v>
      </c>
      <c r="C197" s="150">
        <f t="shared" si="10"/>
        <v>2471.9299999999967</v>
      </c>
      <c r="D197" s="150">
        <f t="shared" si="11"/>
        <v>4119.9699999999875</v>
      </c>
    </row>
    <row r="198" spans="1:4">
      <c r="A198" s="2">
        <v>193</v>
      </c>
      <c r="B198" s="150">
        <f t="shared" si="9"/>
        <v>2587.0599999999868</v>
      </c>
      <c r="C198" s="150">
        <f t="shared" si="10"/>
        <v>2484.2899999999968</v>
      </c>
      <c r="D198" s="150">
        <f t="shared" si="11"/>
        <v>4140.5699999999879</v>
      </c>
    </row>
    <row r="199" spans="1:4">
      <c r="A199" s="2">
        <v>194</v>
      </c>
      <c r="B199" s="150">
        <f t="shared" si="9"/>
        <v>2599.9299999999866</v>
      </c>
      <c r="C199" s="150">
        <f t="shared" si="10"/>
        <v>2496.6499999999969</v>
      </c>
      <c r="D199" s="150">
        <f t="shared" si="11"/>
        <v>4161.1699999999882</v>
      </c>
    </row>
    <row r="200" spans="1:4">
      <c r="A200" s="2">
        <v>195</v>
      </c>
      <c r="B200" s="150">
        <f t="shared" si="9"/>
        <v>2612.7999999999865</v>
      </c>
      <c r="C200" s="150">
        <f t="shared" si="10"/>
        <v>2509.009999999997</v>
      </c>
      <c r="D200" s="150">
        <f t="shared" si="11"/>
        <v>4181.7699999999886</v>
      </c>
    </row>
    <row r="201" spans="1:4">
      <c r="A201" s="2">
        <v>196</v>
      </c>
      <c r="B201" s="150">
        <f t="shared" si="9"/>
        <v>2625.6699999999864</v>
      </c>
      <c r="C201" s="150">
        <f t="shared" si="10"/>
        <v>2521.3699999999972</v>
      </c>
      <c r="D201" s="150">
        <f t="shared" si="11"/>
        <v>4202.369999999989</v>
      </c>
    </row>
    <row r="202" spans="1:4">
      <c r="A202" s="2">
        <v>197</v>
      </c>
      <c r="B202" s="150">
        <f t="shared" si="9"/>
        <v>2638.5399999999863</v>
      </c>
      <c r="C202" s="150">
        <f t="shared" si="10"/>
        <v>2533.7299999999973</v>
      </c>
      <c r="D202" s="150">
        <f t="shared" si="11"/>
        <v>4222.9699999999893</v>
      </c>
    </row>
    <row r="203" spans="1:4">
      <c r="A203" s="2">
        <v>198</v>
      </c>
      <c r="B203" s="150">
        <f t="shared" si="9"/>
        <v>2651.4099999999862</v>
      </c>
      <c r="C203" s="150">
        <f t="shared" si="10"/>
        <v>2546.0899999999974</v>
      </c>
      <c r="D203" s="150">
        <f t="shared" si="11"/>
        <v>4243.5699999999897</v>
      </c>
    </row>
    <row r="204" spans="1:4">
      <c r="A204" s="2">
        <v>199</v>
      </c>
      <c r="B204" s="150">
        <f t="shared" si="9"/>
        <v>2664.2799999999861</v>
      </c>
      <c r="C204" s="150">
        <f t="shared" si="10"/>
        <v>2558.4499999999975</v>
      </c>
      <c r="D204" s="150">
        <f t="shared" si="11"/>
        <v>4264.1699999999901</v>
      </c>
    </row>
    <row r="205" spans="1:4">
      <c r="A205" s="2">
        <v>200</v>
      </c>
      <c r="B205" s="150">
        <f t="shared" si="9"/>
        <v>2677.149999999986</v>
      </c>
      <c r="C205" s="150">
        <f t="shared" si="10"/>
        <v>2570.8099999999977</v>
      </c>
      <c r="D205" s="150">
        <f t="shared" si="11"/>
        <v>4284.7699999999904</v>
      </c>
    </row>
    <row r="206" spans="1:4">
      <c r="A206" s="2">
        <v>201</v>
      </c>
      <c r="B206" s="150">
        <f t="shared" si="9"/>
        <v>2690.0199999999859</v>
      </c>
      <c r="C206" s="150">
        <f t="shared" si="10"/>
        <v>2583.1699999999978</v>
      </c>
      <c r="D206" s="150">
        <f t="shared" si="11"/>
        <v>4305.3699999999908</v>
      </c>
    </row>
    <row r="207" spans="1:4">
      <c r="A207" s="2">
        <v>202</v>
      </c>
      <c r="B207" s="150">
        <f t="shared" si="9"/>
        <v>2702.8899999999858</v>
      </c>
      <c r="C207" s="150">
        <f t="shared" si="10"/>
        <v>2595.5299999999979</v>
      </c>
      <c r="D207" s="150">
        <f t="shared" si="11"/>
        <v>4325.9699999999912</v>
      </c>
    </row>
    <row r="208" spans="1:4">
      <c r="A208" s="2">
        <v>203</v>
      </c>
      <c r="B208" s="150">
        <f t="shared" si="9"/>
        <v>2715.7599999999857</v>
      </c>
      <c r="C208" s="150">
        <f t="shared" si="10"/>
        <v>2607.8899999999981</v>
      </c>
      <c r="D208" s="150">
        <f t="shared" si="11"/>
        <v>4346.5699999999915</v>
      </c>
    </row>
    <row r="209" spans="1:4">
      <c r="A209" s="2">
        <v>204</v>
      </c>
      <c r="B209" s="150">
        <f t="shared" si="9"/>
        <v>2728.6299999999856</v>
      </c>
      <c r="C209" s="150">
        <f t="shared" si="10"/>
        <v>2620.2499999999982</v>
      </c>
      <c r="D209" s="150">
        <f t="shared" si="11"/>
        <v>4367.1699999999919</v>
      </c>
    </row>
    <row r="210" spans="1:4">
      <c r="A210" s="2">
        <v>205</v>
      </c>
      <c r="B210" s="150">
        <f t="shared" si="9"/>
        <v>2741.4999999999854</v>
      </c>
      <c r="C210" s="150">
        <f t="shared" si="10"/>
        <v>2632.6099999999983</v>
      </c>
      <c r="D210" s="150">
        <f t="shared" si="11"/>
        <v>4387.7699999999923</v>
      </c>
    </row>
    <row r="211" spans="1:4">
      <c r="A211" s="2">
        <v>206</v>
      </c>
      <c r="B211" s="150">
        <f t="shared" si="9"/>
        <v>2754.3699999999853</v>
      </c>
      <c r="C211" s="150">
        <f t="shared" si="10"/>
        <v>2644.9699999999984</v>
      </c>
      <c r="D211" s="150">
        <f t="shared" si="11"/>
        <v>4408.3699999999926</v>
      </c>
    </row>
    <row r="212" spans="1:4">
      <c r="A212" s="2">
        <v>207</v>
      </c>
      <c r="B212" s="150">
        <f t="shared" si="9"/>
        <v>2767.2399999999852</v>
      </c>
      <c r="C212" s="150">
        <f t="shared" si="10"/>
        <v>2657.3299999999986</v>
      </c>
      <c r="D212" s="150">
        <f t="shared" si="11"/>
        <v>4428.969999999993</v>
      </c>
    </row>
    <row r="213" spans="1:4">
      <c r="A213" s="2">
        <v>208</v>
      </c>
      <c r="B213" s="150">
        <f t="shared" si="9"/>
        <v>2780.1099999999851</v>
      </c>
      <c r="C213" s="150">
        <f t="shared" si="10"/>
        <v>2669.6899999999987</v>
      </c>
      <c r="D213" s="150">
        <f t="shared" si="11"/>
        <v>4449.5699999999933</v>
      </c>
    </row>
    <row r="214" spans="1:4">
      <c r="A214" s="2">
        <v>209</v>
      </c>
      <c r="B214" s="150">
        <f t="shared" si="9"/>
        <v>2792.979999999985</v>
      </c>
      <c r="C214" s="150">
        <f t="shared" si="10"/>
        <v>2682.0499999999988</v>
      </c>
      <c r="D214" s="150">
        <f t="shared" si="11"/>
        <v>4470.1699999999937</v>
      </c>
    </row>
    <row r="215" spans="1:4">
      <c r="A215" s="2">
        <v>210</v>
      </c>
      <c r="B215" s="150">
        <f t="shared" si="9"/>
        <v>2805.8499999999849</v>
      </c>
      <c r="C215" s="150">
        <f t="shared" si="10"/>
        <v>2694.4099999999989</v>
      </c>
      <c r="D215" s="150">
        <f t="shared" si="11"/>
        <v>4490.7699999999941</v>
      </c>
    </row>
    <row r="216" spans="1:4">
      <c r="A216" s="2">
        <v>211</v>
      </c>
      <c r="B216" s="150">
        <f t="shared" si="9"/>
        <v>2818.7199999999848</v>
      </c>
      <c r="C216" s="150">
        <f t="shared" si="10"/>
        <v>2706.7699999999991</v>
      </c>
      <c r="D216" s="150">
        <f t="shared" si="11"/>
        <v>4511.3699999999944</v>
      </c>
    </row>
    <row r="217" spans="1:4">
      <c r="A217" s="2">
        <v>212</v>
      </c>
      <c r="B217" s="150">
        <f t="shared" si="9"/>
        <v>2831.5899999999847</v>
      </c>
      <c r="C217" s="150">
        <f t="shared" si="10"/>
        <v>2719.1299999999992</v>
      </c>
      <c r="D217" s="150">
        <f t="shared" si="11"/>
        <v>4531.9699999999948</v>
      </c>
    </row>
    <row r="218" spans="1:4">
      <c r="A218" s="2">
        <v>213</v>
      </c>
      <c r="B218" s="150">
        <f t="shared" si="9"/>
        <v>2844.4599999999846</v>
      </c>
      <c r="C218" s="150">
        <f t="shared" si="10"/>
        <v>2731.4899999999993</v>
      </c>
      <c r="D218" s="150">
        <f t="shared" si="11"/>
        <v>4552.5699999999952</v>
      </c>
    </row>
    <row r="219" spans="1:4">
      <c r="A219" s="2">
        <v>214</v>
      </c>
      <c r="B219" s="150">
        <f t="shared" si="9"/>
        <v>2857.3299999999845</v>
      </c>
      <c r="C219" s="150">
        <f t="shared" si="10"/>
        <v>2743.8499999999995</v>
      </c>
      <c r="D219" s="150">
        <f t="shared" si="11"/>
        <v>4573.1699999999955</v>
      </c>
    </row>
    <row r="220" spans="1:4">
      <c r="A220" s="2">
        <v>215</v>
      </c>
      <c r="B220" s="150">
        <f t="shared" si="9"/>
        <v>2870.1999999999844</v>
      </c>
      <c r="C220" s="150">
        <f t="shared" si="10"/>
        <v>2756.2099999999996</v>
      </c>
      <c r="D220" s="150">
        <f t="shared" si="11"/>
        <v>4593.7699999999959</v>
      </c>
    </row>
    <row r="221" spans="1:4">
      <c r="A221" s="2">
        <v>216</v>
      </c>
      <c r="B221" s="150">
        <f t="shared" si="9"/>
        <v>2883.0699999999842</v>
      </c>
      <c r="C221" s="150">
        <f t="shared" si="10"/>
        <v>2768.5699999999997</v>
      </c>
      <c r="D221" s="150">
        <f t="shared" si="11"/>
        <v>4614.3699999999963</v>
      </c>
    </row>
    <row r="222" spans="1:4">
      <c r="A222" s="2">
        <v>217</v>
      </c>
      <c r="B222" s="150">
        <f t="shared" si="9"/>
        <v>2895.9399999999841</v>
      </c>
      <c r="C222" s="150">
        <f t="shared" si="10"/>
        <v>2780.93</v>
      </c>
      <c r="D222" s="150">
        <f t="shared" si="11"/>
        <v>4634.9699999999966</v>
      </c>
    </row>
    <row r="223" spans="1:4">
      <c r="A223" s="2">
        <v>218</v>
      </c>
      <c r="B223" s="150">
        <f t="shared" si="9"/>
        <v>2908.809999999984</v>
      </c>
      <c r="C223" s="150">
        <f t="shared" si="10"/>
        <v>2793.29</v>
      </c>
      <c r="D223" s="150">
        <f t="shared" si="11"/>
        <v>4655.569999999997</v>
      </c>
    </row>
    <row r="224" spans="1:4">
      <c r="A224" s="2">
        <v>219</v>
      </c>
      <c r="B224" s="150">
        <f t="shared" si="9"/>
        <v>2921.6799999999839</v>
      </c>
      <c r="C224" s="150">
        <f t="shared" si="10"/>
        <v>2805.65</v>
      </c>
      <c r="D224" s="150">
        <f t="shared" si="11"/>
        <v>4676.1699999999973</v>
      </c>
    </row>
    <row r="225" spans="1:4">
      <c r="A225" s="2">
        <v>220</v>
      </c>
      <c r="B225" s="150">
        <f t="shared" si="9"/>
        <v>2934.5499999999838</v>
      </c>
      <c r="C225" s="150">
        <f t="shared" si="10"/>
        <v>2818.01</v>
      </c>
      <c r="D225" s="150">
        <f t="shared" si="11"/>
        <v>4696.7699999999977</v>
      </c>
    </row>
    <row r="226" spans="1:4">
      <c r="A226" s="2">
        <v>221</v>
      </c>
      <c r="B226" s="150">
        <f t="shared" si="9"/>
        <v>2947.4199999999837</v>
      </c>
      <c r="C226" s="150">
        <f t="shared" si="10"/>
        <v>2830.3700000000003</v>
      </c>
      <c r="D226" s="150">
        <f t="shared" si="11"/>
        <v>4717.3699999999981</v>
      </c>
    </row>
    <row r="227" spans="1:4">
      <c r="A227" s="2">
        <v>222</v>
      </c>
      <c r="B227" s="150">
        <f t="shared" si="9"/>
        <v>2960.2899999999836</v>
      </c>
      <c r="C227" s="150">
        <f t="shared" si="10"/>
        <v>2842.7300000000005</v>
      </c>
      <c r="D227" s="150">
        <f t="shared" si="11"/>
        <v>4737.9699999999984</v>
      </c>
    </row>
    <row r="228" spans="1:4">
      <c r="A228" s="2">
        <v>223</v>
      </c>
      <c r="B228" s="150">
        <f t="shared" si="9"/>
        <v>2973.1599999999835</v>
      </c>
      <c r="C228" s="150">
        <f t="shared" si="10"/>
        <v>2855.0900000000006</v>
      </c>
      <c r="D228" s="150">
        <f t="shared" si="11"/>
        <v>4758.5699999999988</v>
      </c>
    </row>
    <row r="229" spans="1:4">
      <c r="A229" s="2">
        <v>224</v>
      </c>
      <c r="B229" s="150">
        <f t="shared" ref="B229:B292" si="12">B228+12.87</f>
        <v>2986.0299999999834</v>
      </c>
      <c r="C229" s="150">
        <f t="shared" ref="C229:C292" si="13">C228+12.36</f>
        <v>2867.4500000000007</v>
      </c>
      <c r="D229" s="150">
        <f t="shared" ref="D229:D292" si="14">D228+20.6</f>
        <v>4779.1699999999992</v>
      </c>
    </row>
    <row r="230" spans="1:4">
      <c r="A230" s="2">
        <v>225</v>
      </c>
      <c r="B230" s="150">
        <f t="shared" si="12"/>
        <v>2998.8999999999833</v>
      </c>
      <c r="C230" s="150">
        <f t="shared" si="13"/>
        <v>2879.8100000000009</v>
      </c>
      <c r="D230" s="150">
        <f t="shared" si="14"/>
        <v>4799.7699999999995</v>
      </c>
    </row>
    <row r="231" spans="1:4">
      <c r="A231" s="2">
        <v>226</v>
      </c>
      <c r="B231" s="150">
        <f t="shared" si="12"/>
        <v>3011.7699999999832</v>
      </c>
      <c r="C231" s="150">
        <f t="shared" si="13"/>
        <v>2892.170000000001</v>
      </c>
      <c r="D231" s="150">
        <f t="shared" si="14"/>
        <v>4820.37</v>
      </c>
    </row>
    <row r="232" spans="1:4">
      <c r="A232" s="2">
        <v>227</v>
      </c>
      <c r="B232" s="150">
        <f t="shared" si="12"/>
        <v>3024.639999999983</v>
      </c>
      <c r="C232" s="150">
        <f t="shared" si="13"/>
        <v>2904.5300000000011</v>
      </c>
      <c r="D232" s="150">
        <f t="shared" si="14"/>
        <v>4840.97</v>
      </c>
    </row>
    <row r="233" spans="1:4">
      <c r="A233" s="2">
        <v>228</v>
      </c>
      <c r="B233" s="150">
        <f t="shared" si="12"/>
        <v>3037.5099999999829</v>
      </c>
      <c r="C233" s="150">
        <f t="shared" si="13"/>
        <v>2916.8900000000012</v>
      </c>
      <c r="D233" s="150">
        <f t="shared" si="14"/>
        <v>4861.5700000000006</v>
      </c>
    </row>
    <row r="234" spans="1:4">
      <c r="A234" s="2">
        <v>229</v>
      </c>
      <c r="B234" s="150">
        <f t="shared" si="12"/>
        <v>3050.3799999999828</v>
      </c>
      <c r="C234" s="150">
        <f t="shared" si="13"/>
        <v>2929.2500000000014</v>
      </c>
      <c r="D234" s="150">
        <f t="shared" si="14"/>
        <v>4882.170000000001</v>
      </c>
    </row>
    <row r="235" spans="1:4">
      <c r="A235" s="2">
        <v>230</v>
      </c>
      <c r="B235" s="150">
        <f t="shared" si="12"/>
        <v>3063.2499999999827</v>
      </c>
      <c r="C235" s="150">
        <f t="shared" si="13"/>
        <v>2941.6100000000015</v>
      </c>
      <c r="D235" s="150">
        <f t="shared" si="14"/>
        <v>4902.7700000000013</v>
      </c>
    </row>
    <row r="236" spans="1:4">
      <c r="A236" s="2">
        <v>231</v>
      </c>
      <c r="B236" s="150">
        <f t="shared" si="12"/>
        <v>3076.1199999999826</v>
      </c>
      <c r="C236" s="150">
        <f t="shared" si="13"/>
        <v>2953.9700000000016</v>
      </c>
      <c r="D236" s="150">
        <f t="shared" si="14"/>
        <v>4923.3700000000017</v>
      </c>
    </row>
    <row r="237" spans="1:4">
      <c r="A237" s="2">
        <v>232</v>
      </c>
      <c r="B237" s="150">
        <f t="shared" si="12"/>
        <v>3088.9899999999825</v>
      </c>
      <c r="C237" s="150">
        <f t="shared" si="13"/>
        <v>2966.3300000000017</v>
      </c>
      <c r="D237" s="150">
        <f t="shared" si="14"/>
        <v>4943.9700000000021</v>
      </c>
    </row>
    <row r="238" spans="1:4">
      <c r="A238" s="2">
        <v>233</v>
      </c>
      <c r="B238" s="150">
        <f t="shared" si="12"/>
        <v>3101.8599999999824</v>
      </c>
      <c r="C238" s="150">
        <f t="shared" si="13"/>
        <v>2978.6900000000019</v>
      </c>
      <c r="D238" s="150">
        <f t="shared" si="14"/>
        <v>4964.5700000000024</v>
      </c>
    </row>
    <row r="239" spans="1:4">
      <c r="A239" s="2">
        <v>234</v>
      </c>
      <c r="B239" s="150">
        <f t="shared" si="12"/>
        <v>3114.7299999999823</v>
      </c>
      <c r="C239" s="150">
        <f t="shared" si="13"/>
        <v>2991.050000000002</v>
      </c>
      <c r="D239" s="150">
        <f t="shared" si="14"/>
        <v>4985.1700000000028</v>
      </c>
    </row>
    <row r="240" spans="1:4">
      <c r="A240" s="2">
        <v>235</v>
      </c>
      <c r="B240" s="150">
        <f t="shared" si="12"/>
        <v>3127.5999999999822</v>
      </c>
      <c r="C240" s="150">
        <f t="shared" si="13"/>
        <v>3003.4100000000021</v>
      </c>
      <c r="D240" s="150">
        <f t="shared" si="14"/>
        <v>5005.7700000000032</v>
      </c>
    </row>
    <row r="241" spans="1:4">
      <c r="A241" s="2">
        <v>236</v>
      </c>
      <c r="B241" s="150">
        <f t="shared" si="12"/>
        <v>3140.4699999999821</v>
      </c>
      <c r="C241" s="150">
        <f t="shared" si="13"/>
        <v>3015.7700000000023</v>
      </c>
      <c r="D241" s="150">
        <f t="shared" si="14"/>
        <v>5026.3700000000035</v>
      </c>
    </row>
    <row r="242" spans="1:4">
      <c r="A242" s="2">
        <v>237</v>
      </c>
      <c r="B242" s="150">
        <f t="shared" si="12"/>
        <v>3153.339999999982</v>
      </c>
      <c r="C242" s="150">
        <f t="shared" si="13"/>
        <v>3028.1300000000024</v>
      </c>
      <c r="D242" s="150">
        <f t="shared" si="14"/>
        <v>5046.9700000000039</v>
      </c>
    </row>
    <row r="243" spans="1:4">
      <c r="A243" s="2">
        <v>238</v>
      </c>
      <c r="B243" s="150">
        <f t="shared" si="12"/>
        <v>3166.2099999999818</v>
      </c>
      <c r="C243" s="150">
        <f t="shared" si="13"/>
        <v>3040.4900000000025</v>
      </c>
      <c r="D243" s="150">
        <f t="shared" si="14"/>
        <v>5067.5700000000043</v>
      </c>
    </row>
    <row r="244" spans="1:4">
      <c r="A244" s="2">
        <v>239</v>
      </c>
      <c r="B244" s="150">
        <f t="shared" si="12"/>
        <v>3179.0799999999817</v>
      </c>
      <c r="C244" s="150">
        <f t="shared" si="13"/>
        <v>3052.8500000000026</v>
      </c>
      <c r="D244" s="150">
        <f t="shared" si="14"/>
        <v>5088.1700000000046</v>
      </c>
    </row>
    <row r="245" spans="1:4">
      <c r="A245" s="2">
        <v>240</v>
      </c>
      <c r="B245" s="150">
        <f t="shared" si="12"/>
        <v>3191.9499999999816</v>
      </c>
      <c r="C245" s="150">
        <f t="shared" si="13"/>
        <v>3065.2100000000028</v>
      </c>
      <c r="D245" s="150">
        <f t="shared" si="14"/>
        <v>5108.770000000005</v>
      </c>
    </row>
    <row r="246" spans="1:4">
      <c r="A246" s="2">
        <v>241</v>
      </c>
      <c r="B246" s="150">
        <f t="shared" si="12"/>
        <v>3204.8199999999815</v>
      </c>
      <c r="C246" s="150">
        <f t="shared" si="13"/>
        <v>3077.5700000000029</v>
      </c>
      <c r="D246" s="150">
        <f t="shared" si="14"/>
        <v>5129.3700000000053</v>
      </c>
    </row>
    <row r="247" spans="1:4">
      <c r="A247" s="2">
        <v>242</v>
      </c>
      <c r="B247" s="150">
        <f t="shared" si="12"/>
        <v>3217.6899999999814</v>
      </c>
      <c r="C247" s="150">
        <f t="shared" si="13"/>
        <v>3089.930000000003</v>
      </c>
      <c r="D247" s="150">
        <f t="shared" si="14"/>
        <v>5149.9700000000057</v>
      </c>
    </row>
    <row r="248" spans="1:4">
      <c r="A248" s="2">
        <v>243</v>
      </c>
      <c r="B248" s="150">
        <f t="shared" si="12"/>
        <v>3230.5599999999813</v>
      </c>
      <c r="C248" s="150">
        <f t="shared" si="13"/>
        <v>3102.2900000000031</v>
      </c>
      <c r="D248" s="150">
        <f t="shared" si="14"/>
        <v>5170.5700000000061</v>
      </c>
    </row>
    <row r="249" spans="1:4">
      <c r="A249" s="2">
        <v>244</v>
      </c>
      <c r="B249" s="150">
        <f t="shared" si="12"/>
        <v>3243.4299999999812</v>
      </c>
      <c r="C249" s="150">
        <f t="shared" si="13"/>
        <v>3114.6500000000033</v>
      </c>
      <c r="D249" s="150">
        <f t="shared" si="14"/>
        <v>5191.1700000000064</v>
      </c>
    </row>
    <row r="250" spans="1:4">
      <c r="A250" s="2">
        <v>245</v>
      </c>
      <c r="B250" s="150">
        <f t="shared" si="12"/>
        <v>3256.2999999999811</v>
      </c>
      <c r="C250" s="150">
        <f t="shared" si="13"/>
        <v>3127.0100000000034</v>
      </c>
      <c r="D250" s="150">
        <f t="shared" si="14"/>
        <v>5211.7700000000068</v>
      </c>
    </row>
    <row r="251" spans="1:4">
      <c r="A251" s="2">
        <v>246</v>
      </c>
      <c r="B251" s="150">
        <f t="shared" si="12"/>
        <v>3269.169999999981</v>
      </c>
      <c r="C251" s="150">
        <f t="shared" si="13"/>
        <v>3139.3700000000035</v>
      </c>
      <c r="D251" s="150">
        <f t="shared" si="14"/>
        <v>5232.3700000000072</v>
      </c>
    </row>
    <row r="252" spans="1:4">
      <c r="A252" s="2">
        <v>247</v>
      </c>
      <c r="B252" s="150">
        <f t="shared" si="12"/>
        <v>3282.0399999999809</v>
      </c>
      <c r="C252" s="150">
        <f t="shared" si="13"/>
        <v>3151.7300000000037</v>
      </c>
      <c r="D252" s="150">
        <f t="shared" si="14"/>
        <v>5252.9700000000075</v>
      </c>
    </row>
    <row r="253" spans="1:4">
      <c r="A253" s="2">
        <v>248</v>
      </c>
      <c r="B253" s="150">
        <f t="shared" si="12"/>
        <v>3294.9099999999808</v>
      </c>
      <c r="C253" s="150">
        <f t="shared" si="13"/>
        <v>3164.0900000000038</v>
      </c>
      <c r="D253" s="150">
        <f t="shared" si="14"/>
        <v>5273.5700000000079</v>
      </c>
    </row>
    <row r="254" spans="1:4">
      <c r="A254" s="2">
        <v>249</v>
      </c>
      <c r="B254" s="150">
        <f t="shared" si="12"/>
        <v>3307.7799999999806</v>
      </c>
      <c r="C254" s="150">
        <f t="shared" si="13"/>
        <v>3176.4500000000039</v>
      </c>
      <c r="D254" s="150">
        <f t="shared" si="14"/>
        <v>5294.1700000000083</v>
      </c>
    </row>
    <row r="255" spans="1:4">
      <c r="A255" s="2">
        <v>250</v>
      </c>
      <c r="B255" s="150">
        <f t="shared" si="12"/>
        <v>3320.6499999999805</v>
      </c>
      <c r="C255" s="150">
        <f t="shared" si="13"/>
        <v>3188.810000000004</v>
      </c>
      <c r="D255" s="150">
        <f t="shared" si="14"/>
        <v>5314.7700000000086</v>
      </c>
    </row>
    <row r="256" spans="1:4">
      <c r="A256" s="2">
        <v>251</v>
      </c>
      <c r="B256" s="150">
        <f t="shared" si="12"/>
        <v>3333.5199999999804</v>
      </c>
      <c r="C256" s="150">
        <f t="shared" si="13"/>
        <v>3201.1700000000042</v>
      </c>
      <c r="D256" s="150">
        <f t="shared" si="14"/>
        <v>5335.370000000009</v>
      </c>
    </row>
    <row r="257" spans="1:4">
      <c r="A257" s="2">
        <v>252</v>
      </c>
      <c r="B257" s="150">
        <f t="shared" si="12"/>
        <v>3346.3899999999803</v>
      </c>
      <c r="C257" s="150">
        <f t="shared" si="13"/>
        <v>3213.5300000000043</v>
      </c>
      <c r="D257" s="150">
        <f t="shared" si="14"/>
        <v>5355.9700000000093</v>
      </c>
    </row>
    <row r="258" spans="1:4">
      <c r="A258" s="2">
        <v>253</v>
      </c>
      <c r="B258" s="150">
        <f t="shared" si="12"/>
        <v>3359.2599999999802</v>
      </c>
      <c r="C258" s="150">
        <f t="shared" si="13"/>
        <v>3225.8900000000044</v>
      </c>
      <c r="D258" s="150">
        <f t="shared" si="14"/>
        <v>5376.5700000000097</v>
      </c>
    </row>
    <row r="259" spans="1:4">
      <c r="A259" s="2">
        <v>254</v>
      </c>
      <c r="B259" s="150">
        <f t="shared" si="12"/>
        <v>3372.1299999999801</v>
      </c>
      <c r="C259" s="150">
        <f t="shared" si="13"/>
        <v>3238.2500000000045</v>
      </c>
      <c r="D259" s="150">
        <f t="shared" si="14"/>
        <v>5397.1700000000101</v>
      </c>
    </row>
    <row r="260" spans="1:4">
      <c r="A260" s="2">
        <v>255</v>
      </c>
      <c r="B260" s="150">
        <f t="shared" si="12"/>
        <v>3384.99999999998</v>
      </c>
      <c r="C260" s="150">
        <f t="shared" si="13"/>
        <v>3250.6100000000047</v>
      </c>
      <c r="D260" s="150">
        <f t="shared" si="14"/>
        <v>5417.7700000000104</v>
      </c>
    </row>
    <row r="261" spans="1:4">
      <c r="A261" s="2">
        <v>256</v>
      </c>
      <c r="B261" s="150">
        <f t="shared" si="12"/>
        <v>3397.8699999999799</v>
      </c>
      <c r="C261" s="150">
        <f t="shared" si="13"/>
        <v>3262.9700000000048</v>
      </c>
      <c r="D261" s="150">
        <f t="shared" si="14"/>
        <v>5438.3700000000108</v>
      </c>
    </row>
    <row r="262" spans="1:4">
      <c r="A262" s="2">
        <v>257</v>
      </c>
      <c r="B262" s="150">
        <f t="shared" si="12"/>
        <v>3410.7399999999798</v>
      </c>
      <c r="C262" s="150">
        <f t="shared" si="13"/>
        <v>3275.3300000000049</v>
      </c>
      <c r="D262" s="150">
        <f t="shared" si="14"/>
        <v>5458.9700000000112</v>
      </c>
    </row>
    <row r="263" spans="1:4">
      <c r="A263" s="2">
        <v>258</v>
      </c>
      <c r="B263" s="150">
        <f t="shared" si="12"/>
        <v>3423.6099999999797</v>
      </c>
      <c r="C263" s="150">
        <f t="shared" si="13"/>
        <v>3287.6900000000051</v>
      </c>
      <c r="D263" s="150">
        <f t="shared" si="14"/>
        <v>5479.5700000000115</v>
      </c>
    </row>
    <row r="264" spans="1:4">
      <c r="A264" s="2">
        <v>259</v>
      </c>
      <c r="B264" s="150">
        <f t="shared" si="12"/>
        <v>3436.4799999999796</v>
      </c>
      <c r="C264" s="150">
        <f t="shared" si="13"/>
        <v>3300.0500000000052</v>
      </c>
      <c r="D264" s="150">
        <f t="shared" si="14"/>
        <v>5500.1700000000119</v>
      </c>
    </row>
    <row r="265" spans="1:4">
      <c r="A265" s="2">
        <v>260</v>
      </c>
      <c r="B265" s="150">
        <f t="shared" si="12"/>
        <v>3449.3499999999794</v>
      </c>
      <c r="C265" s="150">
        <f t="shared" si="13"/>
        <v>3312.4100000000053</v>
      </c>
      <c r="D265" s="150">
        <f t="shared" si="14"/>
        <v>5520.7700000000123</v>
      </c>
    </row>
    <row r="266" spans="1:4">
      <c r="A266" s="2">
        <v>261</v>
      </c>
      <c r="B266" s="150">
        <f t="shared" si="12"/>
        <v>3462.2199999999793</v>
      </c>
      <c r="C266" s="150">
        <f t="shared" si="13"/>
        <v>3324.7700000000054</v>
      </c>
      <c r="D266" s="150">
        <f t="shared" si="14"/>
        <v>5541.3700000000126</v>
      </c>
    </row>
    <row r="267" spans="1:4">
      <c r="A267" s="2">
        <v>262</v>
      </c>
      <c r="B267" s="150">
        <f t="shared" si="12"/>
        <v>3475.0899999999792</v>
      </c>
      <c r="C267" s="150">
        <f t="shared" si="13"/>
        <v>3337.1300000000056</v>
      </c>
      <c r="D267" s="150">
        <f t="shared" si="14"/>
        <v>5561.970000000013</v>
      </c>
    </row>
    <row r="268" spans="1:4">
      <c r="A268" s="2">
        <v>263</v>
      </c>
      <c r="B268" s="150">
        <f t="shared" si="12"/>
        <v>3487.9599999999791</v>
      </c>
      <c r="C268" s="150">
        <f t="shared" si="13"/>
        <v>3349.4900000000057</v>
      </c>
      <c r="D268" s="150">
        <f t="shared" si="14"/>
        <v>5582.5700000000134</v>
      </c>
    </row>
    <row r="269" spans="1:4">
      <c r="A269" s="2">
        <v>264</v>
      </c>
      <c r="B269" s="150">
        <f t="shared" si="12"/>
        <v>3500.829999999979</v>
      </c>
      <c r="C269" s="150">
        <f t="shared" si="13"/>
        <v>3361.8500000000058</v>
      </c>
      <c r="D269" s="150">
        <f t="shared" si="14"/>
        <v>5603.1700000000137</v>
      </c>
    </row>
    <row r="270" spans="1:4">
      <c r="A270" s="2">
        <v>265</v>
      </c>
      <c r="B270" s="150">
        <f t="shared" si="12"/>
        <v>3513.6999999999789</v>
      </c>
      <c r="C270" s="150">
        <f t="shared" si="13"/>
        <v>3374.2100000000059</v>
      </c>
      <c r="D270" s="150">
        <f t="shared" si="14"/>
        <v>5623.7700000000141</v>
      </c>
    </row>
    <row r="271" spans="1:4">
      <c r="A271" s="2">
        <v>266</v>
      </c>
      <c r="B271" s="150">
        <f t="shared" si="12"/>
        <v>3526.5699999999788</v>
      </c>
      <c r="C271" s="150">
        <f t="shared" si="13"/>
        <v>3386.5700000000061</v>
      </c>
      <c r="D271" s="150">
        <f t="shared" si="14"/>
        <v>5644.3700000000144</v>
      </c>
    </row>
    <row r="272" spans="1:4">
      <c r="A272" s="2">
        <v>267</v>
      </c>
      <c r="B272" s="150">
        <f t="shared" si="12"/>
        <v>3539.4399999999787</v>
      </c>
      <c r="C272" s="150">
        <f t="shared" si="13"/>
        <v>3398.9300000000062</v>
      </c>
      <c r="D272" s="150">
        <f t="shared" si="14"/>
        <v>5664.9700000000148</v>
      </c>
    </row>
    <row r="273" spans="1:4">
      <c r="A273" s="2">
        <v>268</v>
      </c>
      <c r="B273" s="150">
        <f t="shared" si="12"/>
        <v>3552.3099999999786</v>
      </c>
      <c r="C273" s="150">
        <f t="shared" si="13"/>
        <v>3411.2900000000063</v>
      </c>
      <c r="D273" s="150">
        <f t="shared" si="14"/>
        <v>5685.5700000000152</v>
      </c>
    </row>
    <row r="274" spans="1:4">
      <c r="A274" s="2">
        <v>269</v>
      </c>
      <c r="B274" s="150">
        <f t="shared" si="12"/>
        <v>3565.1799999999785</v>
      </c>
      <c r="C274" s="150">
        <f t="shared" si="13"/>
        <v>3423.6500000000065</v>
      </c>
      <c r="D274" s="150">
        <f t="shared" si="14"/>
        <v>5706.1700000000155</v>
      </c>
    </row>
    <row r="275" spans="1:4">
      <c r="A275" s="2">
        <v>270</v>
      </c>
      <c r="B275" s="150">
        <f t="shared" si="12"/>
        <v>3578.0499999999784</v>
      </c>
      <c r="C275" s="150">
        <f t="shared" si="13"/>
        <v>3436.0100000000066</v>
      </c>
      <c r="D275" s="150">
        <f t="shared" si="14"/>
        <v>5726.7700000000159</v>
      </c>
    </row>
    <row r="276" spans="1:4">
      <c r="A276" s="2">
        <v>271</v>
      </c>
      <c r="B276" s="150">
        <f t="shared" si="12"/>
        <v>3590.9199999999782</v>
      </c>
      <c r="C276" s="150">
        <f t="shared" si="13"/>
        <v>3448.3700000000067</v>
      </c>
      <c r="D276" s="150">
        <f t="shared" si="14"/>
        <v>5747.3700000000163</v>
      </c>
    </row>
    <row r="277" spans="1:4">
      <c r="A277" s="2">
        <v>272</v>
      </c>
      <c r="B277" s="150">
        <f t="shared" si="12"/>
        <v>3603.7899999999781</v>
      </c>
      <c r="C277" s="150">
        <f t="shared" si="13"/>
        <v>3460.7300000000068</v>
      </c>
      <c r="D277" s="150">
        <f t="shared" si="14"/>
        <v>5767.9700000000166</v>
      </c>
    </row>
    <row r="278" spans="1:4">
      <c r="A278" s="2">
        <v>273</v>
      </c>
      <c r="B278" s="150">
        <f t="shared" si="12"/>
        <v>3616.659999999978</v>
      </c>
      <c r="C278" s="150">
        <f t="shared" si="13"/>
        <v>3473.090000000007</v>
      </c>
      <c r="D278" s="150">
        <f t="shared" si="14"/>
        <v>5788.570000000017</v>
      </c>
    </row>
    <row r="279" spans="1:4">
      <c r="A279" s="2">
        <v>274</v>
      </c>
      <c r="B279" s="150">
        <f t="shared" si="12"/>
        <v>3629.5299999999779</v>
      </c>
      <c r="C279" s="150">
        <f t="shared" si="13"/>
        <v>3485.4500000000071</v>
      </c>
      <c r="D279" s="150">
        <f t="shared" si="14"/>
        <v>5809.1700000000174</v>
      </c>
    </row>
    <row r="280" spans="1:4">
      <c r="A280" s="2">
        <v>275</v>
      </c>
      <c r="B280" s="150">
        <f t="shared" si="12"/>
        <v>3642.3999999999778</v>
      </c>
      <c r="C280" s="150">
        <f t="shared" si="13"/>
        <v>3497.8100000000072</v>
      </c>
      <c r="D280" s="150">
        <f t="shared" si="14"/>
        <v>5829.7700000000177</v>
      </c>
    </row>
    <row r="281" spans="1:4">
      <c r="A281" s="2">
        <v>276</v>
      </c>
      <c r="B281" s="150">
        <f t="shared" si="12"/>
        <v>3655.2699999999777</v>
      </c>
      <c r="C281" s="150">
        <f t="shared" si="13"/>
        <v>3510.1700000000073</v>
      </c>
      <c r="D281" s="150">
        <f t="shared" si="14"/>
        <v>5850.3700000000181</v>
      </c>
    </row>
    <row r="282" spans="1:4">
      <c r="A282" s="2">
        <v>277</v>
      </c>
      <c r="B282" s="150">
        <f t="shared" si="12"/>
        <v>3668.1399999999776</v>
      </c>
      <c r="C282" s="150">
        <f t="shared" si="13"/>
        <v>3522.5300000000075</v>
      </c>
      <c r="D282" s="150">
        <f t="shared" si="14"/>
        <v>5870.9700000000184</v>
      </c>
    </row>
    <row r="283" spans="1:4">
      <c r="A283" s="2">
        <v>278</v>
      </c>
      <c r="B283" s="150">
        <f t="shared" si="12"/>
        <v>3681.0099999999775</v>
      </c>
      <c r="C283" s="150">
        <f t="shared" si="13"/>
        <v>3534.8900000000076</v>
      </c>
      <c r="D283" s="150">
        <f t="shared" si="14"/>
        <v>5891.5700000000188</v>
      </c>
    </row>
    <row r="284" spans="1:4">
      <c r="A284" s="2">
        <v>279</v>
      </c>
      <c r="B284" s="150">
        <f t="shared" si="12"/>
        <v>3693.8799999999774</v>
      </c>
      <c r="C284" s="150">
        <f t="shared" si="13"/>
        <v>3547.2500000000077</v>
      </c>
      <c r="D284" s="150">
        <f t="shared" si="14"/>
        <v>5912.1700000000192</v>
      </c>
    </row>
    <row r="285" spans="1:4">
      <c r="A285" s="2">
        <v>280</v>
      </c>
      <c r="B285" s="150">
        <f t="shared" si="12"/>
        <v>3706.7499999999773</v>
      </c>
      <c r="C285" s="150">
        <f t="shared" si="13"/>
        <v>3559.6100000000079</v>
      </c>
      <c r="D285" s="150">
        <f t="shared" si="14"/>
        <v>5932.7700000000195</v>
      </c>
    </row>
    <row r="286" spans="1:4">
      <c r="A286" s="2">
        <v>281</v>
      </c>
      <c r="B286" s="150">
        <f t="shared" si="12"/>
        <v>3719.6199999999772</v>
      </c>
      <c r="C286" s="150">
        <f t="shared" si="13"/>
        <v>3571.970000000008</v>
      </c>
      <c r="D286" s="150">
        <f t="shared" si="14"/>
        <v>5953.3700000000199</v>
      </c>
    </row>
    <row r="287" spans="1:4">
      <c r="A287" s="2">
        <v>282</v>
      </c>
      <c r="B287" s="150">
        <f t="shared" si="12"/>
        <v>3732.489999999977</v>
      </c>
      <c r="C287" s="150">
        <f t="shared" si="13"/>
        <v>3584.3300000000081</v>
      </c>
      <c r="D287" s="150">
        <f t="shared" si="14"/>
        <v>5973.9700000000203</v>
      </c>
    </row>
    <row r="288" spans="1:4">
      <c r="A288" s="2">
        <v>283</v>
      </c>
      <c r="B288" s="150">
        <f t="shared" si="12"/>
        <v>3745.3599999999769</v>
      </c>
      <c r="C288" s="150">
        <f t="shared" si="13"/>
        <v>3596.6900000000082</v>
      </c>
      <c r="D288" s="150">
        <f t="shared" si="14"/>
        <v>5994.5700000000206</v>
      </c>
    </row>
    <row r="289" spans="1:4">
      <c r="A289" s="2">
        <v>284</v>
      </c>
      <c r="B289" s="150">
        <f t="shared" si="12"/>
        <v>3758.2299999999768</v>
      </c>
      <c r="C289" s="150">
        <f t="shared" si="13"/>
        <v>3609.0500000000084</v>
      </c>
      <c r="D289" s="150">
        <f t="shared" si="14"/>
        <v>6015.170000000021</v>
      </c>
    </row>
    <row r="290" spans="1:4">
      <c r="A290" s="2">
        <v>285</v>
      </c>
      <c r="B290" s="150">
        <f t="shared" si="12"/>
        <v>3771.0999999999767</v>
      </c>
      <c r="C290" s="150">
        <f t="shared" si="13"/>
        <v>3621.4100000000085</v>
      </c>
      <c r="D290" s="150">
        <f t="shared" si="14"/>
        <v>6035.7700000000214</v>
      </c>
    </row>
    <row r="291" spans="1:4">
      <c r="A291" s="2">
        <v>286</v>
      </c>
      <c r="B291" s="150">
        <f t="shared" si="12"/>
        <v>3783.9699999999766</v>
      </c>
      <c r="C291" s="150">
        <f t="shared" si="13"/>
        <v>3633.7700000000086</v>
      </c>
      <c r="D291" s="150">
        <f t="shared" si="14"/>
        <v>6056.3700000000217</v>
      </c>
    </row>
    <row r="292" spans="1:4">
      <c r="A292" s="2">
        <v>287</v>
      </c>
      <c r="B292" s="150">
        <f t="shared" si="12"/>
        <v>3796.8399999999765</v>
      </c>
      <c r="C292" s="150">
        <f t="shared" si="13"/>
        <v>3646.1300000000087</v>
      </c>
      <c r="D292" s="150">
        <f t="shared" si="14"/>
        <v>6076.9700000000221</v>
      </c>
    </row>
    <row r="293" spans="1:4">
      <c r="A293" s="2">
        <v>288</v>
      </c>
      <c r="B293" s="150">
        <f t="shared" ref="B293:B305" si="15">B292+12.87</f>
        <v>3809.7099999999764</v>
      </c>
      <c r="C293" s="150">
        <f t="shared" ref="C293:C305" si="16">C292+12.36</f>
        <v>3658.4900000000089</v>
      </c>
      <c r="D293" s="150">
        <f t="shared" ref="D293:D305" si="17">D292+20.6</f>
        <v>6097.5700000000224</v>
      </c>
    </row>
    <row r="294" spans="1:4">
      <c r="A294" s="2">
        <v>289</v>
      </c>
      <c r="B294" s="150">
        <f t="shared" si="15"/>
        <v>3822.5799999999763</v>
      </c>
      <c r="C294" s="150">
        <f t="shared" si="16"/>
        <v>3670.850000000009</v>
      </c>
      <c r="D294" s="150">
        <f t="shared" si="17"/>
        <v>6118.1700000000228</v>
      </c>
    </row>
    <row r="295" spans="1:4">
      <c r="A295" s="2">
        <v>290</v>
      </c>
      <c r="B295" s="150">
        <f t="shared" si="15"/>
        <v>3835.4499999999762</v>
      </c>
      <c r="C295" s="150">
        <f t="shared" si="16"/>
        <v>3683.2100000000091</v>
      </c>
      <c r="D295" s="150">
        <f t="shared" si="17"/>
        <v>6138.7700000000232</v>
      </c>
    </row>
    <row r="296" spans="1:4">
      <c r="A296" s="2">
        <v>291</v>
      </c>
      <c r="B296" s="150">
        <f t="shared" si="15"/>
        <v>3848.3199999999761</v>
      </c>
      <c r="C296" s="150">
        <f t="shared" si="16"/>
        <v>3695.5700000000093</v>
      </c>
      <c r="D296" s="150">
        <f t="shared" si="17"/>
        <v>6159.3700000000235</v>
      </c>
    </row>
    <row r="297" spans="1:4">
      <c r="A297" s="2">
        <v>292</v>
      </c>
      <c r="B297" s="150">
        <f t="shared" si="15"/>
        <v>3861.189999999976</v>
      </c>
      <c r="C297" s="150">
        <f t="shared" si="16"/>
        <v>3707.9300000000094</v>
      </c>
      <c r="D297" s="150">
        <f t="shared" si="17"/>
        <v>6179.9700000000239</v>
      </c>
    </row>
    <row r="298" spans="1:4">
      <c r="A298" s="2">
        <v>293</v>
      </c>
      <c r="B298" s="150">
        <f t="shared" si="15"/>
        <v>3874.0599999999758</v>
      </c>
      <c r="C298" s="150">
        <f t="shared" si="16"/>
        <v>3720.2900000000095</v>
      </c>
      <c r="D298" s="150">
        <f t="shared" si="17"/>
        <v>6200.5700000000243</v>
      </c>
    </row>
    <row r="299" spans="1:4">
      <c r="A299" s="2">
        <v>294</v>
      </c>
      <c r="B299" s="150">
        <f t="shared" si="15"/>
        <v>3886.9299999999757</v>
      </c>
      <c r="C299" s="150">
        <f t="shared" si="16"/>
        <v>3732.6500000000096</v>
      </c>
      <c r="D299" s="150">
        <f t="shared" si="17"/>
        <v>6221.1700000000246</v>
      </c>
    </row>
    <row r="300" spans="1:4">
      <c r="A300" s="2">
        <v>295</v>
      </c>
      <c r="B300" s="150">
        <f t="shared" si="15"/>
        <v>3899.7999999999756</v>
      </c>
      <c r="C300" s="150">
        <f t="shared" si="16"/>
        <v>3745.0100000000098</v>
      </c>
      <c r="D300" s="150">
        <f t="shared" si="17"/>
        <v>6241.770000000025</v>
      </c>
    </row>
    <row r="301" spans="1:4">
      <c r="A301" s="2">
        <v>296</v>
      </c>
      <c r="B301" s="150">
        <f t="shared" si="15"/>
        <v>3912.6699999999755</v>
      </c>
      <c r="C301" s="150">
        <f t="shared" si="16"/>
        <v>3757.3700000000099</v>
      </c>
      <c r="D301" s="150">
        <f t="shared" si="17"/>
        <v>6262.3700000000254</v>
      </c>
    </row>
    <row r="302" spans="1:4">
      <c r="A302" s="2">
        <v>297</v>
      </c>
      <c r="B302" s="150">
        <f t="shared" si="15"/>
        <v>3925.5399999999754</v>
      </c>
      <c r="C302" s="150">
        <f t="shared" si="16"/>
        <v>3769.73000000001</v>
      </c>
      <c r="D302" s="150">
        <f t="shared" si="17"/>
        <v>6282.9700000000257</v>
      </c>
    </row>
    <row r="303" spans="1:4">
      <c r="A303" s="2">
        <v>298</v>
      </c>
      <c r="B303" s="150">
        <f t="shared" si="15"/>
        <v>3938.4099999999753</v>
      </c>
      <c r="C303" s="150">
        <f t="shared" si="16"/>
        <v>3782.0900000000101</v>
      </c>
      <c r="D303" s="150">
        <f t="shared" si="17"/>
        <v>6303.5700000000261</v>
      </c>
    </row>
    <row r="304" spans="1:4">
      <c r="A304" s="2">
        <v>299</v>
      </c>
      <c r="B304" s="150">
        <f t="shared" si="15"/>
        <v>3951.2799999999752</v>
      </c>
      <c r="C304" s="150">
        <f t="shared" si="16"/>
        <v>3794.4500000000103</v>
      </c>
      <c r="D304" s="150">
        <f t="shared" si="17"/>
        <v>6324.1700000000264</v>
      </c>
    </row>
    <row r="305" spans="1:4">
      <c r="A305" s="2">
        <v>300</v>
      </c>
      <c r="B305" s="150">
        <f t="shared" si="15"/>
        <v>3964.1499999999751</v>
      </c>
      <c r="C305" s="150">
        <f t="shared" si="16"/>
        <v>3806.8100000000104</v>
      </c>
      <c r="D305" s="150">
        <f t="shared" si="17"/>
        <v>6344.7700000000268</v>
      </c>
    </row>
  </sheetData>
  <mergeCells count="3">
    <mergeCell ref="A1:D1"/>
    <mergeCell ref="B2:D2"/>
    <mergeCell ref="A3:A4"/>
  </mergeCells>
  <pageMargins left="0.75" right="0.75" top="1" bottom="1" header="0.5" footer="0.5"/>
  <pageSetup scale="96" orientation="portrait" r:id="rId1"/>
  <headerFooter alignWithMargins="0"/>
  <rowBreaks count="1" manualBreakCount="1">
    <brk id="99" max="16383"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00B0F0"/>
  </sheetPr>
  <dimension ref="A1:L287"/>
  <sheetViews>
    <sheetView view="pageBreakPreview" topLeftCell="A4" zoomScaleSheetLayoutView="100" workbookViewId="0">
      <selection activeCell="H10" sqref="H10:I10"/>
    </sheetView>
  </sheetViews>
  <sheetFormatPr defaultRowHeight="12.75"/>
  <cols>
    <col min="1" max="1" width="2.85546875" style="188" customWidth="1"/>
    <col min="2" max="2" width="7.42578125" style="251" customWidth="1"/>
    <col min="3" max="3" width="4.28515625" style="188" customWidth="1"/>
    <col min="4" max="4" width="7.42578125" style="252" customWidth="1"/>
    <col min="5" max="5" width="36" style="188" customWidth="1"/>
    <col min="6" max="6" width="8.7109375" style="189" customWidth="1"/>
    <col min="7" max="7" width="6" style="188" customWidth="1"/>
    <col min="8" max="8" width="10.28515625" style="188" customWidth="1"/>
    <col min="9" max="9" width="9.7109375" style="188" customWidth="1"/>
    <col min="10" max="10" width="7.140625" style="188" customWidth="1"/>
    <col min="11" max="11" width="9.140625" style="188"/>
    <col min="12" max="12" width="10.28515625" style="188" customWidth="1"/>
    <col min="13" max="16384" width="9.140625" style="188"/>
  </cols>
  <sheetData>
    <row r="1" spans="1:12" ht="23.25" customHeight="1">
      <c r="A1" s="1293" t="s">
        <v>168</v>
      </c>
      <c r="B1" s="1294"/>
      <c r="C1" s="1294"/>
      <c r="D1" s="1294"/>
      <c r="E1" s="1294"/>
      <c r="F1" s="1294"/>
      <c r="G1" s="1294"/>
      <c r="H1" s="1294"/>
      <c r="I1" s="1294"/>
      <c r="J1" s="1294"/>
    </row>
    <row r="2" spans="1:12" ht="27" customHeight="1">
      <c r="B2" s="1295"/>
      <c r="C2" s="1295"/>
      <c r="D2" s="1295"/>
      <c r="G2" s="1296" t="s">
        <v>257</v>
      </c>
      <c r="H2" s="1296"/>
      <c r="I2" s="1296"/>
      <c r="J2" s="1296"/>
    </row>
    <row r="3" spans="1:12">
      <c r="B3" s="1297"/>
      <c r="C3" s="1297"/>
      <c r="D3" s="1297"/>
      <c r="G3" s="1298"/>
      <c r="H3" s="1298"/>
      <c r="I3" s="1298"/>
      <c r="J3" s="1298"/>
    </row>
    <row r="4" spans="1:12" ht="28.5" customHeight="1">
      <c r="B4" s="1299" t="s">
        <v>256</v>
      </c>
      <c r="C4" s="1299"/>
      <c r="D4" s="1299"/>
      <c r="E4" s="1299"/>
      <c r="F4" s="1299"/>
      <c r="G4" s="1299"/>
      <c r="H4" s="1299"/>
      <c r="I4" s="1299"/>
      <c r="J4" s="1299"/>
    </row>
    <row r="5" spans="1:12" ht="24.75" customHeight="1">
      <c r="B5" s="1300" t="s">
        <v>169</v>
      </c>
      <c r="C5" s="1300"/>
      <c r="D5" s="1301"/>
      <c r="E5" s="1301"/>
      <c r="F5" s="1301"/>
      <c r="G5" s="1301"/>
      <c r="H5" s="1301"/>
      <c r="I5" s="1301"/>
      <c r="J5" s="1301"/>
    </row>
    <row r="6" spans="1:12" ht="13.5" customHeight="1">
      <c r="B6" s="1289" t="s">
        <v>170</v>
      </c>
      <c r="C6" s="1289"/>
      <c r="D6" s="1290"/>
      <c r="E6" s="1290"/>
      <c r="F6" s="1290"/>
      <c r="G6" s="1290"/>
      <c r="H6" s="1290"/>
      <c r="I6" s="1290"/>
      <c r="J6" s="1290"/>
    </row>
    <row r="7" spans="1:12" ht="15" customHeight="1">
      <c r="B7" s="1289" t="s">
        <v>171</v>
      </c>
      <c r="C7" s="1289"/>
      <c r="D7" s="1290"/>
      <c r="E7" s="1290"/>
      <c r="F7" s="1290"/>
      <c r="G7" s="1290"/>
      <c r="H7" s="1290"/>
      <c r="I7" s="1290"/>
      <c r="J7" s="1290"/>
    </row>
    <row r="8" spans="1:12" ht="12.75" customHeight="1">
      <c r="B8" s="1289" t="s">
        <v>172</v>
      </c>
      <c r="C8" s="1289"/>
      <c r="D8" s="1289"/>
      <c r="E8" s="1289"/>
      <c r="F8" s="1289"/>
      <c r="G8" s="1289"/>
      <c r="H8" s="1289"/>
      <c r="I8" s="1289"/>
      <c r="J8" s="1289"/>
    </row>
    <row r="9" spans="1:12" ht="19.5" customHeight="1">
      <c r="B9" s="1289" t="s">
        <v>173</v>
      </c>
      <c r="C9" s="1289"/>
      <c r="D9" s="1290"/>
      <c r="E9" s="1290"/>
      <c r="F9" s="1290"/>
      <c r="G9" s="1290"/>
      <c r="H9" s="1290"/>
      <c r="I9" s="1290"/>
      <c r="J9" s="1290"/>
    </row>
    <row r="10" spans="1:12" ht="13.5" customHeight="1">
      <c r="B10" s="1289" t="s">
        <v>174</v>
      </c>
      <c r="C10" s="1289"/>
      <c r="D10" s="1290"/>
      <c r="E10" s="1291" t="s">
        <v>258</v>
      </c>
      <c r="F10" s="1292"/>
      <c r="G10" s="190"/>
      <c r="H10" s="1291" t="s">
        <v>175</v>
      </c>
      <c r="I10" s="1292"/>
    </row>
    <row r="11" spans="1:12" ht="13.5" customHeight="1">
      <c r="B11" s="1289" t="s">
        <v>176</v>
      </c>
      <c r="C11" s="1289"/>
      <c r="D11" s="1289"/>
      <c r="E11" s="1298" t="s">
        <v>177</v>
      </c>
      <c r="F11" s="1297"/>
      <c r="G11" s="191"/>
      <c r="H11" s="1289" t="s">
        <v>178</v>
      </c>
      <c r="I11" s="1290"/>
    </row>
    <row r="12" spans="1:12" ht="7.5" customHeight="1">
      <c r="B12" s="192"/>
      <c r="C12" s="193"/>
      <c r="D12" s="194"/>
      <c r="E12" s="193"/>
      <c r="F12" s="195"/>
      <c r="G12" s="191"/>
      <c r="H12" s="191"/>
      <c r="I12" s="191"/>
      <c r="J12" s="193"/>
    </row>
    <row r="13" spans="1:12" s="196" customFormat="1" ht="24.75" customHeight="1">
      <c r="A13" s="1302" t="s">
        <v>35</v>
      </c>
      <c r="B13" s="1303" t="s">
        <v>179</v>
      </c>
      <c r="C13" s="1303"/>
      <c r="D13" s="1303"/>
      <c r="E13" s="1303" t="s">
        <v>180</v>
      </c>
      <c r="F13" s="1303" t="s">
        <v>181</v>
      </c>
      <c r="G13" s="1303" t="s">
        <v>8</v>
      </c>
      <c r="H13" s="1303" t="s">
        <v>182</v>
      </c>
      <c r="I13" s="1303"/>
      <c r="J13" s="1306" t="s">
        <v>183</v>
      </c>
    </row>
    <row r="14" spans="1:12" s="196" customFormat="1" ht="45" customHeight="1">
      <c r="A14" s="1302"/>
      <c r="B14" s="1306" t="s">
        <v>184</v>
      </c>
      <c r="C14" s="1307"/>
      <c r="D14" s="197" t="s">
        <v>185</v>
      </c>
      <c r="E14" s="1303"/>
      <c r="F14" s="1303"/>
      <c r="G14" s="1303"/>
      <c r="H14" s="198" t="s">
        <v>186</v>
      </c>
      <c r="I14" s="198" t="s">
        <v>187</v>
      </c>
      <c r="J14" s="1306"/>
    </row>
    <row r="15" spans="1:12" s="196" customFormat="1" ht="49.5">
      <c r="A15" s="199">
        <v>1</v>
      </c>
      <c r="B15" s="200" t="e">
        <f>MAIN!#REF!</f>
        <v>#REF!</v>
      </c>
      <c r="C15" s="201" t="s">
        <v>10</v>
      </c>
      <c r="D15" s="202"/>
      <c r="E15" s="271" t="s">
        <v>129</v>
      </c>
      <c r="F15" s="203" t="e">
        <f>MAIN!#REF!</f>
        <v>#REF!</v>
      </c>
      <c r="G15" s="212" t="s">
        <v>23</v>
      </c>
      <c r="H15" s="204" t="e">
        <f>ROUND(B15*F15,2)</f>
        <v>#REF!</v>
      </c>
      <c r="I15" s="204"/>
      <c r="J15" s="273"/>
      <c r="K15" s="205"/>
      <c r="L15" s="206"/>
    </row>
    <row r="16" spans="1:12" s="196" customFormat="1" ht="49.5">
      <c r="A16" s="207">
        <v>2</v>
      </c>
      <c r="B16" s="208">
        <f>MAIN!I47</f>
        <v>672</v>
      </c>
      <c r="C16" s="209" t="s">
        <v>10</v>
      </c>
      <c r="D16" s="210"/>
      <c r="E16" s="272" t="s">
        <v>111</v>
      </c>
      <c r="F16" s="211">
        <f>MAIN!K47</f>
        <v>2928.41</v>
      </c>
      <c r="G16" s="212" t="s">
        <v>23</v>
      </c>
      <c r="H16" s="213">
        <f t="shared" ref="H16:H17" si="0">ROUND(B16*F16,2)</f>
        <v>1967891.52</v>
      </c>
      <c r="I16" s="213"/>
      <c r="J16" s="274"/>
      <c r="K16" s="205"/>
      <c r="L16" s="206"/>
    </row>
    <row r="17" spans="1:12" s="196" customFormat="1" ht="140.25">
      <c r="A17" s="207">
        <v>3</v>
      </c>
      <c r="B17" s="208" t="e">
        <f>MAIN!#REF!</f>
        <v>#REF!</v>
      </c>
      <c r="C17" s="209" t="s">
        <v>10</v>
      </c>
      <c r="D17" s="210"/>
      <c r="E17" s="272" t="s">
        <v>135</v>
      </c>
      <c r="F17" s="211" t="e">
        <f>MAIN!#REF!</f>
        <v>#REF!</v>
      </c>
      <c r="G17" s="212" t="s">
        <v>23</v>
      </c>
      <c r="H17" s="213" t="e">
        <f t="shared" si="0"/>
        <v>#REF!</v>
      </c>
      <c r="I17" s="213"/>
      <c r="J17" s="274"/>
      <c r="K17" s="205"/>
      <c r="L17" s="206"/>
    </row>
    <row r="18" spans="1:12" s="223" customFormat="1" ht="11.25">
      <c r="A18" s="214"/>
      <c r="B18" s="215"/>
      <c r="C18" s="216"/>
      <c r="D18" s="217"/>
      <c r="E18" s="218"/>
      <c r="F18" s="219"/>
      <c r="G18" s="220"/>
      <c r="H18" s="221"/>
      <c r="I18" s="222"/>
      <c r="J18" s="275"/>
    </row>
    <row r="19" spans="1:12" s="231" customFormat="1" ht="18" customHeight="1">
      <c r="A19" s="224"/>
      <c r="B19" s="225"/>
      <c r="C19" s="226"/>
      <c r="D19" s="227"/>
      <c r="E19" s="1308" t="s">
        <v>188</v>
      </c>
      <c r="F19" s="1308"/>
      <c r="G19" s="228" t="s">
        <v>94</v>
      </c>
      <c r="H19" s="229" t="e">
        <f>SUM(H15:H18)</f>
        <v>#REF!</v>
      </c>
      <c r="I19" s="229"/>
      <c r="J19" s="230"/>
      <c r="L19" s="229">
        <f>SUM(L15:L18)</f>
        <v>0</v>
      </c>
    </row>
    <row r="20" spans="1:12" s="231" customFormat="1" ht="12" customHeight="1">
      <c r="A20" s="224"/>
      <c r="B20" s="225"/>
      <c r="C20" s="226"/>
      <c r="D20" s="227"/>
      <c r="E20" s="1308" t="s">
        <v>189</v>
      </c>
      <c r="F20" s="1308"/>
      <c r="G20" s="228" t="s">
        <v>94</v>
      </c>
      <c r="H20" s="229">
        <f>L19</f>
        <v>0</v>
      </c>
      <c r="I20" s="232"/>
      <c r="J20" s="230"/>
    </row>
    <row r="21" spans="1:12" s="231" customFormat="1" ht="15" customHeight="1">
      <c r="A21" s="233"/>
      <c r="B21" s="234"/>
      <c r="C21" s="235"/>
      <c r="D21" s="236"/>
      <c r="E21" s="1309" t="s">
        <v>190</v>
      </c>
      <c r="F21" s="1309"/>
      <c r="G21" s="237" t="s">
        <v>94</v>
      </c>
      <c r="H21" s="238" t="e">
        <f>H19-H20</f>
        <v>#REF!</v>
      </c>
      <c r="I21" s="1310" t="e">
        <f>ROUND(H21,0)</f>
        <v>#REF!</v>
      </c>
      <c r="J21" s="1311"/>
    </row>
    <row r="22" spans="1:12" s="196" customFormat="1" ht="38.25" customHeight="1">
      <c r="B22" s="1312" t="s">
        <v>191</v>
      </c>
      <c r="C22" s="1312"/>
      <c r="D22" s="1312"/>
      <c r="E22" s="1312"/>
      <c r="F22" s="239"/>
      <c r="G22" s="239"/>
      <c r="H22" s="1313" t="s">
        <v>192</v>
      </c>
      <c r="I22" s="1313"/>
      <c r="J22" s="1313"/>
    </row>
    <row r="23" spans="1:12" s="196" customFormat="1" ht="81.75" customHeight="1">
      <c r="B23" s="240"/>
      <c r="C23" s="241"/>
      <c r="D23" s="1314" t="s">
        <v>193</v>
      </c>
      <c r="E23" s="1314"/>
      <c r="F23" s="1305" t="s">
        <v>194</v>
      </c>
      <c r="G23" s="1305"/>
      <c r="H23" s="1305"/>
      <c r="I23" s="1305"/>
      <c r="J23" s="1305"/>
    </row>
    <row r="24" spans="1:12" s="196" customFormat="1" ht="3" customHeight="1">
      <c r="B24" s="240"/>
      <c r="C24" s="241"/>
      <c r="D24" s="1304"/>
      <c r="E24" s="1304"/>
      <c r="F24" s="241"/>
      <c r="G24" s="241"/>
      <c r="H24" s="241"/>
      <c r="I24" s="241"/>
      <c r="J24" s="241"/>
    </row>
    <row r="25" spans="1:12" s="196" customFormat="1" ht="37.5" customHeight="1">
      <c r="B25" s="240"/>
      <c r="C25" s="241"/>
      <c r="D25" s="1304" t="s">
        <v>195</v>
      </c>
      <c r="E25" s="1304"/>
      <c r="F25" s="1305" t="s">
        <v>196</v>
      </c>
      <c r="G25" s="1305"/>
      <c r="H25" s="1305"/>
      <c r="I25" s="1305"/>
      <c r="J25" s="1305"/>
    </row>
    <row r="26" spans="1:12" s="196" customFormat="1" ht="21.75" customHeight="1">
      <c r="B26" s="240"/>
      <c r="C26" s="241"/>
      <c r="D26" s="1304" t="s">
        <v>197</v>
      </c>
      <c r="E26" s="1304"/>
      <c r="F26" s="1305" t="s">
        <v>198</v>
      </c>
      <c r="G26" s="1305"/>
      <c r="H26" s="1305"/>
      <c r="I26" s="1305" t="s">
        <v>199</v>
      </c>
      <c r="J26" s="1305"/>
    </row>
    <row r="27" spans="1:12" ht="12.75" customHeight="1">
      <c r="B27" s="242"/>
      <c r="C27" s="243"/>
      <c r="D27" s="1315"/>
      <c r="E27" s="1315"/>
      <c r="F27" s="1316"/>
      <c r="G27" s="1316"/>
      <c r="H27" s="1316"/>
      <c r="I27" s="1317"/>
      <c r="J27" s="1317"/>
    </row>
    <row r="28" spans="1:12" ht="15" customHeight="1">
      <c r="B28" s="242"/>
      <c r="C28" s="243"/>
      <c r="D28" s="244"/>
      <c r="E28" s="245" t="s">
        <v>99</v>
      </c>
      <c r="F28" s="243"/>
      <c r="G28" s="243"/>
      <c r="H28" s="243"/>
      <c r="I28" s="246"/>
      <c r="J28" s="246"/>
    </row>
    <row r="29" spans="1:12" ht="12.75" customHeight="1">
      <c r="B29" s="242"/>
      <c r="C29" s="243"/>
      <c r="D29" s="244"/>
      <c r="E29" s="245" t="s">
        <v>100</v>
      </c>
      <c r="F29" s="243"/>
      <c r="G29" s="243"/>
      <c r="H29" s="243"/>
      <c r="I29" s="246"/>
      <c r="J29" s="246"/>
    </row>
    <row r="30" spans="1:12" ht="12.75" customHeight="1">
      <c r="B30" s="242"/>
      <c r="C30" s="243"/>
      <c r="D30" s="244"/>
      <c r="E30" s="245" t="s">
        <v>166</v>
      </c>
      <c r="F30" s="243"/>
      <c r="G30" s="243"/>
      <c r="H30" s="243"/>
      <c r="I30" s="246"/>
      <c r="J30" s="246"/>
    </row>
    <row r="31" spans="1:12" ht="12.75" customHeight="1">
      <c r="B31" s="242"/>
      <c r="C31" s="243"/>
      <c r="D31" s="244"/>
      <c r="E31" s="117"/>
      <c r="F31" s="243"/>
      <c r="G31" s="243"/>
      <c r="H31" s="243"/>
      <c r="I31" s="246"/>
      <c r="J31" s="246"/>
    </row>
    <row r="32" spans="1:12">
      <c r="B32" s="247"/>
      <c r="C32" s="248"/>
      <c r="D32" s="249"/>
      <c r="E32" s="248"/>
      <c r="F32" s="248"/>
      <c r="G32" s="248"/>
      <c r="H32" s="248"/>
      <c r="I32" s="248"/>
      <c r="J32" s="248"/>
    </row>
    <row r="33" spans="2:10">
      <c r="B33" s="247"/>
      <c r="C33" s="248"/>
      <c r="D33" s="249"/>
      <c r="E33" s="248"/>
      <c r="F33" s="248"/>
      <c r="G33" s="248"/>
      <c r="H33" s="248"/>
      <c r="I33" s="248"/>
      <c r="J33" s="248"/>
    </row>
    <row r="34" spans="2:10">
      <c r="B34" s="247"/>
      <c r="C34" s="248"/>
      <c r="D34" s="249"/>
      <c r="E34" s="248"/>
      <c r="F34" s="248"/>
      <c r="G34" s="248"/>
      <c r="H34" s="248"/>
      <c r="I34" s="248"/>
      <c r="J34" s="248"/>
    </row>
    <row r="35" spans="2:10">
      <c r="B35" s="247"/>
      <c r="C35" s="248"/>
      <c r="D35" s="249"/>
      <c r="E35" s="248"/>
      <c r="F35" s="248"/>
      <c r="G35" s="248"/>
      <c r="H35" s="248"/>
      <c r="I35" s="248"/>
      <c r="J35" s="248"/>
    </row>
    <row r="36" spans="2:10">
      <c r="B36" s="247"/>
      <c r="C36" s="248"/>
      <c r="D36" s="249"/>
      <c r="E36" s="248"/>
      <c r="F36" s="248"/>
      <c r="G36" s="248"/>
      <c r="H36" s="248"/>
      <c r="I36" s="248"/>
      <c r="J36" s="248"/>
    </row>
    <row r="37" spans="2:10">
      <c r="B37" s="247"/>
      <c r="C37" s="248"/>
      <c r="D37" s="249"/>
      <c r="E37" s="248"/>
      <c r="F37" s="248"/>
      <c r="G37" s="248"/>
      <c r="H37" s="248"/>
      <c r="I37" s="248"/>
      <c r="J37" s="248"/>
    </row>
    <row r="38" spans="2:10">
      <c r="B38" s="247"/>
      <c r="C38" s="248"/>
      <c r="D38" s="249"/>
      <c r="E38" s="248"/>
      <c r="F38" s="248"/>
      <c r="G38" s="248"/>
      <c r="H38" s="248"/>
      <c r="I38" s="248"/>
      <c r="J38" s="248"/>
    </row>
    <row r="39" spans="2:10">
      <c r="B39" s="247"/>
      <c r="C39" s="248"/>
      <c r="D39" s="249"/>
      <c r="E39" s="248"/>
      <c r="F39" s="248"/>
      <c r="G39" s="248"/>
      <c r="H39" s="248"/>
      <c r="I39" s="248"/>
      <c r="J39" s="248"/>
    </row>
    <row r="40" spans="2:10">
      <c r="B40" s="247"/>
      <c r="C40" s="248"/>
      <c r="D40" s="249"/>
      <c r="E40" s="248"/>
      <c r="F40" s="248"/>
      <c r="G40" s="248"/>
      <c r="H40" s="248"/>
      <c r="I40" s="248"/>
      <c r="J40" s="248"/>
    </row>
    <row r="41" spans="2:10">
      <c r="B41" s="247"/>
      <c r="C41" s="248"/>
      <c r="D41" s="249"/>
      <c r="E41" s="248"/>
      <c r="F41" s="248"/>
      <c r="G41" s="248"/>
      <c r="H41" s="248"/>
      <c r="I41" s="248"/>
      <c r="J41" s="248"/>
    </row>
    <row r="42" spans="2:10">
      <c r="B42" s="247"/>
      <c r="C42" s="248"/>
      <c r="D42" s="249"/>
      <c r="E42" s="248"/>
      <c r="F42" s="248"/>
      <c r="G42" s="248"/>
      <c r="H42" s="248"/>
      <c r="I42" s="248"/>
      <c r="J42" s="248"/>
    </row>
    <row r="43" spans="2:10">
      <c r="B43" s="247"/>
      <c r="C43" s="248"/>
      <c r="D43" s="249"/>
      <c r="E43" s="248"/>
      <c r="F43" s="248"/>
      <c r="G43" s="248"/>
      <c r="H43" s="248"/>
      <c r="I43" s="248"/>
      <c r="J43" s="248"/>
    </row>
    <row r="44" spans="2:10">
      <c r="B44" s="247"/>
      <c r="C44" s="248"/>
      <c r="D44" s="249"/>
      <c r="E44" s="248"/>
      <c r="F44" s="248"/>
      <c r="G44" s="248"/>
      <c r="H44" s="248"/>
      <c r="I44" s="248"/>
      <c r="J44" s="248"/>
    </row>
    <row r="45" spans="2:10">
      <c r="B45" s="247"/>
      <c r="C45" s="248"/>
      <c r="D45" s="249"/>
      <c r="E45" s="248"/>
      <c r="F45" s="248"/>
      <c r="G45" s="248"/>
      <c r="H45" s="248"/>
      <c r="I45" s="248"/>
      <c r="J45" s="248"/>
    </row>
    <row r="46" spans="2:10">
      <c r="B46" s="247"/>
      <c r="C46" s="248"/>
      <c r="D46" s="249"/>
      <c r="E46" s="248"/>
      <c r="F46" s="248"/>
      <c r="G46" s="248"/>
      <c r="H46" s="248"/>
      <c r="I46" s="248"/>
      <c r="J46" s="248"/>
    </row>
    <row r="47" spans="2:10">
      <c r="B47" s="247"/>
      <c r="C47" s="248"/>
      <c r="D47" s="249"/>
      <c r="E47" s="248"/>
      <c r="F47" s="248"/>
      <c r="G47" s="248"/>
      <c r="H47" s="248"/>
      <c r="I47" s="248"/>
      <c r="J47" s="248"/>
    </row>
    <row r="48" spans="2:10">
      <c r="B48" s="247"/>
      <c r="C48" s="248"/>
      <c r="D48" s="249"/>
      <c r="E48" s="248"/>
      <c r="F48" s="248"/>
      <c r="G48" s="248"/>
      <c r="H48" s="248"/>
      <c r="I48" s="248"/>
      <c r="J48" s="248"/>
    </row>
    <row r="49" spans="2:10">
      <c r="B49" s="247"/>
      <c r="C49" s="248"/>
      <c r="D49" s="249"/>
      <c r="E49" s="248"/>
      <c r="F49" s="248"/>
      <c r="G49" s="248"/>
      <c r="H49" s="248"/>
      <c r="I49" s="248"/>
      <c r="J49" s="248"/>
    </row>
    <row r="50" spans="2:10">
      <c r="B50" s="247"/>
      <c r="C50" s="248"/>
      <c r="D50" s="249"/>
      <c r="E50" s="248"/>
      <c r="F50" s="248"/>
      <c r="G50" s="248"/>
      <c r="H50" s="248"/>
      <c r="I50" s="248"/>
      <c r="J50" s="248"/>
    </row>
    <row r="51" spans="2:10">
      <c r="B51" s="247"/>
      <c r="C51" s="248"/>
      <c r="D51" s="249"/>
      <c r="E51" s="248"/>
      <c r="F51" s="248"/>
      <c r="G51" s="248"/>
      <c r="H51" s="248"/>
      <c r="I51" s="248"/>
      <c r="J51" s="248"/>
    </row>
    <row r="52" spans="2:10">
      <c r="B52" s="247"/>
      <c r="C52" s="248"/>
      <c r="D52" s="249"/>
      <c r="E52" s="248"/>
      <c r="F52" s="248"/>
      <c r="G52" s="248"/>
      <c r="H52" s="248"/>
      <c r="I52" s="248"/>
      <c r="J52" s="248"/>
    </row>
    <row r="53" spans="2:10">
      <c r="B53" s="247"/>
      <c r="C53" s="248"/>
      <c r="D53" s="249"/>
      <c r="E53" s="248"/>
      <c r="F53" s="248"/>
      <c r="G53" s="248"/>
      <c r="H53" s="248"/>
      <c r="I53" s="248"/>
      <c r="J53" s="248"/>
    </row>
    <row r="54" spans="2:10">
      <c r="B54" s="247"/>
      <c r="C54" s="248"/>
      <c r="D54" s="249"/>
      <c r="E54" s="248"/>
      <c r="F54" s="248"/>
      <c r="G54" s="248"/>
      <c r="H54" s="248"/>
      <c r="I54" s="248"/>
      <c r="J54" s="248"/>
    </row>
    <row r="55" spans="2:10">
      <c r="B55" s="247"/>
      <c r="C55" s="248"/>
      <c r="D55" s="249"/>
      <c r="E55" s="248"/>
      <c r="F55" s="248"/>
      <c r="G55" s="248"/>
      <c r="H55" s="248"/>
      <c r="I55" s="248"/>
      <c r="J55" s="248"/>
    </row>
    <row r="56" spans="2:10">
      <c r="B56" s="247"/>
      <c r="C56" s="248"/>
      <c r="D56" s="249"/>
      <c r="E56" s="248"/>
      <c r="F56" s="248"/>
      <c r="G56" s="248"/>
      <c r="H56" s="248"/>
      <c r="I56" s="248"/>
      <c r="J56" s="248"/>
    </row>
    <row r="57" spans="2:10">
      <c r="B57" s="247"/>
      <c r="C57" s="248"/>
      <c r="D57" s="249"/>
      <c r="E57" s="248"/>
      <c r="F57" s="248"/>
      <c r="G57" s="248"/>
      <c r="H57" s="248"/>
      <c r="I57" s="248"/>
      <c r="J57" s="248"/>
    </row>
    <row r="58" spans="2:10">
      <c r="B58" s="247"/>
      <c r="C58" s="248"/>
      <c r="D58" s="249"/>
      <c r="E58" s="248"/>
      <c r="F58" s="248"/>
      <c r="G58" s="248"/>
      <c r="H58" s="248"/>
      <c r="I58" s="248"/>
      <c r="J58" s="248"/>
    </row>
    <row r="59" spans="2:10">
      <c r="B59" s="247"/>
      <c r="C59" s="248"/>
      <c r="D59" s="249"/>
      <c r="E59" s="248"/>
      <c r="F59" s="248"/>
      <c r="G59" s="248"/>
      <c r="H59" s="248"/>
      <c r="I59" s="248"/>
      <c r="J59" s="248"/>
    </row>
    <row r="60" spans="2:10">
      <c r="B60" s="247"/>
      <c r="C60" s="248"/>
      <c r="D60" s="249"/>
      <c r="E60" s="248"/>
      <c r="F60" s="248"/>
      <c r="G60" s="248"/>
      <c r="H60" s="248"/>
      <c r="I60" s="248"/>
      <c r="J60" s="248"/>
    </row>
    <row r="61" spans="2:10">
      <c r="B61" s="247"/>
      <c r="C61" s="248"/>
      <c r="D61" s="249"/>
      <c r="E61" s="248"/>
      <c r="F61" s="248"/>
      <c r="G61" s="248"/>
      <c r="H61" s="248"/>
      <c r="I61" s="248"/>
      <c r="J61" s="248"/>
    </row>
    <row r="62" spans="2:10">
      <c r="B62" s="247"/>
      <c r="C62" s="248"/>
      <c r="D62" s="249"/>
      <c r="E62" s="248"/>
      <c r="F62" s="248"/>
      <c r="G62" s="248"/>
      <c r="H62" s="248"/>
      <c r="I62" s="248"/>
      <c r="J62" s="248"/>
    </row>
    <row r="63" spans="2:10">
      <c r="B63" s="247"/>
      <c r="C63" s="248"/>
      <c r="D63" s="249"/>
      <c r="E63" s="248"/>
      <c r="F63" s="248"/>
      <c r="G63" s="248"/>
      <c r="H63" s="248"/>
      <c r="I63" s="248"/>
      <c r="J63" s="248"/>
    </row>
    <row r="64" spans="2:10">
      <c r="B64" s="247"/>
      <c r="C64" s="248"/>
      <c r="D64" s="249"/>
      <c r="E64" s="248"/>
      <c r="F64" s="248"/>
      <c r="G64" s="248"/>
      <c r="H64" s="248"/>
      <c r="I64" s="248"/>
      <c r="J64" s="248"/>
    </row>
    <row r="65" spans="2:10">
      <c r="B65" s="247"/>
      <c r="C65" s="248"/>
      <c r="D65" s="249"/>
      <c r="E65" s="248"/>
      <c r="F65" s="248"/>
      <c r="G65" s="248"/>
      <c r="H65" s="248"/>
      <c r="I65" s="248"/>
      <c r="J65" s="248"/>
    </row>
    <row r="66" spans="2:10">
      <c r="B66" s="247"/>
      <c r="C66" s="248"/>
      <c r="D66" s="249"/>
      <c r="E66" s="248"/>
      <c r="F66" s="248"/>
      <c r="G66" s="248"/>
      <c r="H66" s="248"/>
      <c r="I66" s="248"/>
      <c r="J66" s="248"/>
    </row>
    <row r="67" spans="2:10">
      <c r="B67" s="247"/>
      <c r="C67" s="248"/>
      <c r="D67" s="249"/>
      <c r="E67" s="248"/>
      <c r="F67" s="248"/>
      <c r="G67" s="248"/>
      <c r="H67" s="248"/>
      <c r="I67" s="248"/>
      <c r="J67" s="248"/>
    </row>
    <row r="68" spans="2:10">
      <c r="B68" s="247"/>
      <c r="C68" s="248"/>
      <c r="D68" s="249"/>
      <c r="E68" s="248"/>
      <c r="F68" s="248"/>
      <c r="G68" s="248"/>
      <c r="H68" s="248"/>
      <c r="I68" s="248"/>
      <c r="J68" s="248"/>
    </row>
    <row r="69" spans="2:10">
      <c r="B69" s="247"/>
      <c r="C69" s="248"/>
      <c r="D69" s="249"/>
      <c r="E69" s="248"/>
      <c r="F69" s="248"/>
      <c r="G69" s="248"/>
      <c r="H69" s="248"/>
      <c r="I69" s="248"/>
      <c r="J69" s="248"/>
    </row>
    <row r="70" spans="2:10">
      <c r="B70" s="247"/>
      <c r="C70" s="248"/>
      <c r="D70" s="249"/>
      <c r="E70" s="248"/>
      <c r="F70" s="248"/>
      <c r="G70" s="248"/>
      <c r="H70" s="248"/>
      <c r="I70" s="248"/>
      <c r="J70" s="248"/>
    </row>
    <row r="71" spans="2:10">
      <c r="B71" s="247"/>
      <c r="C71" s="248"/>
      <c r="D71" s="249"/>
      <c r="E71" s="248"/>
      <c r="F71" s="248"/>
      <c r="G71" s="248"/>
      <c r="H71" s="248"/>
      <c r="I71" s="248"/>
      <c r="J71" s="248"/>
    </row>
    <row r="72" spans="2:10">
      <c r="B72" s="247"/>
      <c r="C72" s="248"/>
      <c r="D72" s="249"/>
      <c r="E72" s="248"/>
      <c r="F72" s="248"/>
      <c r="G72" s="248"/>
      <c r="H72" s="248"/>
      <c r="I72" s="248"/>
      <c r="J72" s="248"/>
    </row>
    <row r="73" spans="2:10">
      <c r="B73" s="247"/>
      <c r="C73" s="248"/>
      <c r="D73" s="249"/>
      <c r="E73" s="248"/>
      <c r="F73" s="248"/>
      <c r="G73" s="248"/>
      <c r="H73" s="248"/>
      <c r="I73" s="248"/>
      <c r="J73" s="248"/>
    </row>
    <row r="74" spans="2:10">
      <c r="B74" s="247"/>
      <c r="C74" s="248"/>
      <c r="D74" s="249"/>
      <c r="E74" s="248"/>
      <c r="F74" s="248"/>
      <c r="G74" s="248"/>
      <c r="H74" s="248"/>
      <c r="I74" s="248"/>
      <c r="J74" s="248"/>
    </row>
    <row r="75" spans="2:10">
      <c r="B75" s="247"/>
      <c r="C75" s="248"/>
      <c r="D75" s="249"/>
      <c r="E75" s="248"/>
      <c r="F75" s="248"/>
      <c r="G75" s="248"/>
      <c r="H75" s="248"/>
      <c r="I75" s="248"/>
      <c r="J75" s="248"/>
    </row>
    <row r="76" spans="2:10">
      <c r="B76" s="247"/>
      <c r="C76" s="248"/>
      <c r="D76" s="249"/>
      <c r="E76" s="248"/>
      <c r="F76" s="248"/>
      <c r="G76" s="248"/>
      <c r="H76" s="248"/>
      <c r="I76" s="248"/>
      <c r="J76" s="248"/>
    </row>
    <row r="77" spans="2:10">
      <c r="B77" s="247"/>
      <c r="C77" s="248"/>
      <c r="D77" s="249"/>
      <c r="E77" s="248"/>
      <c r="F77" s="248"/>
      <c r="G77" s="248"/>
      <c r="H77" s="248"/>
      <c r="I77" s="248"/>
      <c r="J77" s="248"/>
    </row>
    <row r="78" spans="2:10">
      <c r="B78" s="247"/>
      <c r="C78" s="248"/>
      <c r="D78" s="249"/>
      <c r="E78" s="248"/>
      <c r="F78" s="248"/>
      <c r="G78" s="248"/>
      <c r="H78" s="248"/>
      <c r="I78" s="248"/>
      <c r="J78" s="248"/>
    </row>
    <row r="79" spans="2:10">
      <c r="B79" s="247"/>
      <c r="C79" s="248"/>
      <c r="D79" s="249"/>
      <c r="E79" s="248"/>
      <c r="F79" s="248"/>
      <c r="G79" s="248"/>
      <c r="H79" s="248"/>
      <c r="I79" s="248"/>
      <c r="J79" s="248"/>
    </row>
    <row r="80" spans="2:10">
      <c r="B80" s="247"/>
      <c r="C80" s="248"/>
      <c r="D80" s="249"/>
      <c r="E80" s="248"/>
      <c r="F80" s="248"/>
      <c r="G80" s="248"/>
      <c r="H80" s="248"/>
      <c r="I80" s="248"/>
      <c r="J80" s="248"/>
    </row>
    <row r="81" spans="2:10">
      <c r="B81" s="247"/>
      <c r="C81" s="248"/>
      <c r="D81" s="249"/>
      <c r="E81" s="248"/>
      <c r="F81" s="248"/>
      <c r="G81" s="248"/>
      <c r="H81" s="248"/>
      <c r="I81" s="248"/>
      <c r="J81" s="248"/>
    </row>
    <row r="82" spans="2:10">
      <c r="B82" s="247"/>
      <c r="C82" s="248"/>
      <c r="D82" s="249"/>
      <c r="E82" s="248"/>
      <c r="F82" s="248"/>
      <c r="G82" s="248"/>
      <c r="H82" s="248"/>
      <c r="I82" s="248"/>
      <c r="J82" s="248"/>
    </row>
    <row r="83" spans="2:10">
      <c r="B83" s="247"/>
      <c r="C83" s="248"/>
      <c r="D83" s="249"/>
      <c r="E83" s="248"/>
      <c r="F83" s="248"/>
      <c r="G83" s="248"/>
      <c r="H83" s="248"/>
      <c r="I83" s="248"/>
      <c r="J83" s="248"/>
    </row>
    <row r="84" spans="2:10">
      <c r="B84" s="247"/>
      <c r="C84" s="248"/>
      <c r="D84" s="249"/>
      <c r="E84" s="248"/>
      <c r="F84" s="248"/>
      <c r="G84" s="248"/>
      <c r="H84" s="248"/>
      <c r="I84" s="248"/>
      <c r="J84" s="248"/>
    </row>
    <row r="85" spans="2:10">
      <c r="B85" s="247"/>
      <c r="C85" s="248"/>
      <c r="D85" s="249"/>
      <c r="E85" s="248"/>
      <c r="F85" s="248"/>
      <c r="G85" s="248"/>
      <c r="H85" s="248"/>
      <c r="I85" s="248"/>
      <c r="J85" s="248"/>
    </row>
    <row r="86" spans="2:10">
      <c r="B86" s="247"/>
      <c r="C86" s="248"/>
      <c r="D86" s="249"/>
      <c r="E86" s="248"/>
      <c r="F86" s="248"/>
      <c r="G86" s="248"/>
      <c r="H86" s="248"/>
      <c r="I86" s="248"/>
      <c r="J86" s="248"/>
    </row>
    <row r="87" spans="2:10">
      <c r="B87" s="247"/>
      <c r="C87" s="248"/>
      <c r="D87" s="249"/>
      <c r="E87" s="248"/>
      <c r="F87" s="248"/>
      <c r="G87" s="248"/>
      <c r="H87" s="248"/>
      <c r="I87" s="248"/>
      <c r="J87" s="248"/>
    </row>
    <row r="88" spans="2:10">
      <c r="B88" s="247"/>
      <c r="C88" s="248"/>
      <c r="D88" s="249"/>
      <c r="E88" s="248"/>
      <c r="F88" s="248"/>
      <c r="G88" s="248"/>
      <c r="H88" s="248"/>
      <c r="I88" s="248"/>
      <c r="J88" s="248"/>
    </row>
    <row r="89" spans="2:10">
      <c r="B89" s="247"/>
      <c r="C89" s="248"/>
      <c r="D89" s="249"/>
      <c r="E89" s="248"/>
      <c r="F89" s="248"/>
      <c r="G89" s="248"/>
      <c r="H89" s="248"/>
      <c r="I89" s="248"/>
      <c r="J89" s="248"/>
    </row>
    <row r="90" spans="2:10">
      <c r="B90" s="247"/>
      <c r="C90" s="248"/>
      <c r="D90" s="249"/>
      <c r="E90" s="248"/>
      <c r="F90" s="248"/>
      <c r="G90" s="248"/>
      <c r="H90" s="248"/>
      <c r="I90" s="248"/>
      <c r="J90" s="248"/>
    </row>
    <row r="91" spans="2:10">
      <c r="B91" s="247"/>
      <c r="C91" s="248"/>
      <c r="D91" s="249"/>
      <c r="E91" s="248"/>
      <c r="F91" s="248"/>
      <c r="G91" s="248"/>
      <c r="H91" s="248"/>
      <c r="I91" s="248"/>
      <c r="J91" s="248"/>
    </row>
    <row r="92" spans="2:10">
      <c r="B92" s="247"/>
      <c r="C92" s="248"/>
      <c r="D92" s="249"/>
      <c r="E92" s="248"/>
      <c r="F92" s="248"/>
      <c r="G92" s="248"/>
      <c r="H92" s="248"/>
      <c r="I92" s="248"/>
      <c r="J92" s="248"/>
    </row>
    <row r="93" spans="2:10">
      <c r="B93" s="247"/>
      <c r="C93" s="248"/>
      <c r="D93" s="249"/>
      <c r="E93" s="248"/>
      <c r="F93" s="248"/>
      <c r="G93" s="248"/>
      <c r="H93" s="248"/>
      <c r="I93" s="248"/>
      <c r="J93" s="248"/>
    </row>
    <row r="94" spans="2:10">
      <c r="B94" s="247"/>
      <c r="C94" s="248"/>
      <c r="D94" s="249"/>
      <c r="E94" s="248"/>
      <c r="F94" s="248"/>
      <c r="G94" s="248"/>
      <c r="H94" s="248"/>
      <c r="I94" s="248"/>
      <c r="J94" s="248"/>
    </row>
    <row r="95" spans="2:10">
      <c r="B95" s="247"/>
      <c r="C95" s="248"/>
      <c r="D95" s="249"/>
      <c r="E95" s="248"/>
      <c r="F95" s="248"/>
      <c r="G95" s="248"/>
      <c r="H95" s="248"/>
      <c r="I95" s="248"/>
      <c r="J95" s="248"/>
    </row>
    <row r="96" spans="2:10">
      <c r="B96" s="247"/>
      <c r="C96" s="248"/>
      <c r="D96" s="249"/>
      <c r="E96" s="248"/>
      <c r="F96" s="248"/>
      <c r="G96" s="248"/>
      <c r="H96" s="248"/>
      <c r="I96" s="248"/>
      <c r="J96" s="248"/>
    </row>
    <row r="97" spans="2:10">
      <c r="B97" s="247"/>
      <c r="C97" s="248"/>
      <c r="D97" s="249"/>
      <c r="E97" s="248"/>
      <c r="F97" s="248"/>
      <c r="G97" s="248"/>
      <c r="H97" s="248"/>
      <c r="I97" s="248"/>
      <c r="J97" s="248"/>
    </row>
    <row r="98" spans="2:10">
      <c r="B98" s="247"/>
      <c r="C98" s="248"/>
      <c r="D98" s="249"/>
      <c r="E98" s="248"/>
      <c r="F98" s="248"/>
      <c r="G98" s="248"/>
      <c r="H98" s="248"/>
      <c r="I98" s="248"/>
      <c r="J98" s="248"/>
    </row>
    <row r="99" spans="2:10">
      <c r="B99" s="247"/>
      <c r="C99" s="248"/>
      <c r="D99" s="249"/>
      <c r="E99" s="248"/>
      <c r="F99" s="248"/>
      <c r="G99" s="248"/>
      <c r="H99" s="248"/>
      <c r="I99" s="248"/>
      <c r="J99" s="248"/>
    </row>
    <row r="100" spans="2:10">
      <c r="B100" s="247"/>
      <c r="C100" s="248"/>
      <c r="D100" s="249"/>
      <c r="E100" s="248"/>
      <c r="F100" s="248"/>
      <c r="G100" s="248"/>
      <c r="H100" s="248"/>
      <c r="I100" s="248"/>
      <c r="J100" s="248"/>
    </row>
    <row r="101" spans="2:10">
      <c r="B101" s="247"/>
      <c r="C101" s="248"/>
      <c r="D101" s="249"/>
      <c r="E101" s="248"/>
      <c r="F101" s="248"/>
      <c r="G101" s="248"/>
      <c r="H101" s="248"/>
      <c r="I101" s="248"/>
      <c r="J101" s="248"/>
    </row>
    <row r="102" spans="2:10">
      <c r="B102" s="247"/>
      <c r="C102" s="248"/>
      <c r="D102" s="249"/>
      <c r="E102" s="248"/>
      <c r="F102" s="248"/>
      <c r="G102" s="248"/>
      <c r="H102" s="248"/>
      <c r="I102" s="248"/>
      <c r="J102" s="248"/>
    </row>
    <row r="103" spans="2:10">
      <c r="B103" s="247"/>
      <c r="C103" s="248"/>
      <c r="D103" s="249"/>
      <c r="E103" s="248"/>
      <c r="F103" s="248"/>
      <c r="G103" s="248"/>
      <c r="H103" s="248"/>
      <c r="I103" s="248"/>
      <c r="J103" s="248"/>
    </row>
    <row r="104" spans="2:10">
      <c r="B104" s="247"/>
      <c r="C104" s="248"/>
      <c r="D104" s="249"/>
      <c r="E104" s="248"/>
      <c r="F104" s="248"/>
      <c r="G104" s="248"/>
      <c r="H104" s="248"/>
      <c r="I104" s="248"/>
      <c r="J104" s="248"/>
    </row>
    <row r="105" spans="2:10">
      <c r="B105" s="247"/>
      <c r="C105" s="248"/>
      <c r="D105" s="249"/>
      <c r="E105" s="248"/>
      <c r="F105" s="248"/>
      <c r="G105" s="248"/>
      <c r="H105" s="248"/>
      <c r="I105" s="248"/>
      <c r="J105" s="248"/>
    </row>
    <row r="106" spans="2:10">
      <c r="B106" s="247"/>
      <c r="C106" s="248"/>
      <c r="D106" s="249"/>
      <c r="E106" s="248"/>
      <c r="F106" s="248"/>
      <c r="G106" s="248"/>
      <c r="H106" s="248"/>
      <c r="I106" s="248"/>
      <c r="J106" s="248"/>
    </row>
    <row r="107" spans="2:10">
      <c r="B107" s="247"/>
      <c r="C107" s="248"/>
      <c r="D107" s="249"/>
      <c r="E107" s="248"/>
      <c r="F107" s="248"/>
      <c r="G107" s="248"/>
      <c r="H107" s="248"/>
      <c r="I107" s="248"/>
      <c r="J107" s="248"/>
    </row>
    <row r="108" spans="2:10">
      <c r="B108" s="247"/>
      <c r="C108" s="248"/>
      <c r="D108" s="249"/>
      <c r="E108" s="248"/>
      <c r="F108" s="248"/>
      <c r="G108" s="248"/>
      <c r="H108" s="248"/>
      <c r="I108" s="248"/>
      <c r="J108" s="248"/>
    </row>
    <row r="109" spans="2:10">
      <c r="B109" s="247"/>
      <c r="C109" s="248"/>
      <c r="D109" s="249"/>
      <c r="E109" s="248"/>
      <c r="F109" s="248"/>
      <c r="G109" s="248"/>
      <c r="H109" s="248"/>
      <c r="I109" s="248"/>
      <c r="J109" s="248"/>
    </row>
    <row r="110" spans="2:10">
      <c r="B110" s="247"/>
      <c r="C110" s="248"/>
      <c r="D110" s="249"/>
      <c r="E110" s="248"/>
      <c r="F110" s="248"/>
      <c r="G110" s="248"/>
      <c r="H110" s="248"/>
      <c r="I110" s="248"/>
      <c r="J110" s="248"/>
    </row>
    <row r="111" spans="2:10">
      <c r="B111" s="247"/>
      <c r="C111" s="248"/>
      <c r="D111" s="249"/>
      <c r="E111" s="248"/>
      <c r="F111" s="248"/>
      <c r="G111" s="248"/>
      <c r="H111" s="248"/>
      <c r="I111" s="248"/>
      <c r="J111" s="248"/>
    </row>
    <row r="112" spans="2:10">
      <c r="B112" s="247"/>
      <c r="C112" s="248"/>
      <c r="D112" s="249"/>
      <c r="E112" s="248"/>
      <c r="F112" s="248"/>
      <c r="G112" s="248"/>
      <c r="H112" s="248"/>
      <c r="I112" s="248"/>
      <c r="J112" s="248"/>
    </row>
    <row r="113" spans="2:10">
      <c r="B113" s="247"/>
      <c r="C113" s="248"/>
      <c r="D113" s="249"/>
      <c r="E113" s="248"/>
      <c r="F113" s="248"/>
      <c r="G113" s="248"/>
      <c r="H113" s="248"/>
      <c r="I113" s="248"/>
      <c r="J113" s="248"/>
    </row>
    <row r="114" spans="2:10">
      <c r="B114" s="247"/>
      <c r="C114" s="248"/>
      <c r="D114" s="249"/>
      <c r="E114" s="248"/>
      <c r="F114" s="248"/>
      <c r="G114" s="248"/>
      <c r="H114" s="248"/>
      <c r="I114" s="248"/>
      <c r="J114" s="248"/>
    </row>
    <row r="115" spans="2:10">
      <c r="B115" s="247"/>
      <c r="C115" s="248"/>
      <c r="D115" s="249"/>
      <c r="E115" s="248"/>
      <c r="F115" s="248"/>
      <c r="G115" s="248"/>
      <c r="H115" s="248"/>
      <c r="I115" s="248"/>
      <c r="J115" s="248"/>
    </row>
    <row r="116" spans="2:10">
      <c r="B116" s="247"/>
      <c r="C116" s="248"/>
      <c r="D116" s="249"/>
      <c r="E116" s="248"/>
      <c r="F116" s="248"/>
      <c r="G116" s="248"/>
      <c r="H116" s="248"/>
      <c r="I116" s="248"/>
      <c r="J116" s="248"/>
    </row>
    <row r="117" spans="2:10">
      <c r="B117" s="247"/>
      <c r="C117" s="248"/>
      <c r="D117" s="249"/>
      <c r="E117" s="248"/>
      <c r="F117" s="248"/>
      <c r="G117" s="248"/>
      <c r="H117" s="248"/>
      <c r="I117" s="248"/>
      <c r="J117" s="248"/>
    </row>
    <row r="118" spans="2:10">
      <c r="B118" s="247"/>
      <c r="C118" s="248"/>
      <c r="D118" s="249"/>
      <c r="E118" s="248"/>
      <c r="F118" s="248"/>
      <c r="G118" s="248"/>
      <c r="H118" s="248"/>
      <c r="I118" s="248"/>
      <c r="J118" s="248"/>
    </row>
    <row r="119" spans="2:10">
      <c r="B119" s="247"/>
      <c r="C119" s="248"/>
      <c r="D119" s="249"/>
      <c r="E119" s="248"/>
      <c r="F119" s="248"/>
      <c r="G119" s="248"/>
      <c r="H119" s="248"/>
      <c r="I119" s="248"/>
      <c r="J119" s="248"/>
    </row>
    <row r="120" spans="2:10">
      <c r="B120" s="247"/>
      <c r="C120" s="248"/>
      <c r="D120" s="249"/>
      <c r="E120" s="248"/>
      <c r="F120" s="248"/>
      <c r="G120" s="248"/>
      <c r="H120" s="248"/>
      <c r="I120" s="248"/>
      <c r="J120" s="248"/>
    </row>
    <row r="121" spans="2:10">
      <c r="B121" s="247"/>
      <c r="C121" s="248"/>
      <c r="D121" s="249"/>
      <c r="E121" s="248"/>
      <c r="F121" s="248"/>
      <c r="G121" s="248"/>
      <c r="H121" s="248"/>
      <c r="I121" s="248"/>
      <c r="J121" s="248"/>
    </row>
    <row r="122" spans="2:10">
      <c r="B122" s="247"/>
      <c r="C122" s="248"/>
      <c r="D122" s="249"/>
      <c r="E122" s="248"/>
      <c r="F122" s="248"/>
      <c r="G122" s="248"/>
      <c r="H122" s="248"/>
      <c r="I122" s="248"/>
      <c r="J122" s="248"/>
    </row>
    <row r="123" spans="2:10">
      <c r="B123" s="247"/>
      <c r="C123" s="248"/>
      <c r="D123" s="249"/>
      <c r="E123" s="248"/>
      <c r="F123" s="248"/>
      <c r="G123" s="248"/>
      <c r="H123" s="248"/>
      <c r="I123" s="248"/>
      <c r="J123" s="248"/>
    </row>
    <row r="124" spans="2:10">
      <c r="B124" s="247"/>
      <c r="C124" s="248"/>
      <c r="D124" s="249"/>
      <c r="E124" s="248"/>
      <c r="F124" s="248"/>
      <c r="G124" s="248"/>
      <c r="H124" s="248"/>
      <c r="I124" s="248"/>
      <c r="J124" s="248"/>
    </row>
    <row r="125" spans="2:10">
      <c r="B125" s="247"/>
      <c r="C125" s="248"/>
      <c r="D125" s="249"/>
      <c r="E125" s="248"/>
      <c r="F125" s="248"/>
      <c r="G125" s="248"/>
      <c r="H125" s="248"/>
      <c r="I125" s="248"/>
      <c r="J125" s="248"/>
    </row>
    <row r="126" spans="2:10">
      <c r="B126" s="247"/>
      <c r="C126" s="248"/>
      <c r="D126" s="249"/>
      <c r="E126" s="248"/>
      <c r="F126" s="248"/>
      <c r="G126" s="248"/>
      <c r="H126" s="248"/>
      <c r="I126" s="248"/>
      <c r="J126" s="248"/>
    </row>
    <row r="127" spans="2:10">
      <c r="B127" s="247"/>
      <c r="C127" s="248"/>
      <c r="D127" s="249"/>
      <c r="E127" s="248"/>
      <c r="F127" s="248"/>
      <c r="G127" s="248"/>
      <c r="H127" s="248"/>
      <c r="I127" s="248"/>
      <c r="J127" s="248"/>
    </row>
    <row r="128" spans="2:10">
      <c r="B128" s="247"/>
      <c r="C128" s="248"/>
      <c r="D128" s="249"/>
      <c r="E128" s="248"/>
      <c r="F128" s="248"/>
      <c r="G128" s="248"/>
      <c r="H128" s="248"/>
      <c r="I128" s="248"/>
      <c r="J128" s="248"/>
    </row>
    <row r="129" spans="2:10">
      <c r="B129" s="247"/>
      <c r="C129" s="248"/>
      <c r="D129" s="249"/>
      <c r="E129" s="248"/>
      <c r="F129" s="248"/>
      <c r="G129" s="248"/>
      <c r="H129" s="248"/>
      <c r="I129" s="248"/>
      <c r="J129" s="248"/>
    </row>
    <row r="130" spans="2:10">
      <c r="B130" s="247"/>
      <c r="C130" s="248"/>
      <c r="D130" s="249"/>
      <c r="E130" s="248"/>
      <c r="F130" s="248"/>
      <c r="G130" s="248"/>
      <c r="H130" s="248"/>
      <c r="I130" s="248"/>
      <c r="J130" s="248"/>
    </row>
    <row r="131" spans="2:10">
      <c r="B131" s="247"/>
      <c r="C131" s="248"/>
      <c r="D131" s="249"/>
      <c r="E131" s="248"/>
      <c r="F131" s="248"/>
      <c r="G131" s="248"/>
      <c r="H131" s="248"/>
      <c r="I131" s="248"/>
      <c r="J131" s="248"/>
    </row>
    <row r="132" spans="2:10">
      <c r="B132" s="247"/>
      <c r="C132" s="248"/>
      <c r="D132" s="249"/>
      <c r="E132" s="248"/>
      <c r="F132" s="248"/>
      <c r="G132" s="248"/>
      <c r="H132" s="248"/>
      <c r="I132" s="248"/>
      <c r="J132" s="248"/>
    </row>
    <row r="133" spans="2:10">
      <c r="B133" s="247"/>
      <c r="C133" s="248"/>
      <c r="D133" s="249"/>
      <c r="E133" s="248"/>
      <c r="F133" s="248"/>
      <c r="G133" s="248"/>
      <c r="H133" s="248"/>
      <c r="I133" s="248"/>
      <c r="J133" s="248"/>
    </row>
    <row r="134" spans="2:10">
      <c r="B134" s="247"/>
      <c r="C134" s="248"/>
      <c r="D134" s="249"/>
      <c r="E134" s="248"/>
      <c r="F134" s="248"/>
      <c r="G134" s="248"/>
      <c r="H134" s="248"/>
      <c r="I134" s="248"/>
      <c r="J134" s="248"/>
    </row>
    <row r="135" spans="2:10">
      <c r="B135" s="247"/>
      <c r="C135" s="248"/>
      <c r="D135" s="249"/>
      <c r="E135" s="248"/>
      <c r="F135" s="248"/>
      <c r="G135" s="248"/>
      <c r="H135" s="248"/>
      <c r="I135" s="248"/>
      <c r="J135" s="248"/>
    </row>
    <row r="136" spans="2:10">
      <c r="B136" s="247"/>
      <c r="C136" s="248"/>
      <c r="D136" s="249"/>
      <c r="E136" s="248"/>
      <c r="F136" s="248"/>
      <c r="G136" s="248"/>
      <c r="H136" s="248"/>
      <c r="I136" s="248"/>
      <c r="J136" s="248"/>
    </row>
    <row r="137" spans="2:10">
      <c r="B137" s="247"/>
      <c r="C137" s="248"/>
      <c r="D137" s="249"/>
      <c r="E137" s="248"/>
      <c r="F137" s="248"/>
      <c r="G137" s="248"/>
      <c r="H137" s="248"/>
      <c r="I137" s="248"/>
      <c r="J137" s="248"/>
    </row>
    <row r="138" spans="2:10">
      <c r="B138" s="247"/>
      <c r="C138" s="248"/>
      <c r="D138" s="249"/>
      <c r="E138" s="248"/>
      <c r="F138" s="248"/>
      <c r="G138" s="248"/>
      <c r="H138" s="248"/>
      <c r="I138" s="248"/>
      <c r="J138" s="248"/>
    </row>
    <row r="139" spans="2:10">
      <c r="B139" s="247"/>
      <c r="C139" s="248"/>
      <c r="D139" s="249"/>
      <c r="E139" s="248"/>
      <c r="F139" s="248"/>
      <c r="G139" s="248"/>
      <c r="H139" s="248"/>
      <c r="I139" s="248"/>
      <c r="J139" s="248"/>
    </row>
    <row r="140" spans="2:10">
      <c r="B140" s="247"/>
      <c r="C140" s="248"/>
      <c r="D140" s="249"/>
      <c r="E140" s="248"/>
      <c r="F140" s="248"/>
      <c r="G140" s="248"/>
      <c r="H140" s="248"/>
      <c r="I140" s="248"/>
      <c r="J140" s="248"/>
    </row>
    <row r="141" spans="2:10">
      <c r="B141" s="247"/>
      <c r="C141" s="248"/>
      <c r="D141" s="249"/>
      <c r="E141" s="248"/>
      <c r="F141" s="248"/>
      <c r="G141" s="248"/>
      <c r="H141" s="248"/>
      <c r="I141" s="248"/>
      <c r="J141" s="248"/>
    </row>
    <row r="142" spans="2:10">
      <c r="B142" s="247"/>
      <c r="C142" s="248"/>
      <c r="D142" s="249"/>
      <c r="E142" s="248"/>
      <c r="F142" s="248"/>
      <c r="G142" s="248"/>
      <c r="H142" s="248"/>
      <c r="I142" s="248"/>
      <c r="J142" s="248"/>
    </row>
    <row r="143" spans="2:10">
      <c r="B143" s="247"/>
      <c r="C143" s="248"/>
      <c r="D143" s="249"/>
      <c r="E143" s="248"/>
      <c r="F143" s="248"/>
      <c r="G143" s="248"/>
      <c r="H143" s="248"/>
      <c r="I143" s="248"/>
      <c r="J143" s="248"/>
    </row>
    <row r="144" spans="2:10">
      <c r="B144" s="247"/>
      <c r="C144" s="248"/>
      <c r="D144" s="249"/>
      <c r="E144" s="248"/>
      <c r="F144" s="248"/>
      <c r="G144" s="248"/>
      <c r="H144" s="248"/>
      <c r="I144" s="248"/>
      <c r="J144" s="248"/>
    </row>
    <row r="145" spans="2:10">
      <c r="B145" s="247"/>
      <c r="C145" s="248"/>
      <c r="D145" s="249"/>
      <c r="E145" s="248"/>
      <c r="F145" s="248"/>
      <c r="G145" s="248"/>
      <c r="H145" s="248"/>
      <c r="I145" s="248"/>
      <c r="J145" s="248"/>
    </row>
    <row r="146" spans="2:10">
      <c r="B146" s="247"/>
      <c r="C146" s="248"/>
      <c r="D146" s="249"/>
      <c r="E146" s="248"/>
      <c r="F146" s="248"/>
      <c r="G146" s="248"/>
      <c r="H146" s="248"/>
      <c r="I146" s="248"/>
      <c r="J146" s="248"/>
    </row>
    <row r="147" spans="2:10">
      <c r="B147" s="247"/>
      <c r="C147" s="248"/>
      <c r="D147" s="249"/>
      <c r="E147" s="248"/>
      <c r="F147" s="248"/>
      <c r="G147" s="248"/>
      <c r="H147" s="248"/>
      <c r="I147" s="248"/>
      <c r="J147" s="248"/>
    </row>
    <row r="148" spans="2:10">
      <c r="B148" s="247"/>
      <c r="C148" s="248"/>
      <c r="D148" s="249"/>
      <c r="E148" s="248"/>
      <c r="F148" s="248"/>
      <c r="G148" s="248"/>
      <c r="H148" s="248"/>
      <c r="I148" s="248"/>
      <c r="J148" s="248"/>
    </row>
    <row r="149" spans="2:10">
      <c r="B149" s="247"/>
      <c r="C149" s="248"/>
      <c r="D149" s="249"/>
      <c r="E149" s="248"/>
      <c r="F149" s="248"/>
      <c r="G149" s="248"/>
      <c r="H149" s="248"/>
      <c r="I149" s="248"/>
      <c r="J149" s="248"/>
    </row>
    <row r="150" spans="2:10">
      <c r="B150" s="247"/>
      <c r="C150" s="248"/>
      <c r="D150" s="249"/>
      <c r="E150" s="248"/>
      <c r="F150" s="248"/>
      <c r="G150" s="248"/>
      <c r="H150" s="248"/>
      <c r="I150" s="248"/>
      <c r="J150" s="248"/>
    </row>
    <row r="151" spans="2:10">
      <c r="B151" s="247"/>
      <c r="C151" s="248"/>
      <c r="D151" s="249"/>
      <c r="E151" s="248"/>
      <c r="F151" s="248"/>
      <c r="G151" s="248"/>
      <c r="H151" s="248"/>
      <c r="I151" s="248"/>
      <c r="J151" s="248"/>
    </row>
    <row r="152" spans="2:10">
      <c r="B152" s="247"/>
      <c r="C152" s="248"/>
      <c r="D152" s="249"/>
      <c r="E152" s="248"/>
      <c r="F152" s="248"/>
      <c r="G152" s="248"/>
      <c r="H152" s="248"/>
      <c r="I152" s="248"/>
      <c r="J152" s="248"/>
    </row>
    <row r="153" spans="2:10">
      <c r="B153" s="247"/>
      <c r="C153" s="248"/>
      <c r="D153" s="249"/>
      <c r="E153" s="248"/>
      <c r="F153" s="248"/>
      <c r="G153" s="248"/>
      <c r="H153" s="248"/>
      <c r="I153" s="248"/>
      <c r="J153" s="248"/>
    </row>
    <row r="154" spans="2:10">
      <c r="B154" s="247"/>
      <c r="C154" s="248"/>
      <c r="D154" s="249"/>
      <c r="E154" s="248"/>
      <c r="F154" s="248"/>
      <c r="G154" s="248"/>
      <c r="H154" s="248"/>
      <c r="I154" s="248"/>
      <c r="J154" s="248"/>
    </row>
    <row r="155" spans="2:10">
      <c r="B155" s="247"/>
      <c r="C155" s="248"/>
      <c r="D155" s="249"/>
      <c r="E155" s="248"/>
      <c r="F155" s="248"/>
      <c r="G155" s="248"/>
      <c r="H155" s="248"/>
      <c r="I155" s="248"/>
      <c r="J155" s="248"/>
    </row>
    <row r="156" spans="2:10">
      <c r="B156" s="247"/>
      <c r="C156" s="248"/>
      <c r="D156" s="249"/>
      <c r="E156" s="248"/>
      <c r="F156" s="248"/>
      <c r="G156" s="248"/>
      <c r="H156" s="248"/>
      <c r="I156" s="248"/>
      <c r="J156" s="248"/>
    </row>
    <row r="157" spans="2:10">
      <c r="B157" s="247"/>
      <c r="C157" s="248"/>
      <c r="D157" s="249"/>
      <c r="E157" s="248"/>
      <c r="F157" s="248"/>
      <c r="G157" s="248"/>
      <c r="H157" s="248"/>
      <c r="I157" s="248"/>
      <c r="J157" s="248"/>
    </row>
    <row r="158" spans="2:10">
      <c r="B158" s="247"/>
      <c r="C158" s="248"/>
      <c r="D158" s="249"/>
      <c r="E158" s="248"/>
      <c r="F158" s="248"/>
      <c r="G158" s="248"/>
      <c r="H158" s="248"/>
      <c r="I158" s="248"/>
      <c r="J158" s="248"/>
    </row>
    <row r="159" spans="2:10">
      <c r="B159" s="247"/>
      <c r="C159" s="248"/>
      <c r="D159" s="249"/>
      <c r="E159" s="248"/>
      <c r="F159" s="248"/>
      <c r="G159" s="248"/>
      <c r="H159" s="248"/>
      <c r="I159" s="248"/>
      <c r="J159" s="248"/>
    </row>
    <row r="160" spans="2:10">
      <c r="B160" s="247"/>
      <c r="C160" s="248"/>
      <c r="D160" s="249"/>
      <c r="E160" s="248"/>
      <c r="F160" s="248"/>
      <c r="G160" s="248"/>
      <c r="H160" s="248"/>
      <c r="I160" s="248"/>
      <c r="J160" s="248"/>
    </row>
    <row r="161" spans="2:10">
      <c r="B161" s="247"/>
      <c r="C161" s="248"/>
      <c r="D161" s="249"/>
      <c r="E161" s="248"/>
      <c r="F161" s="248"/>
      <c r="G161" s="248"/>
      <c r="H161" s="248"/>
      <c r="I161" s="248"/>
      <c r="J161" s="248"/>
    </row>
    <row r="162" spans="2:10">
      <c r="B162" s="247"/>
      <c r="C162" s="248"/>
      <c r="D162" s="249"/>
      <c r="E162" s="248"/>
      <c r="F162" s="248"/>
      <c r="G162" s="248"/>
      <c r="H162" s="248"/>
      <c r="I162" s="248"/>
      <c r="J162" s="248"/>
    </row>
    <row r="163" spans="2:10">
      <c r="B163" s="247"/>
      <c r="C163" s="248"/>
      <c r="D163" s="249"/>
      <c r="E163" s="248"/>
      <c r="F163" s="248"/>
      <c r="G163" s="248"/>
      <c r="H163" s="248"/>
      <c r="I163" s="248"/>
      <c r="J163" s="248"/>
    </row>
    <row r="164" spans="2:10">
      <c r="B164" s="247"/>
      <c r="C164" s="248"/>
      <c r="D164" s="249"/>
      <c r="E164" s="248"/>
      <c r="F164" s="248"/>
      <c r="G164" s="248"/>
      <c r="H164" s="248"/>
      <c r="I164" s="248"/>
      <c r="J164" s="248"/>
    </row>
    <row r="165" spans="2:10">
      <c r="B165" s="247"/>
      <c r="C165" s="248"/>
      <c r="D165" s="249"/>
      <c r="E165" s="248"/>
      <c r="F165" s="248"/>
      <c r="G165" s="248"/>
      <c r="H165" s="248"/>
      <c r="I165" s="248"/>
      <c r="J165" s="248"/>
    </row>
    <row r="166" spans="2:10">
      <c r="B166" s="247"/>
      <c r="C166" s="248"/>
      <c r="D166" s="249"/>
      <c r="E166" s="248"/>
      <c r="F166" s="248"/>
      <c r="G166" s="248"/>
      <c r="H166" s="248"/>
      <c r="I166" s="248"/>
      <c r="J166" s="248"/>
    </row>
    <row r="167" spans="2:10">
      <c r="B167" s="247"/>
      <c r="C167" s="248"/>
      <c r="D167" s="249"/>
      <c r="E167" s="248"/>
      <c r="F167" s="248"/>
      <c r="G167" s="248"/>
      <c r="H167" s="248"/>
      <c r="I167" s="248"/>
      <c r="J167" s="248"/>
    </row>
    <row r="168" spans="2:10">
      <c r="B168" s="247"/>
      <c r="C168" s="248"/>
      <c r="D168" s="249"/>
      <c r="E168" s="248"/>
      <c r="F168" s="248"/>
      <c r="G168" s="248"/>
      <c r="H168" s="248"/>
      <c r="I168" s="248"/>
      <c r="J168" s="248"/>
    </row>
    <row r="169" spans="2:10">
      <c r="B169" s="247"/>
      <c r="C169" s="248"/>
      <c r="D169" s="249"/>
      <c r="E169" s="248"/>
      <c r="F169" s="248"/>
      <c r="G169" s="248"/>
      <c r="H169" s="248"/>
      <c r="I169" s="248"/>
      <c r="J169" s="248"/>
    </row>
    <row r="170" spans="2:10">
      <c r="B170" s="247"/>
      <c r="C170" s="248"/>
      <c r="D170" s="249"/>
      <c r="E170" s="248"/>
      <c r="F170" s="248"/>
      <c r="G170" s="248"/>
      <c r="H170" s="248"/>
      <c r="I170" s="248"/>
      <c r="J170" s="248"/>
    </row>
    <row r="171" spans="2:10">
      <c r="B171" s="247"/>
      <c r="C171" s="248"/>
      <c r="D171" s="249"/>
      <c r="E171" s="248"/>
      <c r="F171" s="248"/>
      <c r="G171" s="248"/>
      <c r="H171" s="248"/>
      <c r="I171" s="248"/>
      <c r="J171" s="248"/>
    </row>
    <row r="172" spans="2:10">
      <c r="B172" s="247"/>
      <c r="C172" s="248"/>
      <c r="D172" s="249"/>
      <c r="E172" s="248"/>
      <c r="F172" s="248"/>
      <c r="G172" s="248"/>
      <c r="H172" s="248"/>
      <c r="I172" s="248"/>
      <c r="J172" s="248"/>
    </row>
    <row r="173" spans="2:10">
      <c r="B173" s="247"/>
      <c r="C173" s="248"/>
      <c r="D173" s="249"/>
      <c r="E173" s="248"/>
      <c r="F173" s="248"/>
      <c r="G173" s="248"/>
      <c r="H173" s="248"/>
      <c r="I173" s="248"/>
      <c r="J173" s="248"/>
    </row>
    <row r="174" spans="2:10">
      <c r="B174" s="247"/>
      <c r="C174" s="248"/>
      <c r="D174" s="249"/>
      <c r="E174" s="248"/>
      <c r="F174" s="248"/>
      <c r="G174" s="248"/>
      <c r="H174" s="248"/>
      <c r="I174" s="248"/>
      <c r="J174" s="248"/>
    </row>
    <row r="175" spans="2:10">
      <c r="B175" s="247"/>
      <c r="C175" s="248"/>
      <c r="D175" s="249"/>
      <c r="E175" s="248"/>
      <c r="F175" s="248"/>
      <c r="G175" s="248"/>
      <c r="H175" s="248"/>
      <c r="I175" s="248"/>
      <c r="J175" s="248"/>
    </row>
    <row r="176" spans="2:10">
      <c r="B176" s="247"/>
      <c r="C176" s="248"/>
      <c r="D176" s="249"/>
      <c r="E176" s="248"/>
      <c r="F176" s="248"/>
      <c r="G176" s="248"/>
      <c r="H176" s="248"/>
      <c r="I176" s="248"/>
      <c r="J176" s="248"/>
    </row>
    <row r="177" spans="2:10">
      <c r="B177" s="247"/>
      <c r="C177" s="248"/>
      <c r="D177" s="249"/>
      <c r="E177" s="248"/>
      <c r="F177" s="248"/>
      <c r="G177" s="248"/>
      <c r="H177" s="248"/>
      <c r="I177" s="248"/>
      <c r="J177" s="248"/>
    </row>
    <row r="178" spans="2:10">
      <c r="B178" s="247"/>
      <c r="C178" s="248"/>
      <c r="D178" s="249"/>
      <c r="E178" s="248"/>
      <c r="F178" s="248"/>
      <c r="G178" s="248"/>
      <c r="H178" s="248"/>
      <c r="I178" s="248"/>
      <c r="J178" s="248"/>
    </row>
    <row r="179" spans="2:10">
      <c r="B179" s="247"/>
      <c r="C179" s="248"/>
      <c r="D179" s="249"/>
      <c r="E179" s="248"/>
      <c r="F179" s="248"/>
      <c r="G179" s="248"/>
      <c r="H179" s="248"/>
      <c r="I179" s="248"/>
      <c r="J179" s="248"/>
    </row>
    <row r="180" spans="2:10">
      <c r="B180" s="247"/>
      <c r="C180" s="248"/>
      <c r="D180" s="249"/>
      <c r="E180" s="248"/>
      <c r="F180" s="248"/>
      <c r="G180" s="248"/>
      <c r="H180" s="248"/>
      <c r="I180" s="248"/>
      <c r="J180" s="248"/>
    </row>
    <row r="181" spans="2:10">
      <c r="B181" s="247"/>
      <c r="C181" s="248"/>
      <c r="D181" s="249"/>
      <c r="E181" s="248"/>
      <c r="F181" s="248"/>
      <c r="G181" s="248"/>
      <c r="H181" s="248"/>
      <c r="I181" s="248"/>
      <c r="J181" s="248"/>
    </row>
    <row r="182" spans="2:10">
      <c r="B182" s="247"/>
      <c r="C182" s="248"/>
      <c r="D182" s="249"/>
      <c r="E182" s="248"/>
      <c r="F182" s="248"/>
      <c r="G182" s="248"/>
      <c r="H182" s="248"/>
      <c r="I182" s="248"/>
      <c r="J182" s="248"/>
    </row>
    <row r="183" spans="2:10">
      <c r="B183" s="247"/>
      <c r="C183" s="248"/>
      <c r="D183" s="249"/>
      <c r="E183" s="248"/>
      <c r="F183" s="248"/>
      <c r="G183" s="248"/>
      <c r="H183" s="248"/>
      <c r="I183" s="248"/>
      <c r="J183" s="248"/>
    </row>
    <row r="184" spans="2:10">
      <c r="B184" s="247"/>
      <c r="C184" s="248"/>
      <c r="D184" s="249"/>
      <c r="E184" s="248"/>
      <c r="F184" s="248"/>
      <c r="G184" s="248"/>
      <c r="H184" s="248"/>
      <c r="I184" s="248"/>
      <c r="J184" s="248"/>
    </row>
    <row r="185" spans="2:10">
      <c r="B185" s="247"/>
      <c r="C185" s="248"/>
      <c r="D185" s="249"/>
      <c r="E185" s="248"/>
      <c r="F185" s="248"/>
      <c r="G185" s="248"/>
      <c r="H185" s="248"/>
      <c r="I185" s="248"/>
      <c r="J185" s="248"/>
    </row>
    <row r="186" spans="2:10">
      <c r="B186" s="247"/>
      <c r="C186" s="248"/>
      <c r="D186" s="249"/>
      <c r="E186" s="248"/>
      <c r="F186" s="248"/>
      <c r="G186" s="248"/>
      <c r="H186" s="248"/>
      <c r="I186" s="248"/>
      <c r="J186" s="248"/>
    </row>
    <row r="187" spans="2:10">
      <c r="B187" s="247"/>
      <c r="C187" s="248"/>
      <c r="D187" s="249"/>
      <c r="E187" s="248"/>
      <c r="F187" s="248"/>
      <c r="G187" s="248"/>
      <c r="H187" s="248"/>
      <c r="I187" s="248"/>
      <c r="J187" s="248"/>
    </row>
    <row r="188" spans="2:10">
      <c r="B188" s="247"/>
      <c r="C188" s="248"/>
      <c r="D188" s="249"/>
      <c r="E188" s="248"/>
      <c r="F188" s="248"/>
      <c r="G188" s="248"/>
      <c r="H188" s="248"/>
      <c r="I188" s="248"/>
      <c r="J188" s="248"/>
    </row>
    <row r="189" spans="2:10">
      <c r="B189" s="247"/>
      <c r="C189" s="248"/>
      <c r="D189" s="249"/>
      <c r="E189" s="248"/>
      <c r="F189" s="248"/>
      <c r="G189" s="248"/>
      <c r="H189" s="248"/>
      <c r="I189" s="248"/>
      <c r="J189" s="248"/>
    </row>
    <row r="190" spans="2:10">
      <c r="B190" s="247"/>
      <c r="C190" s="248"/>
      <c r="D190" s="249"/>
      <c r="E190" s="248"/>
      <c r="F190" s="248"/>
      <c r="G190" s="248"/>
      <c r="H190" s="248"/>
      <c r="I190" s="248"/>
      <c r="J190" s="248"/>
    </row>
    <row r="191" spans="2:10">
      <c r="B191" s="247"/>
      <c r="C191" s="248"/>
      <c r="D191" s="249"/>
      <c r="E191" s="248"/>
      <c r="F191" s="248"/>
      <c r="G191" s="248"/>
      <c r="H191" s="248"/>
      <c r="I191" s="248"/>
      <c r="J191" s="248"/>
    </row>
    <row r="192" spans="2:10">
      <c r="B192" s="247"/>
      <c r="C192" s="248"/>
      <c r="D192" s="249"/>
      <c r="E192" s="248"/>
      <c r="F192" s="248"/>
      <c r="G192" s="248"/>
      <c r="H192" s="248"/>
      <c r="I192" s="248"/>
      <c r="J192" s="248"/>
    </row>
    <row r="193" spans="2:10">
      <c r="B193" s="247"/>
      <c r="C193" s="248"/>
      <c r="D193" s="249"/>
      <c r="E193" s="248"/>
      <c r="F193" s="248"/>
      <c r="G193" s="248"/>
      <c r="H193" s="248"/>
      <c r="I193" s="248"/>
      <c r="J193" s="248"/>
    </row>
    <row r="194" spans="2:10">
      <c r="B194" s="247"/>
      <c r="C194" s="248"/>
      <c r="D194" s="249"/>
      <c r="E194" s="248"/>
      <c r="F194" s="248"/>
      <c r="G194" s="248"/>
      <c r="H194" s="248"/>
      <c r="I194" s="248"/>
      <c r="J194" s="248"/>
    </row>
    <row r="195" spans="2:10">
      <c r="B195" s="247"/>
      <c r="C195" s="248"/>
      <c r="D195" s="249"/>
      <c r="E195" s="248"/>
      <c r="F195" s="248"/>
      <c r="G195" s="248"/>
      <c r="H195" s="248"/>
      <c r="I195" s="248"/>
      <c r="J195" s="248"/>
    </row>
    <row r="196" spans="2:10">
      <c r="B196" s="247"/>
      <c r="C196" s="248"/>
      <c r="D196" s="249"/>
      <c r="E196" s="248"/>
      <c r="F196" s="248"/>
      <c r="G196" s="248"/>
      <c r="H196" s="248"/>
      <c r="I196" s="248"/>
      <c r="J196" s="248"/>
    </row>
    <row r="197" spans="2:10">
      <c r="B197" s="247"/>
      <c r="C197" s="248"/>
      <c r="D197" s="249"/>
      <c r="E197" s="248"/>
      <c r="F197" s="248"/>
      <c r="G197" s="248"/>
      <c r="H197" s="248"/>
      <c r="I197" s="248"/>
      <c r="J197" s="248"/>
    </row>
    <row r="198" spans="2:10">
      <c r="B198" s="247"/>
      <c r="C198" s="248"/>
      <c r="D198" s="249"/>
      <c r="E198" s="248"/>
      <c r="F198" s="248"/>
      <c r="G198" s="248"/>
      <c r="H198" s="248"/>
      <c r="I198" s="248"/>
      <c r="J198" s="248"/>
    </row>
    <row r="199" spans="2:10">
      <c r="B199" s="247"/>
      <c r="C199" s="248"/>
      <c r="D199" s="249"/>
      <c r="E199" s="248"/>
      <c r="F199" s="248"/>
      <c r="G199" s="248"/>
      <c r="H199" s="248"/>
      <c r="I199" s="248"/>
      <c r="J199" s="248"/>
    </row>
    <row r="200" spans="2:10">
      <c r="B200" s="247"/>
      <c r="C200" s="248"/>
      <c r="D200" s="249"/>
      <c r="E200" s="248"/>
      <c r="F200" s="248"/>
      <c r="G200" s="248"/>
      <c r="H200" s="248"/>
      <c r="I200" s="248"/>
      <c r="J200" s="248"/>
    </row>
    <row r="201" spans="2:10">
      <c r="B201" s="247"/>
      <c r="C201" s="248"/>
      <c r="D201" s="249"/>
      <c r="E201" s="248"/>
      <c r="F201" s="248"/>
      <c r="G201" s="248"/>
      <c r="H201" s="248"/>
      <c r="I201" s="248"/>
      <c r="J201" s="248"/>
    </row>
    <row r="202" spans="2:10">
      <c r="B202" s="247"/>
      <c r="C202" s="248"/>
      <c r="D202" s="249"/>
      <c r="E202" s="248"/>
      <c r="F202" s="248"/>
      <c r="G202" s="248"/>
      <c r="H202" s="248"/>
      <c r="I202" s="248"/>
      <c r="J202" s="248"/>
    </row>
    <row r="203" spans="2:10">
      <c r="B203" s="247"/>
      <c r="C203" s="248"/>
      <c r="D203" s="249"/>
      <c r="E203" s="248"/>
      <c r="F203" s="248"/>
      <c r="G203" s="248"/>
      <c r="H203" s="248"/>
      <c r="I203" s="248"/>
      <c r="J203" s="248"/>
    </row>
    <row r="204" spans="2:10">
      <c r="B204" s="247"/>
      <c r="C204" s="248"/>
      <c r="D204" s="249"/>
      <c r="E204" s="248"/>
      <c r="F204" s="248"/>
      <c r="G204" s="248"/>
      <c r="H204" s="248"/>
      <c r="I204" s="248"/>
      <c r="J204" s="248"/>
    </row>
    <row r="205" spans="2:10">
      <c r="B205" s="247"/>
      <c r="C205" s="248"/>
      <c r="D205" s="249"/>
      <c r="E205" s="248"/>
      <c r="F205" s="248"/>
      <c r="G205" s="248"/>
      <c r="H205" s="248"/>
      <c r="I205" s="248"/>
      <c r="J205" s="248"/>
    </row>
    <row r="206" spans="2:10">
      <c r="B206" s="247"/>
      <c r="C206" s="248"/>
      <c r="D206" s="249"/>
      <c r="E206" s="248"/>
      <c r="F206" s="248"/>
      <c r="G206" s="248"/>
      <c r="H206" s="248"/>
      <c r="I206" s="248"/>
      <c r="J206" s="248"/>
    </row>
    <row r="207" spans="2:10">
      <c r="B207" s="247"/>
      <c r="C207" s="248"/>
      <c r="D207" s="249"/>
      <c r="E207" s="248"/>
      <c r="F207" s="248"/>
      <c r="G207" s="248"/>
      <c r="H207" s="248"/>
      <c r="I207" s="248"/>
      <c r="J207" s="248"/>
    </row>
    <row r="208" spans="2:10">
      <c r="B208" s="247"/>
      <c r="C208" s="248"/>
      <c r="D208" s="249"/>
      <c r="E208" s="248"/>
      <c r="F208" s="248"/>
      <c r="G208" s="248"/>
      <c r="H208" s="248"/>
      <c r="I208" s="248"/>
      <c r="J208" s="248"/>
    </row>
    <row r="209" spans="2:10">
      <c r="B209" s="247"/>
      <c r="C209" s="248"/>
      <c r="D209" s="249"/>
      <c r="E209" s="248"/>
      <c r="F209" s="248"/>
      <c r="G209" s="248"/>
      <c r="H209" s="248"/>
      <c r="I209" s="248"/>
      <c r="J209" s="248"/>
    </row>
    <row r="210" spans="2:10">
      <c r="B210" s="247"/>
      <c r="C210" s="248"/>
      <c r="D210" s="249"/>
      <c r="E210" s="248"/>
      <c r="F210" s="248"/>
      <c r="G210" s="248"/>
      <c r="H210" s="248"/>
      <c r="I210" s="248"/>
      <c r="J210" s="248"/>
    </row>
    <row r="211" spans="2:10">
      <c r="B211" s="247"/>
      <c r="C211" s="248"/>
      <c r="D211" s="249"/>
      <c r="E211" s="248"/>
      <c r="F211" s="248"/>
      <c r="G211" s="248"/>
      <c r="H211" s="248"/>
      <c r="I211" s="248"/>
      <c r="J211" s="248"/>
    </row>
    <row r="212" spans="2:10">
      <c r="B212" s="247"/>
      <c r="C212" s="248"/>
      <c r="D212" s="249"/>
      <c r="E212" s="248"/>
      <c r="F212" s="248"/>
      <c r="G212" s="248"/>
      <c r="H212" s="248"/>
      <c r="I212" s="248"/>
      <c r="J212" s="248"/>
    </row>
    <row r="213" spans="2:10">
      <c r="B213" s="247"/>
      <c r="C213" s="248"/>
      <c r="D213" s="249"/>
      <c r="E213" s="248"/>
      <c r="F213" s="248"/>
      <c r="G213" s="248"/>
      <c r="H213" s="248"/>
      <c r="I213" s="248"/>
      <c r="J213" s="248"/>
    </row>
    <row r="214" spans="2:10">
      <c r="B214" s="247"/>
      <c r="C214" s="248"/>
      <c r="D214" s="249"/>
      <c r="E214" s="248"/>
      <c r="F214" s="248"/>
      <c r="G214" s="248"/>
      <c r="H214" s="248"/>
      <c r="I214" s="248"/>
      <c r="J214" s="248"/>
    </row>
    <row r="215" spans="2:10">
      <c r="B215" s="247"/>
      <c r="C215" s="248"/>
      <c r="D215" s="249"/>
      <c r="E215" s="248"/>
      <c r="F215" s="248"/>
      <c r="G215" s="248"/>
      <c r="H215" s="248"/>
      <c r="I215" s="248"/>
      <c r="J215" s="248"/>
    </row>
    <row r="216" spans="2:10">
      <c r="B216" s="247"/>
      <c r="C216" s="248"/>
      <c r="D216" s="249"/>
      <c r="E216" s="248"/>
      <c r="F216" s="248"/>
      <c r="G216" s="248"/>
      <c r="H216" s="248"/>
      <c r="I216" s="248"/>
      <c r="J216" s="248"/>
    </row>
    <row r="217" spans="2:10">
      <c r="B217" s="247"/>
      <c r="C217" s="248"/>
      <c r="D217" s="249"/>
      <c r="E217" s="248"/>
      <c r="F217" s="248"/>
      <c r="G217" s="248"/>
      <c r="H217" s="248"/>
      <c r="I217" s="248"/>
      <c r="J217" s="248"/>
    </row>
    <row r="218" spans="2:10">
      <c r="B218" s="247"/>
      <c r="C218" s="248"/>
      <c r="D218" s="249"/>
      <c r="E218" s="248"/>
      <c r="F218" s="248"/>
      <c r="G218" s="248"/>
      <c r="H218" s="248"/>
      <c r="I218" s="248"/>
      <c r="J218" s="248"/>
    </row>
    <row r="219" spans="2:10">
      <c r="B219" s="247"/>
      <c r="C219" s="248"/>
      <c r="D219" s="249"/>
      <c r="E219" s="248"/>
      <c r="F219" s="248"/>
      <c r="G219" s="248"/>
      <c r="H219" s="248"/>
      <c r="I219" s="248"/>
      <c r="J219" s="248"/>
    </row>
    <row r="220" spans="2:10">
      <c r="B220" s="247"/>
      <c r="C220" s="248"/>
      <c r="D220" s="249"/>
      <c r="E220" s="248"/>
      <c r="F220" s="248"/>
      <c r="G220" s="248"/>
      <c r="H220" s="248"/>
      <c r="I220" s="248"/>
      <c r="J220" s="248"/>
    </row>
    <row r="221" spans="2:10">
      <c r="B221" s="247"/>
      <c r="C221" s="248"/>
      <c r="D221" s="249"/>
      <c r="E221" s="248"/>
      <c r="F221" s="248"/>
      <c r="G221" s="248"/>
      <c r="H221" s="248"/>
      <c r="I221" s="248"/>
      <c r="J221" s="248"/>
    </row>
    <row r="222" spans="2:10">
      <c r="B222" s="247"/>
      <c r="C222" s="248"/>
      <c r="D222" s="249"/>
      <c r="E222" s="248"/>
      <c r="F222" s="248"/>
      <c r="G222" s="248"/>
      <c r="H222" s="248"/>
      <c r="I222" s="248"/>
      <c r="J222" s="248"/>
    </row>
    <row r="223" spans="2:10">
      <c r="B223" s="247"/>
      <c r="C223" s="248"/>
      <c r="D223" s="249"/>
      <c r="E223" s="248"/>
      <c r="F223" s="248"/>
      <c r="G223" s="248"/>
      <c r="H223" s="248"/>
      <c r="I223" s="248"/>
      <c r="J223" s="248"/>
    </row>
    <row r="224" spans="2:10">
      <c r="B224" s="247"/>
      <c r="C224" s="248"/>
      <c r="D224" s="249"/>
      <c r="E224" s="248"/>
      <c r="F224" s="248"/>
      <c r="G224" s="248"/>
      <c r="H224" s="248"/>
      <c r="I224" s="248"/>
      <c r="J224" s="248"/>
    </row>
    <row r="225" spans="2:10">
      <c r="B225" s="247"/>
      <c r="C225" s="248"/>
      <c r="D225" s="249"/>
      <c r="E225" s="248"/>
      <c r="F225" s="248"/>
      <c r="G225" s="248"/>
      <c r="H225" s="248"/>
      <c r="I225" s="248"/>
      <c r="J225" s="248"/>
    </row>
    <row r="226" spans="2:10">
      <c r="B226" s="247"/>
      <c r="C226" s="248"/>
      <c r="D226" s="249"/>
      <c r="E226" s="248"/>
      <c r="F226" s="248"/>
      <c r="G226" s="248"/>
      <c r="H226" s="248"/>
      <c r="I226" s="248"/>
      <c r="J226" s="248"/>
    </row>
    <row r="227" spans="2:10">
      <c r="B227" s="247"/>
      <c r="C227" s="248"/>
      <c r="D227" s="249"/>
      <c r="E227" s="248"/>
      <c r="F227" s="248"/>
      <c r="G227" s="248"/>
      <c r="H227" s="248"/>
      <c r="I227" s="248"/>
      <c r="J227" s="248"/>
    </row>
    <row r="228" spans="2:10">
      <c r="B228" s="247"/>
      <c r="C228" s="248"/>
      <c r="D228" s="249"/>
      <c r="E228" s="248"/>
      <c r="F228" s="248"/>
      <c r="G228" s="248"/>
      <c r="H228" s="248"/>
      <c r="I228" s="248"/>
      <c r="J228" s="248"/>
    </row>
    <row r="229" spans="2:10">
      <c r="B229" s="247"/>
      <c r="C229" s="248"/>
      <c r="D229" s="249"/>
      <c r="E229" s="248"/>
      <c r="F229" s="248"/>
      <c r="G229" s="248"/>
      <c r="H229" s="248"/>
      <c r="I229" s="248"/>
      <c r="J229" s="248"/>
    </row>
    <row r="230" spans="2:10">
      <c r="B230" s="247"/>
      <c r="C230" s="248"/>
      <c r="D230" s="249"/>
      <c r="E230" s="248"/>
      <c r="F230" s="248"/>
      <c r="G230" s="248"/>
      <c r="H230" s="248"/>
      <c r="I230" s="248"/>
      <c r="J230" s="248"/>
    </row>
    <row r="231" spans="2:10">
      <c r="B231" s="247"/>
      <c r="C231" s="248"/>
      <c r="D231" s="249"/>
      <c r="E231" s="248"/>
      <c r="F231" s="248"/>
      <c r="G231" s="248"/>
      <c r="H231" s="248"/>
      <c r="I231" s="248"/>
      <c r="J231" s="248"/>
    </row>
    <row r="232" spans="2:10">
      <c r="B232" s="247"/>
      <c r="C232" s="248"/>
      <c r="D232" s="249"/>
      <c r="E232" s="248"/>
      <c r="F232" s="248"/>
      <c r="G232" s="248"/>
      <c r="H232" s="248"/>
      <c r="I232" s="248"/>
      <c r="J232" s="248"/>
    </row>
    <row r="233" spans="2:10">
      <c r="B233" s="247"/>
      <c r="C233" s="248"/>
      <c r="D233" s="249"/>
      <c r="E233" s="248"/>
      <c r="F233" s="248"/>
      <c r="G233" s="248"/>
      <c r="H233" s="248"/>
      <c r="I233" s="248"/>
      <c r="J233" s="248"/>
    </row>
    <row r="234" spans="2:10">
      <c r="B234" s="247"/>
      <c r="C234" s="248"/>
      <c r="D234" s="249"/>
      <c r="E234" s="248"/>
      <c r="F234" s="248"/>
      <c r="G234" s="248"/>
      <c r="H234" s="248"/>
      <c r="I234" s="248"/>
      <c r="J234" s="248"/>
    </row>
    <row r="235" spans="2:10">
      <c r="B235" s="247"/>
      <c r="C235" s="248"/>
      <c r="D235" s="249"/>
      <c r="E235" s="248"/>
      <c r="F235" s="248"/>
      <c r="G235" s="248"/>
      <c r="H235" s="248"/>
      <c r="I235" s="248"/>
      <c r="J235" s="248"/>
    </row>
    <row r="236" spans="2:10">
      <c r="B236" s="247"/>
      <c r="C236" s="248"/>
      <c r="D236" s="249"/>
      <c r="E236" s="248"/>
      <c r="F236" s="248"/>
      <c r="G236" s="248"/>
      <c r="H236" s="248"/>
      <c r="I236" s="248"/>
      <c r="J236" s="248"/>
    </row>
    <row r="237" spans="2:10">
      <c r="B237" s="247"/>
      <c r="C237" s="248"/>
      <c r="D237" s="249"/>
      <c r="E237" s="248"/>
      <c r="F237" s="248"/>
      <c r="G237" s="248"/>
      <c r="H237" s="248"/>
      <c r="I237" s="248"/>
      <c r="J237" s="248"/>
    </row>
    <row r="238" spans="2:10">
      <c r="B238" s="247"/>
      <c r="C238" s="248"/>
      <c r="D238" s="249"/>
      <c r="E238" s="248"/>
      <c r="F238" s="248"/>
      <c r="G238" s="248"/>
      <c r="H238" s="248"/>
      <c r="I238" s="248"/>
      <c r="J238" s="248"/>
    </row>
    <row r="239" spans="2:10">
      <c r="B239" s="247"/>
      <c r="C239" s="248"/>
      <c r="D239" s="249"/>
      <c r="E239" s="248"/>
      <c r="F239" s="248"/>
      <c r="G239" s="248"/>
      <c r="H239" s="248"/>
      <c r="I239" s="248"/>
      <c r="J239" s="248"/>
    </row>
    <row r="240" spans="2:10">
      <c r="B240" s="247"/>
      <c r="C240" s="248"/>
      <c r="D240" s="249"/>
      <c r="E240" s="248"/>
      <c r="F240" s="248"/>
      <c r="G240" s="248"/>
      <c r="H240" s="248"/>
      <c r="I240" s="248"/>
      <c r="J240" s="248"/>
    </row>
    <row r="241" spans="2:10">
      <c r="B241" s="247"/>
      <c r="C241" s="248"/>
      <c r="D241" s="249"/>
      <c r="E241" s="248"/>
      <c r="F241" s="248"/>
      <c r="G241" s="248"/>
      <c r="H241" s="248"/>
      <c r="I241" s="248"/>
      <c r="J241" s="248"/>
    </row>
    <row r="242" spans="2:10">
      <c r="B242" s="247"/>
      <c r="C242" s="248"/>
      <c r="D242" s="249"/>
      <c r="E242" s="248"/>
      <c r="F242" s="248"/>
      <c r="G242" s="248"/>
      <c r="H242" s="248"/>
      <c r="I242" s="248"/>
      <c r="J242" s="248"/>
    </row>
    <row r="243" spans="2:10">
      <c r="B243" s="247"/>
      <c r="C243" s="248"/>
      <c r="D243" s="249"/>
      <c r="E243" s="248"/>
      <c r="F243" s="248"/>
      <c r="G243" s="248"/>
      <c r="H243" s="248"/>
      <c r="I243" s="248"/>
      <c r="J243" s="248"/>
    </row>
    <row r="244" spans="2:10">
      <c r="B244" s="247"/>
      <c r="C244" s="248"/>
      <c r="D244" s="249"/>
      <c r="E244" s="248"/>
      <c r="F244" s="248"/>
      <c r="G244" s="248"/>
      <c r="H244" s="248"/>
      <c r="I244" s="248"/>
      <c r="J244" s="248"/>
    </row>
    <row r="245" spans="2:10">
      <c r="B245" s="247"/>
      <c r="C245" s="248"/>
      <c r="D245" s="249"/>
      <c r="E245" s="248"/>
      <c r="F245" s="248"/>
      <c r="G245" s="248"/>
      <c r="H245" s="248"/>
      <c r="I245" s="248"/>
      <c r="J245" s="248"/>
    </row>
    <row r="246" spans="2:10">
      <c r="B246" s="247"/>
      <c r="C246" s="248"/>
      <c r="D246" s="249"/>
      <c r="E246" s="248"/>
      <c r="F246" s="248"/>
      <c r="G246" s="248"/>
      <c r="H246" s="248"/>
      <c r="I246" s="248"/>
      <c r="J246" s="248"/>
    </row>
    <row r="247" spans="2:10">
      <c r="B247" s="247"/>
      <c r="C247" s="248"/>
      <c r="D247" s="249"/>
      <c r="E247" s="248"/>
      <c r="F247" s="248"/>
      <c r="G247" s="248"/>
      <c r="H247" s="248"/>
      <c r="I247" s="248"/>
      <c r="J247" s="248"/>
    </row>
    <row r="248" spans="2:10">
      <c r="B248" s="242"/>
      <c r="C248" s="243"/>
      <c r="D248" s="250"/>
      <c r="E248" s="243"/>
      <c r="F248" s="243"/>
      <c r="G248" s="243"/>
      <c r="H248" s="243"/>
      <c r="I248" s="243"/>
      <c r="J248" s="243"/>
    </row>
    <row r="249" spans="2:10">
      <c r="B249" s="242"/>
      <c r="C249" s="243"/>
      <c r="D249" s="250"/>
      <c r="E249" s="243"/>
      <c r="F249" s="243"/>
      <c r="G249" s="243"/>
      <c r="H249" s="243"/>
      <c r="I249" s="243"/>
      <c r="J249" s="243"/>
    </row>
    <row r="250" spans="2:10">
      <c r="B250" s="242"/>
      <c r="C250" s="243"/>
      <c r="D250" s="250"/>
      <c r="E250" s="243"/>
      <c r="F250" s="243"/>
      <c r="G250" s="243"/>
      <c r="H250" s="243"/>
      <c r="I250" s="243"/>
      <c r="J250" s="243"/>
    </row>
    <row r="251" spans="2:10">
      <c r="B251" s="242"/>
      <c r="C251" s="243"/>
      <c r="D251" s="250"/>
      <c r="E251" s="243"/>
      <c r="F251" s="243"/>
      <c r="G251" s="243"/>
      <c r="H251" s="243"/>
      <c r="I251" s="243"/>
      <c r="J251" s="243"/>
    </row>
    <row r="252" spans="2:10">
      <c r="B252" s="242"/>
      <c r="C252" s="243"/>
      <c r="D252" s="250"/>
      <c r="E252" s="243"/>
      <c r="F252" s="243"/>
      <c r="G252" s="243"/>
      <c r="H252" s="243"/>
      <c r="I252" s="243"/>
      <c r="J252" s="243"/>
    </row>
    <row r="253" spans="2:10">
      <c r="B253" s="242"/>
      <c r="C253" s="243"/>
      <c r="D253" s="250"/>
      <c r="E253" s="243"/>
      <c r="F253" s="243"/>
      <c r="G253" s="243"/>
      <c r="H253" s="243"/>
      <c r="I253" s="243"/>
      <c r="J253" s="243"/>
    </row>
    <row r="254" spans="2:10">
      <c r="B254" s="242"/>
      <c r="C254" s="243"/>
      <c r="D254" s="250"/>
      <c r="E254" s="243"/>
      <c r="F254" s="243"/>
      <c r="G254" s="243"/>
      <c r="H254" s="243"/>
      <c r="I254" s="243"/>
      <c r="J254" s="243"/>
    </row>
    <row r="255" spans="2:10">
      <c r="B255" s="242"/>
      <c r="C255" s="243"/>
      <c r="D255" s="250"/>
      <c r="E255" s="243"/>
      <c r="F255" s="243"/>
      <c r="G255" s="243"/>
      <c r="H255" s="243"/>
      <c r="I255" s="243"/>
      <c r="J255" s="243"/>
    </row>
    <row r="256" spans="2:10">
      <c r="B256" s="242"/>
      <c r="C256" s="243"/>
      <c r="D256" s="250"/>
      <c r="E256" s="243"/>
      <c r="F256" s="243"/>
      <c r="G256" s="243"/>
      <c r="H256" s="243"/>
      <c r="I256" s="243"/>
      <c r="J256" s="243"/>
    </row>
    <row r="257" spans="2:10">
      <c r="B257" s="242"/>
      <c r="C257" s="243"/>
      <c r="D257" s="250"/>
      <c r="E257" s="243"/>
      <c r="F257" s="243"/>
      <c r="G257" s="243"/>
      <c r="H257" s="243"/>
      <c r="I257" s="243"/>
      <c r="J257" s="243"/>
    </row>
    <row r="258" spans="2:10">
      <c r="B258" s="242"/>
      <c r="C258" s="243"/>
      <c r="D258" s="250"/>
      <c r="E258" s="243"/>
      <c r="F258" s="243"/>
      <c r="G258" s="243"/>
      <c r="H258" s="243"/>
      <c r="I258" s="243"/>
      <c r="J258" s="243"/>
    </row>
    <row r="259" spans="2:10">
      <c r="B259" s="242"/>
      <c r="C259" s="243"/>
      <c r="D259" s="250"/>
      <c r="E259" s="243"/>
      <c r="F259" s="243"/>
      <c r="G259" s="243"/>
      <c r="H259" s="243"/>
      <c r="I259" s="243"/>
      <c r="J259" s="243"/>
    </row>
    <row r="260" spans="2:10">
      <c r="B260" s="242"/>
      <c r="C260" s="243"/>
      <c r="D260" s="250"/>
      <c r="E260" s="243"/>
      <c r="F260" s="243"/>
      <c r="G260" s="243"/>
      <c r="H260" s="243"/>
      <c r="I260" s="243"/>
      <c r="J260" s="243"/>
    </row>
    <row r="261" spans="2:10">
      <c r="B261" s="242"/>
      <c r="C261" s="243"/>
      <c r="D261" s="250"/>
      <c r="E261" s="243"/>
      <c r="F261" s="243"/>
      <c r="G261" s="243"/>
      <c r="H261" s="243"/>
      <c r="I261" s="243"/>
      <c r="J261" s="243"/>
    </row>
    <row r="262" spans="2:10">
      <c r="B262" s="242"/>
      <c r="C262" s="243"/>
      <c r="D262" s="250"/>
      <c r="E262" s="243"/>
      <c r="F262" s="243"/>
      <c r="G262" s="243"/>
      <c r="H262" s="243"/>
      <c r="I262" s="243"/>
      <c r="J262" s="243"/>
    </row>
    <row r="263" spans="2:10">
      <c r="B263" s="242"/>
      <c r="C263" s="243"/>
      <c r="D263" s="250"/>
      <c r="E263" s="243"/>
      <c r="F263" s="243"/>
      <c r="G263" s="243"/>
      <c r="H263" s="243"/>
      <c r="I263" s="243"/>
      <c r="J263" s="243"/>
    </row>
    <row r="264" spans="2:10">
      <c r="B264" s="242"/>
      <c r="C264" s="243"/>
      <c r="D264" s="250"/>
      <c r="E264" s="243"/>
      <c r="F264" s="243"/>
      <c r="G264" s="243"/>
      <c r="H264" s="243"/>
      <c r="I264" s="243"/>
      <c r="J264" s="243"/>
    </row>
    <row r="265" spans="2:10">
      <c r="B265" s="242"/>
      <c r="C265" s="243"/>
      <c r="D265" s="250"/>
      <c r="E265" s="243"/>
      <c r="F265" s="243"/>
      <c r="G265" s="243"/>
      <c r="H265" s="243"/>
      <c r="I265" s="243"/>
      <c r="J265" s="243"/>
    </row>
    <row r="266" spans="2:10">
      <c r="B266" s="242"/>
      <c r="C266" s="243"/>
      <c r="D266" s="250"/>
      <c r="E266" s="243"/>
      <c r="F266" s="243"/>
      <c r="G266" s="243"/>
      <c r="H266" s="243"/>
      <c r="I266" s="243"/>
      <c r="J266" s="243"/>
    </row>
    <row r="267" spans="2:10">
      <c r="B267" s="242"/>
      <c r="C267" s="243"/>
      <c r="D267" s="250"/>
      <c r="E267" s="243"/>
      <c r="F267" s="243"/>
      <c r="G267" s="243"/>
      <c r="H267" s="243"/>
      <c r="I267" s="243"/>
      <c r="J267" s="243"/>
    </row>
    <row r="268" spans="2:10">
      <c r="B268" s="242"/>
      <c r="C268" s="243"/>
      <c r="D268" s="250"/>
      <c r="E268" s="243"/>
      <c r="F268" s="243"/>
      <c r="G268" s="243"/>
      <c r="H268" s="243"/>
      <c r="I268" s="243"/>
      <c r="J268" s="243"/>
    </row>
    <row r="269" spans="2:10">
      <c r="B269" s="242"/>
      <c r="C269" s="243"/>
      <c r="D269" s="250"/>
      <c r="E269" s="243"/>
      <c r="F269" s="243"/>
      <c r="G269" s="243"/>
      <c r="H269" s="243"/>
      <c r="I269" s="243"/>
      <c r="J269" s="243"/>
    </row>
    <row r="270" spans="2:10">
      <c r="B270" s="242"/>
      <c r="C270" s="243"/>
      <c r="D270" s="250"/>
      <c r="E270" s="243"/>
      <c r="F270" s="243"/>
      <c r="G270" s="243"/>
      <c r="H270" s="243"/>
      <c r="I270" s="243"/>
      <c r="J270" s="243"/>
    </row>
    <row r="271" spans="2:10">
      <c r="B271" s="242"/>
      <c r="C271" s="243"/>
      <c r="D271" s="250"/>
      <c r="E271" s="243"/>
      <c r="F271" s="243"/>
      <c r="G271" s="243"/>
      <c r="H271" s="243"/>
      <c r="I271" s="243"/>
      <c r="J271" s="243"/>
    </row>
    <row r="272" spans="2:10">
      <c r="B272" s="242"/>
      <c r="C272" s="243"/>
      <c r="D272" s="250"/>
      <c r="E272" s="243"/>
      <c r="F272" s="243"/>
      <c r="G272" s="243"/>
      <c r="H272" s="243"/>
      <c r="I272" s="243"/>
      <c r="J272" s="243"/>
    </row>
    <row r="273" spans="2:10">
      <c r="B273" s="242"/>
      <c r="C273" s="243"/>
      <c r="D273" s="250"/>
      <c r="E273" s="243"/>
      <c r="F273" s="243"/>
      <c r="G273" s="243"/>
      <c r="H273" s="243"/>
      <c r="I273" s="243"/>
      <c r="J273" s="243"/>
    </row>
    <row r="274" spans="2:10">
      <c r="B274" s="242"/>
      <c r="C274" s="243"/>
      <c r="D274" s="250"/>
      <c r="E274" s="243"/>
      <c r="F274" s="243"/>
      <c r="G274" s="243"/>
      <c r="H274" s="243"/>
      <c r="I274" s="243"/>
      <c r="J274" s="243"/>
    </row>
    <row r="275" spans="2:10">
      <c r="B275" s="242"/>
      <c r="C275" s="243"/>
      <c r="D275" s="250"/>
      <c r="E275" s="243"/>
      <c r="F275" s="243"/>
      <c r="G275" s="243"/>
      <c r="H275" s="243"/>
      <c r="I275" s="243"/>
      <c r="J275" s="243"/>
    </row>
    <row r="276" spans="2:10">
      <c r="B276" s="242"/>
      <c r="C276" s="243"/>
      <c r="D276" s="250"/>
      <c r="E276" s="243"/>
      <c r="F276" s="243"/>
      <c r="G276" s="243"/>
      <c r="H276" s="243"/>
      <c r="I276" s="243"/>
      <c r="J276" s="243"/>
    </row>
    <row r="277" spans="2:10">
      <c r="B277" s="242"/>
      <c r="C277" s="243"/>
      <c r="D277" s="250"/>
      <c r="E277" s="243"/>
      <c r="F277" s="243"/>
      <c r="G277" s="243"/>
      <c r="H277" s="243"/>
      <c r="I277" s="243"/>
      <c r="J277" s="243"/>
    </row>
    <row r="278" spans="2:10">
      <c r="B278" s="242"/>
      <c r="C278" s="243"/>
      <c r="D278" s="250"/>
      <c r="E278" s="243"/>
      <c r="F278" s="243"/>
      <c r="G278" s="243"/>
      <c r="H278" s="243"/>
      <c r="I278" s="243"/>
      <c r="J278" s="243"/>
    </row>
    <row r="279" spans="2:10">
      <c r="B279" s="242"/>
      <c r="C279" s="243"/>
      <c r="D279" s="250"/>
      <c r="E279" s="243"/>
      <c r="F279" s="243"/>
      <c r="G279" s="243"/>
      <c r="H279" s="243"/>
      <c r="I279" s="243"/>
      <c r="J279" s="243"/>
    </row>
    <row r="280" spans="2:10">
      <c r="B280" s="242"/>
      <c r="C280" s="243"/>
      <c r="D280" s="250"/>
      <c r="E280" s="243"/>
      <c r="F280" s="243"/>
      <c r="G280" s="243"/>
      <c r="H280" s="243"/>
      <c r="I280" s="243"/>
      <c r="J280" s="243"/>
    </row>
    <row r="281" spans="2:10">
      <c r="B281" s="242"/>
      <c r="C281" s="243"/>
      <c r="D281" s="250"/>
      <c r="E281" s="243"/>
      <c r="F281" s="243"/>
      <c r="G281" s="243"/>
      <c r="H281" s="243"/>
      <c r="I281" s="243"/>
      <c r="J281" s="243"/>
    </row>
    <row r="282" spans="2:10">
      <c r="B282" s="242"/>
      <c r="C282" s="243"/>
      <c r="D282" s="250"/>
      <c r="E282" s="243"/>
      <c r="F282" s="243"/>
      <c r="G282" s="243"/>
      <c r="H282" s="243"/>
      <c r="I282" s="243"/>
      <c r="J282" s="243"/>
    </row>
    <row r="283" spans="2:10">
      <c r="B283" s="242"/>
      <c r="C283" s="243"/>
      <c r="D283" s="250"/>
      <c r="E283" s="243"/>
      <c r="F283" s="243"/>
      <c r="G283" s="243"/>
      <c r="H283" s="243"/>
      <c r="I283" s="243"/>
      <c r="J283" s="243"/>
    </row>
    <row r="284" spans="2:10">
      <c r="B284" s="242"/>
      <c r="C284" s="243"/>
      <c r="D284" s="250"/>
      <c r="E284" s="243"/>
      <c r="F284" s="243"/>
      <c r="G284" s="243"/>
      <c r="H284" s="243"/>
      <c r="I284" s="243"/>
      <c r="J284" s="243"/>
    </row>
    <row r="285" spans="2:10">
      <c r="B285" s="242"/>
      <c r="C285" s="243"/>
      <c r="D285" s="250"/>
      <c r="E285" s="243"/>
      <c r="F285" s="243"/>
      <c r="G285" s="243"/>
      <c r="H285" s="243"/>
      <c r="I285" s="243"/>
      <c r="J285" s="243"/>
    </row>
    <row r="286" spans="2:10">
      <c r="B286" s="242"/>
      <c r="C286" s="243"/>
      <c r="D286" s="250"/>
      <c r="E286" s="243"/>
      <c r="F286" s="243"/>
      <c r="G286" s="243"/>
      <c r="H286" s="243"/>
      <c r="I286" s="243"/>
      <c r="J286" s="243"/>
    </row>
    <row r="287" spans="2:10">
      <c r="B287" s="242"/>
      <c r="C287" s="243"/>
      <c r="D287" s="250"/>
      <c r="E287" s="243"/>
      <c r="F287" s="243"/>
      <c r="G287" s="243"/>
      <c r="H287" s="243"/>
      <c r="I287" s="243"/>
      <c r="J287" s="243"/>
    </row>
  </sheetData>
  <mergeCells count="42">
    <mergeCell ref="D26:E26"/>
    <mergeCell ref="F26:H26"/>
    <mergeCell ref="I26:J26"/>
    <mergeCell ref="D27:E27"/>
    <mergeCell ref="F27:G27"/>
    <mergeCell ref="H27:J27"/>
    <mergeCell ref="D25:E25"/>
    <mergeCell ref="F25:J25"/>
    <mergeCell ref="J13:J14"/>
    <mergeCell ref="B14:C14"/>
    <mergeCell ref="E19:F19"/>
    <mergeCell ref="E20:F20"/>
    <mergeCell ref="E21:F21"/>
    <mergeCell ref="I21:J21"/>
    <mergeCell ref="B22:E22"/>
    <mergeCell ref="H22:J22"/>
    <mergeCell ref="D23:E23"/>
    <mergeCell ref="F23:J23"/>
    <mergeCell ref="D24:E24"/>
    <mergeCell ref="B11:D11"/>
    <mergeCell ref="E11:F11"/>
    <mergeCell ref="H11:I11"/>
    <mergeCell ref="A13:A14"/>
    <mergeCell ref="B13:D13"/>
    <mergeCell ref="E13:E14"/>
    <mergeCell ref="F13:F14"/>
    <mergeCell ref="G13:G14"/>
    <mergeCell ref="H13:I13"/>
    <mergeCell ref="B10:D10"/>
    <mergeCell ref="E10:F10"/>
    <mergeCell ref="H10:I10"/>
    <mergeCell ref="A1:J1"/>
    <mergeCell ref="B2:D2"/>
    <mergeCell ref="G2:J2"/>
    <mergeCell ref="B3:D3"/>
    <mergeCell ref="G3:J3"/>
    <mergeCell ref="B4:J4"/>
    <mergeCell ref="B5:J5"/>
    <mergeCell ref="B6:J6"/>
    <mergeCell ref="B7:J7"/>
    <mergeCell ref="B8:J8"/>
    <mergeCell ref="B9:J9"/>
  </mergeCells>
  <printOptions horizontalCentered="1"/>
  <pageMargins left="0.24" right="0.21" top="0.27" bottom="0.27559055118110198" header="0.23" footer="0.27559055118110198"/>
  <pageSetup paperSize="9"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00B0F0"/>
  </sheetPr>
  <dimension ref="A1:K315"/>
  <sheetViews>
    <sheetView workbookViewId="0">
      <selection activeCell="E20" sqref="E20:F20"/>
    </sheetView>
  </sheetViews>
  <sheetFormatPr defaultRowHeight="12.75"/>
  <cols>
    <col min="1" max="1" width="2.85546875" style="258" customWidth="1"/>
    <col min="2" max="2" width="9.7109375" style="258" customWidth="1"/>
    <col min="3" max="3" width="9.5703125" style="258" customWidth="1"/>
    <col min="4" max="4" width="25.5703125" style="258" customWidth="1"/>
    <col min="5" max="5" width="4.42578125" style="258" hidden="1" customWidth="1"/>
    <col min="6" max="6" width="5.5703125" style="258" hidden="1" customWidth="1"/>
    <col min="7" max="7" width="7.42578125" style="258" customWidth="1"/>
    <col min="8" max="8" width="4.85546875" style="258" customWidth="1"/>
    <col min="9" max="9" width="8.5703125" style="258" customWidth="1"/>
    <col min="10" max="10" width="10.140625" style="258" customWidth="1"/>
    <col min="11" max="11" width="7.5703125" style="258" customWidth="1"/>
    <col min="12" max="16384" width="9.140625" style="258"/>
  </cols>
  <sheetData>
    <row r="1" spans="1:11" ht="18" customHeight="1">
      <c r="A1" s="1319" t="s">
        <v>200</v>
      </c>
      <c r="B1" s="1319"/>
      <c r="C1" s="1319"/>
      <c r="D1" s="1319"/>
      <c r="E1" s="253"/>
      <c r="F1" s="253"/>
      <c r="G1" s="254" t="s">
        <v>201</v>
      </c>
      <c r="H1" s="255" t="s">
        <v>202</v>
      </c>
      <c r="I1" s="256" t="s">
        <v>201</v>
      </c>
      <c r="J1" s="257" t="s">
        <v>202</v>
      </c>
      <c r="K1" s="257"/>
    </row>
    <row r="2" spans="1:11">
      <c r="B2" s="1318" t="s">
        <v>203</v>
      </c>
      <c r="C2" s="1318"/>
      <c r="D2" s="1318"/>
      <c r="E2" s="259"/>
      <c r="F2" s="259"/>
      <c r="G2" s="254"/>
      <c r="H2" s="260"/>
      <c r="I2" s="257"/>
      <c r="J2" s="257"/>
      <c r="K2" s="257"/>
    </row>
    <row r="3" spans="1:11" ht="21" customHeight="1">
      <c r="B3" s="1318" t="s">
        <v>204</v>
      </c>
      <c r="C3" s="1318"/>
      <c r="D3" s="1318"/>
      <c r="E3" s="1318"/>
      <c r="F3" s="1318"/>
      <c r="G3" s="1320"/>
      <c r="H3" s="260"/>
      <c r="I3" s="257"/>
      <c r="J3" s="257"/>
      <c r="K3" s="257"/>
    </row>
    <row r="4" spans="1:11">
      <c r="B4" s="257"/>
      <c r="C4" s="257" t="s">
        <v>205</v>
      </c>
      <c r="D4" s="257" t="s">
        <v>206</v>
      </c>
      <c r="E4" s="257"/>
      <c r="F4" s="257"/>
      <c r="G4" s="254"/>
      <c r="H4" s="260"/>
      <c r="I4" s="257"/>
      <c r="J4" s="257"/>
      <c r="K4" s="257"/>
    </row>
    <row r="5" spans="1:11" ht="15" customHeight="1">
      <c r="B5" s="257"/>
      <c r="C5" s="1318" t="s">
        <v>207</v>
      </c>
      <c r="D5" s="1318"/>
      <c r="E5" s="259"/>
      <c r="F5" s="259"/>
      <c r="G5" s="254"/>
      <c r="H5" s="260"/>
      <c r="I5" s="257"/>
      <c r="J5" s="257"/>
      <c r="K5" s="257"/>
    </row>
    <row r="6" spans="1:11" ht="15.75" customHeight="1">
      <c r="B6" s="257"/>
      <c r="C6" s="1318" t="s">
        <v>208</v>
      </c>
      <c r="D6" s="1318"/>
      <c r="E6" s="259"/>
      <c r="F6" s="259"/>
      <c r="G6" s="254"/>
      <c r="H6" s="260"/>
      <c r="I6" s="257"/>
      <c r="J6" s="257"/>
      <c r="K6" s="257"/>
    </row>
    <row r="7" spans="1:11">
      <c r="B7" s="257"/>
      <c r="C7" s="257"/>
      <c r="D7" s="257"/>
      <c r="E7" s="257"/>
      <c r="F7" s="257"/>
      <c r="G7" s="254"/>
      <c r="H7" s="260"/>
      <c r="I7" s="257"/>
      <c r="J7" s="257"/>
      <c r="K7" s="257"/>
    </row>
    <row r="8" spans="1:11" ht="18" customHeight="1">
      <c r="A8" s="1321" t="s">
        <v>209</v>
      </c>
      <c r="B8" s="1321"/>
      <c r="C8" s="261" t="s">
        <v>210</v>
      </c>
      <c r="D8" s="261"/>
      <c r="E8" s="257"/>
      <c r="F8" s="257"/>
      <c r="G8" s="257"/>
      <c r="H8" s="260"/>
      <c r="I8" s="257"/>
      <c r="J8" s="257"/>
      <c r="K8" s="257"/>
    </row>
    <row r="9" spans="1:11" ht="13.5" customHeight="1">
      <c r="A9" s="1321"/>
      <c r="B9" s="1321"/>
      <c r="C9" s="1322" t="s">
        <v>211</v>
      </c>
      <c r="D9" s="1322"/>
      <c r="E9" s="259"/>
      <c r="F9" s="259"/>
      <c r="G9" s="257"/>
      <c r="H9" s="260"/>
      <c r="I9" s="257"/>
      <c r="J9" s="257"/>
      <c r="K9" s="257"/>
    </row>
    <row r="10" spans="1:11" ht="12.75" customHeight="1">
      <c r="A10" s="1321"/>
      <c r="B10" s="1321"/>
      <c r="C10" s="1322" t="s">
        <v>212</v>
      </c>
      <c r="D10" s="1322"/>
      <c r="E10" s="259"/>
      <c r="F10" s="259"/>
      <c r="G10" s="257"/>
      <c r="H10" s="260"/>
      <c r="I10" s="257"/>
      <c r="J10" s="257"/>
      <c r="K10" s="257"/>
    </row>
    <row r="11" spans="1:11">
      <c r="A11" s="262"/>
      <c r="B11" s="263"/>
      <c r="C11" s="264" t="s">
        <v>213</v>
      </c>
      <c r="D11" s="264"/>
      <c r="E11" s="256"/>
      <c r="F11" s="256"/>
      <c r="G11" s="256"/>
      <c r="H11" s="255"/>
      <c r="I11" s="256"/>
      <c r="J11" s="256"/>
      <c r="K11" s="256"/>
    </row>
    <row r="12" spans="1:11" ht="14.25" customHeight="1">
      <c r="A12" s="265" t="s">
        <v>214</v>
      </c>
      <c r="B12" s="257"/>
      <c r="C12" s="257"/>
      <c r="D12" s="257" t="s">
        <v>215</v>
      </c>
      <c r="E12" s="257"/>
      <c r="F12" s="257"/>
      <c r="G12" s="257"/>
      <c r="H12" s="257"/>
      <c r="I12" s="257"/>
      <c r="J12" s="257"/>
      <c r="K12" s="257"/>
    </row>
    <row r="13" spans="1:11" ht="12" customHeight="1">
      <c r="A13" s="265" t="s">
        <v>216</v>
      </c>
      <c r="B13" s="257"/>
      <c r="C13" s="257"/>
      <c r="D13" s="257"/>
      <c r="E13" s="257"/>
      <c r="F13" s="257"/>
      <c r="G13" s="257"/>
      <c r="H13" s="257"/>
      <c r="I13" s="257"/>
      <c r="J13" s="257"/>
      <c r="K13" s="257"/>
    </row>
    <row r="14" spans="1:11">
      <c r="B14" s="257"/>
      <c r="C14" s="257"/>
      <c r="D14" s="257"/>
      <c r="E14" s="257"/>
      <c r="F14" s="257"/>
      <c r="G14" s="257"/>
      <c r="H14" s="257"/>
      <c r="I14" s="257"/>
      <c r="J14" s="257"/>
      <c r="K14" s="257"/>
    </row>
    <row r="15" spans="1:11" ht="22.5" customHeight="1">
      <c r="B15" s="257"/>
      <c r="C15" s="1318" t="s">
        <v>217</v>
      </c>
      <c r="D15" s="1318"/>
      <c r="E15" s="259"/>
      <c r="F15" s="259"/>
      <c r="G15" s="257"/>
      <c r="H15" s="257"/>
      <c r="I15" s="257"/>
      <c r="J15" s="257"/>
      <c r="K15" s="257"/>
    </row>
    <row r="16" spans="1:11">
      <c r="B16" s="257"/>
      <c r="C16" s="257"/>
      <c r="D16" s="257"/>
      <c r="E16" s="257"/>
      <c r="F16" s="257"/>
      <c r="G16" s="257"/>
      <c r="H16" s="257"/>
      <c r="I16" s="257"/>
      <c r="J16" s="257"/>
      <c r="K16" s="257"/>
    </row>
    <row r="17" spans="1:11">
      <c r="A17" s="258" t="s">
        <v>218</v>
      </c>
      <c r="B17" s="257"/>
      <c r="C17" s="257"/>
      <c r="D17" s="257"/>
      <c r="E17" s="257"/>
      <c r="F17" s="257"/>
      <c r="G17" s="257"/>
      <c r="H17" s="257"/>
      <c r="I17" s="257"/>
      <c r="J17" s="257"/>
      <c r="K17" s="257"/>
    </row>
    <row r="18" spans="1:11" ht="27" customHeight="1">
      <c r="B18" s="257"/>
      <c r="C18" s="257"/>
      <c r="E18" s="1318" t="s">
        <v>219</v>
      </c>
      <c r="F18" s="1318"/>
      <c r="G18" s="1318"/>
      <c r="H18" s="1318"/>
      <c r="I18" s="1318"/>
      <c r="J18" s="1318"/>
      <c r="K18" s="257"/>
    </row>
    <row r="19" spans="1:11" ht="12" customHeight="1">
      <c r="B19" s="257"/>
      <c r="C19" s="257"/>
      <c r="D19" s="257"/>
      <c r="E19" s="1318" t="s">
        <v>220</v>
      </c>
      <c r="F19" s="1318"/>
      <c r="G19" s="1318"/>
      <c r="H19" s="1318"/>
      <c r="I19" s="1318"/>
      <c r="J19" s="1318"/>
      <c r="K19" s="1318"/>
    </row>
    <row r="20" spans="1:11" ht="6.75" customHeight="1">
      <c r="B20" s="257"/>
      <c r="C20" s="257"/>
      <c r="E20" s="266"/>
      <c r="F20" s="266"/>
      <c r="G20" s="266"/>
      <c r="H20" s="266"/>
      <c r="I20" s="266"/>
      <c r="J20" s="266"/>
      <c r="K20" s="259"/>
    </row>
    <row r="21" spans="1:11" ht="16.5" customHeight="1">
      <c r="B21" s="257"/>
      <c r="C21" s="257"/>
      <c r="D21" s="259"/>
      <c r="E21" s="1318" t="s">
        <v>220</v>
      </c>
      <c r="F21" s="1318"/>
      <c r="G21" s="1318"/>
      <c r="H21" s="1318"/>
      <c r="I21" s="1318"/>
      <c r="J21" s="1318"/>
      <c r="K21" s="1318"/>
    </row>
    <row r="22" spans="1:11">
      <c r="A22" s="1323"/>
      <c r="B22" s="1323"/>
      <c r="C22" s="257"/>
      <c r="D22" s="257"/>
      <c r="E22" s="257"/>
      <c r="F22" s="257"/>
      <c r="G22" s="257"/>
      <c r="H22" s="257"/>
      <c r="I22" s="257"/>
      <c r="J22" s="257"/>
      <c r="K22" s="257"/>
    </row>
    <row r="23" spans="1:11" ht="15" customHeight="1">
      <c r="A23" s="267"/>
      <c r="B23" s="267"/>
      <c r="C23" s="257"/>
      <c r="D23" s="257"/>
      <c r="E23" s="1318" t="s">
        <v>221</v>
      </c>
      <c r="F23" s="1318"/>
      <c r="G23" s="257"/>
      <c r="H23" s="257"/>
      <c r="I23" s="257"/>
      <c r="J23" s="257"/>
      <c r="K23" s="257"/>
    </row>
    <row r="24" spans="1:11">
      <c r="A24" s="267"/>
      <c r="B24" s="267"/>
      <c r="C24" s="257"/>
      <c r="D24" s="257"/>
      <c r="E24" s="257"/>
      <c r="F24" s="257"/>
      <c r="G24" s="257"/>
      <c r="H24" s="257"/>
      <c r="I24" s="257"/>
      <c r="J24" s="257"/>
      <c r="K24" s="257"/>
    </row>
    <row r="25" spans="1:11">
      <c r="A25" s="1324" t="s">
        <v>222</v>
      </c>
      <c r="B25" s="1324"/>
      <c r="C25" s="257"/>
      <c r="D25" s="259" t="s">
        <v>223</v>
      </c>
      <c r="E25" s="1318" t="s">
        <v>220</v>
      </c>
      <c r="F25" s="1318"/>
      <c r="G25" s="1318"/>
      <c r="H25" s="1318"/>
      <c r="I25" s="1318"/>
      <c r="J25" s="1318"/>
      <c r="K25" s="1318"/>
    </row>
    <row r="26" spans="1:11" ht="8.25" customHeight="1">
      <c r="A26" s="267"/>
      <c r="B26" s="267"/>
      <c r="C26" s="257"/>
      <c r="D26" s="257"/>
      <c r="E26" s="257"/>
      <c r="F26" s="257"/>
      <c r="G26" s="257"/>
      <c r="H26" s="257"/>
      <c r="I26" s="257"/>
      <c r="J26" s="257"/>
      <c r="K26" s="257"/>
    </row>
    <row r="27" spans="1:11">
      <c r="A27" s="267"/>
      <c r="B27" s="267"/>
      <c r="C27" s="257"/>
      <c r="D27" s="257"/>
      <c r="E27" s="1318" t="s">
        <v>220</v>
      </c>
      <c r="F27" s="1318"/>
      <c r="G27" s="1318"/>
      <c r="H27" s="1318"/>
      <c r="I27" s="1318"/>
      <c r="J27" s="1318"/>
      <c r="K27" s="1318"/>
    </row>
    <row r="28" spans="1:11">
      <c r="A28" s="267"/>
      <c r="B28" s="267"/>
      <c r="C28" s="257"/>
      <c r="D28" s="257"/>
      <c r="E28" s="257"/>
      <c r="F28" s="257"/>
      <c r="G28" s="257"/>
      <c r="H28" s="257"/>
      <c r="I28" s="257"/>
      <c r="J28" s="257"/>
      <c r="K28" s="257"/>
    </row>
    <row r="29" spans="1:11">
      <c r="A29" s="1324" t="s">
        <v>224</v>
      </c>
      <c r="B29" s="1324"/>
      <c r="C29" s="257"/>
      <c r="D29" s="259" t="s">
        <v>225</v>
      </c>
      <c r="E29" s="1318" t="s">
        <v>220</v>
      </c>
      <c r="F29" s="1318"/>
      <c r="G29" s="1318"/>
      <c r="H29" s="1318"/>
      <c r="I29" s="1318"/>
      <c r="J29" s="1318"/>
      <c r="K29" s="1318"/>
    </row>
    <row r="30" spans="1:11" ht="6.75" customHeight="1">
      <c r="B30" s="257"/>
      <c r="C30" s="257"/>
      <c r="D30" s="257"/>
      <c r="E30" s="257"/>
      <c r="F30" s="257"/>
      <c r="G30" s="257"/>
      <c r="H30" s="257"/>
      <c r="I30" s="257"/>
      <c r="J30" s="257"/>
      <c r="K30" s="257"/>
    </row>
    <row r="31" spans="1:11">
      <c r="B31" s="257"/>
      <c r="C31" s="257"/>
      <c r="D31" s="259"/>
      <c r="E31" s="1318" t="s">
        <v>220</v>
      </c>
      <c r="F31" s="1318"/>
      <c r="G31" s="1318"/>
      <c r="H31" s="1318"/>
      <c r="I31" s="1318"/>
      <c r="J31" s="1318"/>
      <c r="K31" s="1318"/>
    </row>
    <row r="32" spans="1:11" ht="23.25" customHeight="1">
      <c r="B32" s="257"/>
      <c r="C32" s="257"/>
      <c r="D32" s="257"/>
      <c r="E32" s="259"/>
      <c r="F32" s="259"/>
      <c r="G32" s="1318" t="s">
        <v>226</v>
      </c>
      <c r="H32" s="1318"/>
      <c r="I32" s="1318"/>
      <c r="J32" s="1318" t="s">
        <v>227</v>
      </c>
      <c r="K32" s="1318"/>
    </row>
    <row r="33" spans="1:11" ht="11.25" customHeight="1">
      <c r="A33" s="262"/>
      <c r="B33" s="1325"/>
      <c r="C33" s="1326"/>
      <c r="D33" s="1326"/>
      <c r="E33" s="1326"/>
      <c r="F33" s="1326"/>
      <c r="G33" s="1326"/>
      <c r="H33" s="1326"/>
      <c r="I33" s="1326"/>
      <c r="J33" s="1326"/>
      <c r="K33" s="256"/>
    </row>
    <row r="34" spans="1:11" ht="17.25" customHeight="1">
      <c r="B34" s="257"/>
      <c r="C34" s="257"/>
      <c r="D34" s="257"/>
      <c r="E34" s="257"/>
      <c r="F34" s="257"/>
      <c r="G34" s="257"/>
      <c r="H34" s="257"/>
      <c r="I34" s="1318" t="s">
        <v>228</v>
      </c>
      <c r="J34" s="1318"/>
      <c r="K34" s="259"/>
    </row>
    <row r="35" spans="1:11">
      <c r="B35" s="257"/>
      <c r="C35" s="257"/>
      <c r="D35" s="257"/>
      <c r="E35" s="257"/>
      <c r="F35" s="257"/>
      <c r="G35" s="257"/>
      <c r="H35" s="257"/>
      <c r="I35" s="1318" t="s">
        <v>229</v>
      </c>
      <c r="J35" s="1318"/>
      <c r="K35" s="1318"/>
    </row>
    <row r="36" spans="1:11">
      <c r="B36" s="257"/>
      <c r="C36" s="257"/>
      <c r="D36" s="257"/>
      <c r="E36" s="257"/>
      <c r="F36" s="257"/>
      <c r="G36" s="257"/>
      <c r="H36" s="257"/>
      <c r="I36" s="1318" t="s">
        <v>230</v>
      </c>
      <c r="J36" s="1318"/>
      <c r="K36" s="1318"/>
    </row>
    <row r="37" spans="1:11">
      <c r="B37" s="257"/>
      <c r="C37" s="257"/>
      <c r="D37" s="257"/>
      <c r="E37" s="257"/>
      <c r="F37" s="257"/>
      <c r="G37" s="257"/>
      <c r="H37" s="257"/>
      <c r="I37" s="1318" t="s">
        <v>231</v>
      </c>
      <c r="J37" s="1318"/>
      <c r="K37" s="1318"/>
    </row>
    <row r="38" spans="1:11" ht="23.25" customHeight="1">
      <c r="B38" s="257"/>
      <c r="C38" s="257"/>
      <c r="D38" s="1318" t="s">
        <v>232</v>
      </c>
      <c r="E38" s="1318"/>
      <c r="F38" s="261"/>
      <c r="G38" s="259" t="s">
        <v>233</v>
      </c>
      <c r="H38" s="257"/>
      <c r="I38" s="257"/>
      <c r="J38" s="1327" t="s">
        <v>234</v>
      </c>
      <c r="K38" s="1327"/>
    </row>
    <row r="39" spans="1:11" ht="13.5" customHeight="1">
      <c r="A39" s="262"/>
      <c r="B39" s="256"/>
      <c r="C39" s="256"/>
      <c r="D39" s="1328" t="s">
        <v>235</v>
      </c>
      <c r="E39" s="1328"/>
      <c r="F39" s="1328"/>
      <c r="G39" s="1328"/>
      <c r="H39" s="1328"/>
      <c r="I39" s="1328"/>
      <c r="J39" s="256"/>
      <c r="K39" s="256"/>
    </row>
    <row r="40" spans="1:11" ht="22.5" customHeight="1">
      <c r="A40" s="268"/>
      <c r="B40" s="1329" t="s">
        <v>236</v>
      </c>
      <c r="C40" s="1329"/>
      <c r="D40" s="1329"/>
      <c r="E40" s="1329"/>
      <c r="F40" s="1329"/>
      <c r="G40" s="1329"/>
      <c r="H40" s="1329"/>
      <c r="I40" s="1329"/>
      <c r="J40" s="1329"/>
      <c r="K40" s="269"/>
    </row>
    <row r="41" spans="1:11" ht="18" customHeight="1">
      <c r="B41" s="257"/>
      <c r="C41" s="1330" t="s">
        <v>237</v>
      </c>
      <c r="D41" s="1330"/>
      <c r="E41" s="1330"/>
      <c r="F41" s="1330"/>
      <c r="G41" s="1330"/>
      <c r="H41" s="257"/>
      <c r="I41" s="257"/>
      <c r="J41" s="257"/>
      <c r="K41" s="257"/>
    </row>
    <row r="42" spans="1:11" ht="14.25" customHeight="1">
      <c r="B42" s="259"/>
      <c r="C42" s="1318" t="s">
        <v>238</v>
      </c>
      <c r="D42" s="1318"/>
      <c r="E42" s="1318"/>
      <c r="F42" s="1318"/>
      <c r="G42" s="1318"/>
      <c r="H42" s="1318"/>
      <c r="I42" s="1318"/>
      <c r="J42" s="1318"/>
      <c r="K42" s="257"/>
    </row>
    <row r="43" spans="1:11" ht="12.75" customHeight="1">
      <c r="B43" s="1318" t="s">
        <v>239</v>
      </c>
      <c r="C43" s="1318"/>
      <c r="D43" s="1318"/>
      <c r="E43" s="1318"/>
      <c r="F43" s="1318"/>
      <c r="G43" s="1318"/>
      <c r="H43" s="1318"/>
      <c r="I43" s="1318"/>
      <c r="J43" s="1318"/>
      <c r="K43" s="257"/>
    </row>
    <row r="44" spans="1:11" ht="20.25" customHeight="1">
      <c r="B44" s="259"/>
      <c r="C44" s="1318" t="s">
        <v>240</v>
      </c>
      <c r="D44" s="1318"/>
      <c r="E44" s="1318"/>
      <c r="F44" s="1318"/>
      <c r="G44" s="1318"/>
      <c r="H44" s="1318"/>
      <c r="I44" s="1318"/>
      <c r="J44" s="1318"/>
      <c r="K44" s="257"/>
    </row>
    <row r="45" spans="1:11" ht="23.25" customHeight="1">
      <c r="B45" s="1331" t="s">
        <v>241</v>
      </c>
      <c r="C45" s="1331"/>
      <c r="D45" s="1331"/>
      <c r="E45" s="1331"/>
      <c r="F45" s="1331"/>
      <c r="G45" s="1331"/>
      <c r="H45" s="1331"/>
      <c r="I45" s="1331"/>
      <c r="J45" s="1331"/>
      <c r="K45" s="257"/>
    </row>
    <row r="46" spans="1:11" ht="12.75" customHeight="1">
      <c r="B46" s="1318" t="s">
        <v>242</v>
      </c>
      <c r="C46" s="1318"/>
      <c r="D46" s="1318"/>
      <c r="E46" s="1318"/>
      <c r="F46" s="1318"/>
      <c r="G46" s="1318"/>
      <c r="H46" s="1318"/>
      <c r="I46" s="1318"/>
      <c r="J46" s="1318"/>
      <c r="K46" s="257"/>
    </row>
    <row r="47" spans="1:11" ht="18" customHeight="1">
      <c r="B47" s="259"/>
      <c r="C47" s="1318" t="s">
        <v>243</v>
      </c>
      <c r="D47" s="1318"/>
      <c r="E47" s="1318"/>
      <c r="F47" s="1318"/>
      <c r="G47" s="1318"/>
      <c r="H47" s="1318"/>
      <c r="I47" s="1318"/>
      <c r="J47" s="1318"/>
      <c r="K47" s="257"/>
    </row>
    <row r="48" spans="1:11">
      <c r="B48" s="1318" t="s">
        <v>244</v>
      </c>
      <c r="C48" s="1318"/>
      <c r="D48" s="1318"/>
      <c r="E48" s="1318"/>
      <c r="F48" s="1318"/>
      <c r="G48" s="1318"/>
      <c r="H48" s="1318"/>
      <c r="I48" s="1318"/>
      <c r="J48" s="1318"/>
      <c r="K48" s="257"/>
    </row>
    <row r="49" spans="2:11" ht="18.75" customHeight="1">
      <c r="B49" s="259"/>
      <c r="C49" s="1318" t="s">
        <v>245</v>
      </c>
      <c r="D49" s="1318"/>
      <c r="E49" s="1318"/>
      <c r="F49" s="1318"/>
      <c r="G49" s="1318"/>
      <c r="H49" s="1318"/>
      <c r="I49" s="1318"/>
      <c r="J49" s="1318"/>
      <c r="K49" s="257"/>
    </row>
    <row r="50" spans="2:11">
      <c r="B50" s="1318" t="s">
        <v>246</v>
      </c>
      <c r="C50" s="1318"/>
      <c r="D50" s="1318"/>
      <c r="E50" s="1318"/>
      <c r="F50" s="1318"/>
      <c r="G50" s="1318"/>
      <c r="H50" s="1318"/>
      <c r="I50" s="1318"/>
      <c r="J50" s="1318"/>
      <c r="K50" s="257"/>
    </row>
    <row r="51" spans="2:11" ht="19.5" customHeight="1">
      <c r="B51" s="259"/>
      <c r="C51" s="1318" t="s">
        <v>247</v>
      </c>
      <c r="D51" s="1318"/>
      <c r="E51" s="1318"/>
      <c r="F51" s="1318"/>
      <c r="G51" s="1318"/>
      <c r="H51" s="1318"/>
      <c r="I51" s="1318"/>
      <c r="J51" s="1318"/>
      <c r="K51" s="257"/>
    </row>
    <row r="52" spans="2:11">
      <c r="B52" s="1318" t="s">
        <v>248</v>
      </c>
      <c r="C52" s="1318"/>
      <c r="D52" s="1318"/>
      <c r="E52" s="1318"/>
      <c r="F52" s="1318"/>
      <c r="G52" s="1318"/>
      <c r="H52" s="1318"/>
      <c r="I52" s="1318"/>
      <c r="J52" s="1318"/>
      <c r="K52" s="257"/>
    </row>
    <row r="53" spans="2:11" ht="19.5" customHeight="1">
      <c r="B53" s="259"/>
      <c r="C53" s="1318" t="s">
        <v>249</v>
      </c>
      <c r="D53" s="1318"/>
      <c r="E53" s="1318"/>
      <c r="F53" s="1318"/>
      <c r="G53" s="1318"/>
      <c r="H53" s="1318"/>
      <c r="I53" s="1318"/>
      <c r="J53" s="1318"/>
      <c r="K53" s="257"/>
    </row>
    <row r="54" spans="2:11" ht="19.5" customHeight="1">
      <c r="B54" s="1318" t="s">
        <v>250</v>
      </c>
      <c r="C54" s="1318"/>
      <c r="D54" s="1318"/>
      <c r="E54" s="1318"/>
      <c r="F54" s="1318"/>
      <c r="G54" s="1318"/>
      <c r="H54" s="1318"/>
      <c r="I54" s="1318"/>
      <c r="J54" s="1318"/>
      <c r="K54" s="257"/>
    </row>
    <row r="55" spans="2:11" ht="14.25" customHeight="1">
      <c r="B55" s="259"/>
      <c r="C55" s="1318" t="s">
        <v>251</v>
      </c>
      <c r="D55" s="1318"/>
      <c r="E55" s="1318"/>
      <c r="F55" s="1318"/>
      <c r="G55" s="1318"/>
      <c r="H55" s="1318"/>
      <c r="I55" s="1318"/>
      <c r="J55" s="1318"/>
      <c r="K55" s="257"/>
    </row>
    <row r="56" spans="2:11" ht="21" customHeight="1">
      <c r="B56" s="1322" t="s">
        <v>252</v>
      </c>
      <c r="C56" s="1322"/>
      <c r="D56" s="1322"/>
      <c r="E56" s="1322"/>
      <c r="F56" s="1322"/>
      <c r="G56" s="1322"/>
      <c r="H56" s="1322"/>
      <c r="I56" s="1322"/>
      <c r="J56" s="1322"/>
      <c r="K56" s="257"/>
    </row>
    <row r="57" spans="2:11" ht="21.75" customHeight="1">
      <c r="B57" s="1318" t="s">
        <v>253</v>
      </c>
      <c r="C57" s="1318"/>
      <c r="D57" s="1318"/>
      <c r="E57" s="1318"/>
      <c r="F57" s="1318"/>
      <c r="G57" s="1318"/>
      <c r="H57" s="1318"/>
      <c r="I57" s="1318"/>
      <c r="J57" s="1318"/>
      <c r="K57" s="257"/>
    </row>
    <row r="58" spans="2:11">
      <c r="B58" s="259"/>
      <c r="C58" s="1318" t="s">
        <v>254</v>
      </c>
      <c r="D58" s="1318"/>
      <c r="E58" s="1318"/>
      <c r="F58" s="1318"/>
      <c r="G58" s="1318"/>
      <c r="H58" s="1318"/>
      <c r="I58" s="1318"/>
      <c r="J58" s="1318"/>
      <c r="K58" s="257"/>
    </row>
    <row r="59" spans="2:11" ht="21.75" customHeight="1">
      <c r="B59" s="1322" t="s">
        <v>255</v>
      </c>
      <c r="C59" s="1322"/>
      <c r="D59" s="1322"/>
      <c r="E59" s="1322"/>
      <c r="F59" s="1322"/>
      <c r="G59" s="1322"/>
      <c r="H59" s="1322"/>
      <c r="I59" s="1322"/>
      <c r="J59" s="1322"/>
      <c r="K59" s="257"/>
    </row>
    <row r="60" spans="2:11">
      <c r="B60" s="257"/>
      <c r="C60" s="257"/>
      <c r="D60" s="257"/>
      <c r="E60" s="257"/>
      <c r="F60" s="257"/>
      <c r="G60" s="257"/>
      <c r="H60" s="257"/>
      <c r="I60" s="257"/>
      <c r="J60" s="257"/>
      <c r="K60" s="257"/>
    </row>
    <row r="61" spans="2:11">
      <c r="B61" s="257"/>
      <c r="C61" s="257"/>
      <c r="D61" s="257"/>
      <c r="E61" s="257"/>
      <c r="F61" s="257"/>
      <c r="G61" s="257"/>
      <c r="H61" s="257"/>
      <c r="I61" s="257"/>
      <c r="J61" s="257"/>
      <c r="K61" s="257"/>
    </row>
    <row r="62" spans="2:11">
      <c r="B62" s="257"/>
      <c r="C62" s="257"/>
      <c r="D62" s="257"/>
      <c r="E62" s="257"/>
      <c r="F62" s="257"/>
      <c r="G62" s="257"/>
      <c r="H62" s="257"/>
      <c r="I62" s="257"/>
      <c r="J62" s="257"/>
      <c r="K62" s="257"/>
    </row>
    <row r="63" spans="2:11">
      <c r="B63" s="257"/>
      <c r="C63" s="257"/>
      <c r="D63" s="257"/>
      <c r="E63" s="257"/>
      <c r="F63" s="257"/>
      <c r="G63" s="257"/>
      <c r="H63" s="257"/>
      <c r="I63" s="257"/>
      <c r="J63" s="257"/>
      <c r="K63" s="257"/>
    </row>
    <row r="64" spans="2:11">
      <c r="B64" s="257"/>
      <c r="C64" s="257"/>
      <c r="D64" s="257"/>
      <c r="E64" s="257"/>
      <c r="F64" s="257"/>
      <c r="G64" s="257"/>
      <c r="H64" s="257"/>
      <c r="I64" s="257"/>
      <c r="J64" s="257"/>
      <c r="K64" s="257"/>
    </row>
    <row r="65" spans="2:11">
      <c r="B65" s="257"/>
      <c r="C65" s="257"/>
      <c r="D65" s="257"/>
      <c r="E65" s="257"/>
      <c r="F65" s="257"/>
      <c r="G65" s="257"/>
      <c r="H65" s="257"/>
      <c r="I65" s="257"/>
      <c r="J65" s="257"/>
      <c r="K65" s="257"/>
    </row>
    <row r="66" spans="2:11">
      <c r="B66" s="257"/>
      <c r="C66" s="257"/>
      <c r="D66" s="257"/>
      <c r="E66" s="257"/>
      <c r="F66" s="257"/>
      <c r="G66" s="257"/>
      <c r="H66" s="257"/>
      <c r="I66" s="257"/>
      <c r="J66" s="257"/>
      <c r="K66" s="257"/>
    </row>
    <row r="67" spans="2:11">
      <c r="B67" s="257"/>
      <c r="C67" s="257"/>
      <c r="D67" s="257"/>
      <c r="E67" s="257"/>
      <c r="F67" s="257"/>
      <c r="G67" s="257"/>
      <c r="H67" s="257"/>
      <c r="I67" s="257"/>
      <c r="J67" s="257"/>
      <c r="K67" s="257"/>
    </row>
    <row r="68" spans="2:11">
      <c r="B68" s="257"/>
      <c r="C68" s="257"/>
      <c r="D68" s="257"/>
      <c r="E68" s="257"/>
      <c r="F68" s="257"/>
      <c r="G68" s="257"/>
      <c r="H68" s="257"/>
      <c r="I68" s="257"/>
      <c r="J68" s="257"/>
      <c r="K68" s="257"/>
    </row>
    <row r="69" spans="2:11">
      <c r="B69" s="257"/>
      <c r="C69" s="257"/>
      <c r="D69" s="257"/>
      <c r="E69" s="257"/>
      <c r="F69" s="257"/>
      <c r="G69" s="257"/>
      <c r="H69" s="257"/>
      <c r="I69" s="257"/>
      <c r="J69" s="257"/>
      <c r="K69" s="257"/>
    </row>
    <row r="70" spans="2:11">
      <c r="B70" s="257"/>
      <c r="C70" s="257"/>
      <c r="D70" s="257"/>
      <c r="E70" s="257"/>
      <c r="F70" s="257"/>
      <c r="G70" s="257"/>
      <c r="H70" s="257"/>
      <c r="I70" s="257"/>
      <c r="J70" s="257"/>
      <c r="K70" s="257"/>
    </row>
    <row r="71" spans="2:11">
      <c r="B71" s="257"/>
      <c r="C71" s="257"/>
      <c r="D71" s="257"/>
      <c r="E71" s="257"/>
      <c r="F71" s="257"/>
      <c r="G71" s="257"/>
      <c r="H71" s="257"/>
      <c r="I71" s="257"/>
      <c r="J71" s="257"/>
      <c r="K71" s="257"/>
    </row>
    <row r="72" spans="2:11">
      <c r="B72" s="257"/>
      <c r="C72" s="257"/>
      <c r="D72" s="257"/>
      <c r="E72" s="257"/>
      <c r="F72" s="257"/>
      <c r="G72" s="257"/>
      <c r="H72" s="257"/>
      <c r="I72" s="257"/>
      <c r="J72" s="257"/>
      <c r="K72" s="257"/>
    </row>
    <row r="73" spans="2:11">
      <c r="B73" s="257"/>
      <c r="C73" s="257"/>
      <c r="D73" s="257"/>
      <c r="E73" s="257"/>
      <c r="F73" s="257"/>
      <c r="G73" s="257"/>
      <c r="H73" s="257"/>
      <c r="I73" s="257"/>
      <c r="J73" s="257"/>
      <c r="K73" s="257"/>
    </row>
    <row r="74" spans="2:11">
      <c r="B74" s="257"/>
      <c r="C74" s="257"/>
      <c r="D74" s="257"/>
      <c r="E74" s="257"/>
      <c r="F74" s="257"/>
      <c r="G74" s="257"/>
      <c r="H74" s="257"/>
      <c r="I74" s="257"/>
      <c r="J74" s="257"/>
      <c r="K74" s="257"/>
    </row>
    <row r="75" spans="2:11">
      <c r="B75" s="257"/>
      <c r="C75" s="257"/>
      <c r="D75" s="257"/>
      <c r="E75" s="257"/>
      <c r="F75" s="257"/>
      <c r="G75" s="257"/>
      <c r="H75" s="257"/>
      <c r="I75" s="257"/>
      <c r="J75" s="257"/>
      <c r="K75" s="257"/>
    </row>
    <row r="76" spans="2:11">
      <c r="B76" s="257"/>
      <c r="C76" s="257"/>
      <c r="D76" s="257"/>
      <c r="E76" s="257"/>
      <c r="F76" s="257"/>
      <c r="G76" s="257"/>
      <c r="H76" s="257"/>
      <c r="I76" s="257"/>
      <c r="J76" s="257"/>
      <c r="K76" s="257"/>
    </row>
    <row r="77" spans="2:11">
      <c r="B77" s="257"/>
      <c r="C77" s="257"/>
      <c r="D77" s="257"/>
      <c r="E77" s="257"/>
      <c r="F77" s="257"/>
      <c r="G77" s="257"/>
      <c r="H77" s="257"/>
      <c r="I77" s="257"/>
      <c r="J77" s="257"/>
      <c r="K77" s="257"/>
    </row>
    <row r="78" spans="2:11">
      <c r="B78" s="257"/>
      <c r="C78" s="257"/>
      <c r="D78" s="257"/>
      <c r="E78" s="257"/>
      <c r="F78" s="257"/>
      <c r="G78" s="257"/>
      <c r="H78" s="257"/>
      <c r="I78" s="257"/>
      <c r="J78" s="257"/>
      <c r="K78" s="257"/>
    </row>
    <row r="79" spans="2:11">
      <c r="B79" s="257"/>
      <c r="C79" s="257"/>
      <c r="D79" s="257"/>
      <c r="E79" s="257"/>
      <c r="F79" s="257"/>
      <c r="G79" s="257"/>
      <c r="H79" s="257"/>
      <c r="I79" s="257"/>
      <c r="J79" s="257"/>
      <c r="K79" s="257"/>
    </row>
    <row r="80" spans="2:11">
      <c r="B80" s="257"/>
      <c r="C80" s="257"/>
      <c r="D80" s="257"/>
      <c r="E80" s="257"/>
      <c r="F80" s="257"/>
      <c r="G80" s="257"/>
      <c r="H80" s="257"/>
      <c r="I80" s="257"/>
      <c r="J80" s="257"/>
      <c r="K80" s="257"/>
    </row>
    <row r="81" spans="2:11">
      <c r="B81" s="257"/>
      <c r="C81" s="257"/>
      <c r="D81" s="257"/>
      <c r="E81" s="257"/>
      <c r="F81" s="257"/>
      <c r="G81" s="257"/>
      <c r="H81" s="257"/>
      <c r="I81" s="257"/>
      <c r="J81" s="257"/>
      <c r="K81" s="257"/>
    </row>
    <row r="82" spans="2:11">
      <c r="B82" s="257"/>
      <c r="C82" s="257"/>
      <c r="D82" s="257"/>
      <c r="E82" s="257"/>
      <c r="F82" s="257"/>
      <c r="G82" s="257"/>
      <c r="H82" s="257"/>
      <c r="I82" s="257"/>
      <c r="J82" s="257"/>
      <c r="K82" s="257"/>
    </row>
    <row r="83" spans="2:11">
      <c r="B83" s="257"/>
      <c r="C83" s="257"/>
      <c r="D83" s="257"/>
      <c r="E83" s="257"/>
      <c r="F83" s="257"/>
      <c r="G83" s="257"/>
      <c r="H83" s="257"/>
      <c r="I83" s="257"/>
      <c r="J83" s="257"/>
      <c r="K83" s="257"/>
    </row>
    <row r="84" spans="2:11">
      <c r="B84" s="257"/>
      <c r="C84" s="257"/>
      <c r="D84" s="257"/>
      <c r="E84" s="257"/>
      <c r="F84" s="257"/>
      <c r="G84" s="257"/>
      <c r="H84" s="257"/>
      <c r="I84" s="257"/>
      <c r="J84" s="257"/>
      <c r="K84" s="257"/>
    </row>
    <row r="85" spans="2:11">
      <c r="B85" s="257"/>
      <c r="C85" s="257"/>
      <c r="D85" s="257"/>
      <c r="E85" s="257"/>
      <c r="F85" s="257"/>
      <c r="G85" s="257"/>
      <c r="H85" s="257"/>
      <c r="I85" s="257"/>
      <c r="J85" s="257"/>
      <c r="K85" s="257"/>
    </row>
    <row r="86" spans="2:11">
      <c r="B86" s="257"/>
      <c r="C86" s="257"/>
      <c r="D86" s="257"/>
      <c r="E86" s="257"/>
      <c r="F86" s="257"/>
      <c r="G86" s="257"/>
      <c r="H86" s="257"/>
      <c r="I86" s="257"/>
      <c r="J86" s="257"/>
      <c r="K86" s="257"/>
    </row>
    <row r="87" spans="2:11">
      <c r="B87" s="257"/>
      <c r="C87" s="257"/>
      <c r="D87" s="257"/>
      <c r="E87" s="257"/>
      <c r="F87" s="257"/>
      <c r="G87" s="257"/>
      <c r="H87" s="257"/>
      <c r="I87" s="257"/>
      <c r="J87" s="257"/>
      <c r="K87" s="257"/>
    </row>
    <row r="88" spans="2:11">
      <c r="B88" s="257"/>
      <c r="C88" s="257"/>
      <c r="D88" s="257"/>
      <c r="E88" s="257"/>
      <c r="F88" s="257"/>
      <c r="G88" s="257"/>
      <c r="H88" s="257"/>
      <c r="I88" s="257"/>
      <c r="J88" s="257"/>
      <c r="K88" s="257"/>
    </row>
    <row r="89" spans="2:11">
      <c r="B89" s="257"/>
      <c r="C89" s="257"/>
      <c r="D89" s="257"/>
      <c r="E89" s="257"/>
      <c r="F89" s="257"/>
      <c r="G89" s="257"/>
      <c r="H89" s="257"/>
      <c r="I89" s="257"/>
      <c r="J89" s="257"/>
      <c r="K89" s="257"/>
    </row>
    <row r="90" spans="2:11">
      <c r="B90" s="257"/>
      <c r="C90" s="257"/>
      <c r="D90" s="257"/>
      <c r="E90" s="257"/>
      <c r="F90" s="257"/>
      <c r="G90" s="257"/>
      <c r="H90" s="257"/>
      <c r="I90" s="257"/>
      <c r="J90" s="257"/>
      <c r="K90" s="257"/>
    </row>
    <row r="91" spans="2:11">
      <c r="B91" s="257"/>
      <c r="C91" s="257"/>
      <c r="D91" s="257"/>
      <c r="E91" s="257"/>
      <c r="F91" s="257"/>
      <c r="G91" s="257"/>
      <c r="H91" s="257"/>
      <c r="I91" s="257"/>
      <c r="J91" s="257"/>
      <c r="K91" s="257"/>
    </row>
    <row r="92" spans="2:11">
      <c r="B92" s="257"/>
      <c r="C92" s="257"/>
      <c r="D92" s="257"/>
      <c r="E92" s="257"/>
      <c r="F92" s="257"/>
      <c r="G92" s="257"/>
      <c r="H92" s="257"/>
      <c r="I92" s="257"/>
      <c r="J92" s="257"/>
      <c r="K92" s="257"/>
    </row>
    <row r="93" spans="2:11">
      <c r="B93" s="257"/>
      <c r="C93" s="257"/>
      <c r="D93" s="257"/>
      <c r="E93" s="257"/>
      <c r="F93" s="257"/>
      <c r="G93" s="257"/>
      <c r="H93" s="257"/>
      <c r="I93" s="257"/>
      <c r="J93" s="257"/>
      <c r="K93" s="257"/>
    </row>
    <row r="94" spans="2:11">
      <c r="B94" s="257"/>
      <c r="C94" s="257"/>
      <c r="D94" s="257"/>
      <c r="E94" s="257"/>
      <c r="F94" s="257"/>
      <c r="G94" s="257"/>
      <c r="H94" s="257"/>
      <c r="I94" s="257"/>
      <c r="J94" s="257"/>
      <c r="K94" s="257"/>
    </row>
    <row r="95" spans="2:11">
      <c r="B95" s="257"/>
      <c r="C95" s="257"/>
      <c r="D95" s="257"/>
      <c r="E95" s="257"/>
      <c r="F95" s="257"/>
      <c r="G95" s="257"/>
      <c r="H95" s="257"/>
      <c r="I95" s="257"/>
      <c r="J95" s="257"/>
      <c r="K95" s="257"/>
    </row>
    <row r="96" spans="2:11">
      <c r="B96" s="257"/>
      <c r="C96" s="257"/>
      <c r="D96" s="257"/>
      <c r="E96" s="257"/>
      <c r="F96" s="257"/>
      <c r="G96" s="257"/>
      <c r="H96" s="257"/>
      <c r="I96" s="257"/>
      <c r="J96" s="257"/>
      <c r="K96" s="257"/>
    </row>
    <row r="97" spans="2:11">
      <c r="B97" s="257"/>
      <c r="C97" s="257"/>
      <c r="D97" s="257"/>
      <c r="E97" s="257"/>
      <c r="F97" s="257"/>
      <c r="G97" s="257"/>
      <c r="H97" s="257"/>
      <c r="I97" s="257"/>
      <c r="J97" s="257"/>
      <c r="K97" s="257"/>
    </row>
    <row r="98" spans="2:11">
      <c r="B98" s="257"/>
      <c r="C98" s="257"/>
      <c r="D98" s="257"/>
      <c r="E98" s="257"/>
      <c r="F98" s="257"/>
      <c r="G98" s="257"/>
      <c r="H98" s="257"/>
      <c r="I98" s="257"/>
      <c r="J98" s="257"/>
      <c r="K98" s="257"/>
    </row>
    <row r="99" spans="2:11">
      <c r="B99" s="257"/>
      <c r="C99" s="257"/>
      <c r="D99" s="257"/>
      <c r="E99" s="257"/>
      <c r="F99" s="257"/>
      <c r="G99" s="257"/>
      <c r="H99" s="257"/>
      <c r="I99" s="257"/>
      <c r="J99" s="257"/>
      <c r="K99" s="257"/>
    </row>
    <row r="100" spans="2:11">
      <c r="B100" s="257"/>
      <c r="C100" s="257"/>
      <c r="D100" s="257"/>
      <c r="E100" s="257"/>
      <c r="F100" s="257"/>
      <c r="G100" s="257"/>
      <c r="H100" s="257"/>
      <c r="I100" s="257"/>
      <c r="J100" s="257"/>
      <c r="K100" s="257"/>
    </row>
    <row r="101" spans="2:11">
      <c r="B101" s="257"/>
      <c r="C101" s="257"/>
      <c r="D101" s="257"/>
      <c r="E101" s="257"/>
      <c r="F101" s="257"/>
      <c r="G101" s="257"/>
      <c r="H101" s="257"/>
      <c r="I101" s="257"/>
      <c r="J101" s="257"/>
      <c r="K101" s="257"/>
    </row>
    <row r="102" spans="2:11">
      <c r="B102" s="257"/>
      <c r="C102" s="257"/>
      <c r="D102" s="257"/>
      <c r="E102" s="257"/>
      <c r="F102" s="257"/>
      <c r="G102" s="257"/>
      <c r="H102" s="257"/>
      <c r="I102" s="257"/>
      <c r="J102" s="257"/>
      <c r="K102" s="257"/>
    </row>
    <row r="103" spans="2:11">
      <c r="B103" s="257"/>
      <c r="C103" s="257"/>
      <c r="D103" s="257"/>
      <c r="E103" s="257"/>
      <c r="F103" s="257"/>
      <c r="G103" s="257"/>
      <c r="H103" s="257"/>
      <c r="I103" s="257"/>
      <c r="J103" s="257"/>
      <c r="K103" s="257"/>
    </row>
    <row r="104" spans="2:11">
      <c r="B104" s="257"/>
      <c r="C104" s="257"/>
      <c r="D104" s="257"/>
      <c r="E104" s="257"/>
      <c r="F104" s="257"/>
      <c r="G104" s="257"/>
      <c r="H104" s="257"/>
      <c r="I104" s="257"/>
      <c r="J104" s="257"/>
      <c r="K104" s="257"/>
    </row>
    <row r="105" spans="2:11">
      <c r="B105" s="257"/>
      <c r="C105" s="257"/>
      <c r="D105" s="257"/>
      <c r="E105" s="257"/>
      <c r="F105" s="257"/>
      <c r="G105" s="257"/>
      <c r="H105" s="257"/>
      <c r="I105" s="257"/>
      <c r="J105" s="257"/>
      <c r="K105" s="257"/>
    </row>
    <row r="106" spans="2:11">
      <c r="B106" s="257"/>
      <c r="C106" s="257"/>
      <c r="D106" s="257"/>
      <c r="E106" s="257"/>
      <c r="F106" s="257"/>
      <c r="G106" s="257"/>
      <c r="H106" s="257"/>
      <c r="I106" s="257"/>
      <c r="J106" s="257"/>
      <c r="K106" s="257"/>
    </row>
    <row r="107" spans="2:11">
      <c r="B107" s="257"/>
      <c r="C107" s="257"/>
      <c r="D107" s="257"/>
      <c r="E107" s="257"/>
      <c r="F107" s="257"/>
      <c r="G107" s="257"/>
      <c r="H107" s="257"/>
      <c r="I107" s="257"/>
      <c r="J107" s="257"/>
      <c r="K107" s="257"/>
    </row>
    <row r="108" spans="2:11">
      <c r="B108" s="257"/>
      <c r="C108" s="257"/>
      <c r="D108" s="257"/>
      <c r="E108" s="257"/>
      <c r="F108" s="257"/>
      <c r="G108" s="257"/>
      <c r="H108" s="257"/>
      <c r="I108" s="257"/>
      <c r="J108" s="257"/>
      <c r="K108" s="257"/>
    </row>
    <row r="109" spans="2:11">
      <c r="B109" s="257"/>
      <c r="C109" s="257"/>
      <c r="D109" s="257"/>
      <c r="E109" s="257"/>
      <c r="F109" s="257"/>
      <c r="G109" s="257"/>
      <c r="H109" s="257"/>
      <c r="I109" s="257"/>
      <c r="J109" s="257"/>
      <c r="K109" s="257"/>
    </row>
    <row r="110" spans="2:11">
      <c r="B110" s="257"/>
      <c r="C110" s="257"/>
      <c r="D110" s="257"/>
      <c r="E110" s="257"/>
      <c r="F110" s="257"/>
      <c r="G110" s="257"/>
      <c r="H110" s="257"/>
      <c r="I110" s="257"/>
      <c r="J110" s="257"/>
      <c r="K110" s="257"/>
    </row>
    <row r="111" spans="2:11">
      <c r="B111" s="257"/>
      <c r="C111" s="257"/>
      <c r="D111" s="257"/>
      <c r="E111" s="257"/>
      <c r="F111" s="257"/>
      <c r="G111" s="257"/>
      <c r="H111" s="257"/>
      <c r="I111" s="257"/>
      <c r="J111" s="257"/>
      <c r="K111" s="257"/>
    </row>
    <row r="112" spans="2:11">
      <c r="B112" s="257"/>
      <c r="C112" s="257"/>
      <c r="D112" s="257"/>
      <c r="E112" s="257"/>
      <c r="F112" s="257"/>
      <c r="G112" s="257"/>
      <c r="H112" s="257"/>
      <c r="I112" s="257"/>
      <c r="J112" s="257"/>
      <c r="K112" s="257"/>
    </row>
    <row r="113" spans="2:11">
      <c r="B113" s="257"/>
      <c r="C113" s="257"/>
      <c r="D113" s="257"/>
      <c r="E113" s="257"/>
      <c r="F113" s="257"/>
      <c r="G113" s="257"/>
      <c r="H113" s="257"/>
      <c r="I113" s="257"/>
      <c r="J113" s="257"/>
      <c r="K113" s="257"/>
    </row>
    <row r="114" spans="2:11">
      <c r="B114" s="257"/>
      <c r="C114" s="257"/>
      <c r="D114" s="257"/>
      <c r="E114" s="257"/>
      <c r="F114" s="257"/>
      <c r="G114" s="257"/>
      <c r="H114" s="257"/>
      <c r="I114" s="257"/>
      <c r="J114" s="257"/>
      <c r="K114" s="257"/>
    </row>
    <row r="115" spans="2:11">
      <c r="B115" s="257"/>
      <c r="C115" s="257"/>
      <c r="D115" s="257"/>
      <c r="E115" s="257"/>
      <c r="F115" s="257"/>
      <c r="G115" s="257"/>
      <c r="H115" s="257"/>
      <c r="I115" s="257"/>
      <c r="J115" s="257"/>
      <c r="K115" s="257"/>
    </row>
    <row r="116" spans="2:11">
      <c r="B116" s="257"/>
      <c r="C116" s="257"/>
      <c r="D116" s="257"/>
      <c r="E116" s="257"/>
      <c r="F116" s="257"/>
      <c r="G116" s="257"/>
      <c r="H116" s="257"/>
      <c r="I116" s="257"/>
      <c r="J116" s="257"/>
      <c r="K116" s="257"/>
    </row>
    <row r="117" spans="2:11">
      <c r="B117" s="257"/>
      <c r="C117" s="257"/>
      <c r="D117" s="257"/>
      <c r="E117" s="257"/>
      <c r="F117" s="257"/>
      <c r="G117" s="257"/>
      <c r="H117" s="257"/>
      <c r="I117" s="257"/>
      <c r="J117" s="257"/>
      <c r="K117" s="257"/>
    </row>
    <row r="118" spans="2:11">
      <c r="B118" s="257"/>
      <c r="C118" s="257"/>
      <c r="D118" s="257"/>
      <c r="E118" s="257"/>
      <c r="F118" s="257"/>
      <c r="G118" s="257"/>
      <c r="H118" s="257"/>
      <c r="I118" s="257"/>
      <c r="J118" s="257"/>
      <c r="K118" s="257"/>
    </row>
    <row r="119" spans="2:11">
      <c r="B119" s="257"/>
      <c r="C119" s="257"/>
      <c r="D119" s="257"/>
      <c r="E119" s="257"/>
      <c r="F119" s="257"/>
      <c r="G119" s="257"/>
      <c r="H119" s="257"/>
      <c r="I119" s="257"/>
      <c r="J119" s="257"/>
      <c r="K119" s="257"/>
    </row>
    <row r="120" spans="2:11">
      <c r="B120" s="257"/>
      <c r="C120" s="257"/>
      <c r="D120" s="257"/>
      <c r="E120" s="257"/>
      <c r="F120" s="257"/>
      <c r="G120" s="257"/>
      <c r="H120" s="257"/>
      <c r="I120" s="257"/>
      <c r="J120" s="257"/>
      <c r="K120" s="257"/>
    </row>
    <row r="121" spans="2:11">
      <c r="B121" s="257"/>
      <c r="C121" s="257"/>
      <c r="D121" s="257"/>
      <c r="E121" s="257"/>
      <c r="F121" s="257"/>
      <c r="G121" s="257"/>
      <c r="H121" s="257"/>
      <c r="I121" s="257"/>
      <c r="J121" s="257"/>
      <c r="K121" s="257"/>
    </row>
    <row r="122" spans="2:11">
      <c r="B122" s="257"/>
      <c r="C122" s="257"/>
      <c r="D122" s="257"/>
      <c r="E122" s="257"/>
      <c r="F122" s="257"/>
      <c r="G122" s="257"/>
      <c r="H122" s="257"/>
      <c r="I122" s="257"/>
      <c r="J122" s="257"/>
      <c r="K122" s="257"/>
    </row>
    <row r="123" spans="2:11">
      <c r="B123" s="257"/>
      <c r="C123" s="257"/>
      <c r="D123" s="257"/>
      <c r="E123" s="257"/>
      <c r="F123" s="257"/>
      <c r="G123" s="257"/>
      <c r="H123" s="257"/>
      <c r="I123" s="257"/>
      <c r="J123" s="257"/>
      <c r="K123" s="257"/>
    </row>
    <row r="124" spans="2:11">
      <c r="B124" s="257"/>
      <c r="C124" s="257"/>
      <c r="D124" s="257"/>
      <c r="E124" s="257"/>
      <c r="F124" s="257"/>
      <c r="G124" s="257"/>
      <c r="H124" s="257"/>
      <c r="I124" s="257"/>
      <c r="J124" s="257"/>
      <c r="K124" s="257"/>
    </row>
    <row r="125" spans="2:11">
      <c r="B125" s="257"/>
      <c r="C125" s="257"/>
      <c r="D125" s="257"/>
      <c r="E125" s="257"/>
      <c r="F125" s="257"/>
      <c r="G125" s="257"/>
      <c r="H125" s="257"/>
      <c r="I125" s="257"/>
      <c r="J125" s="257"/>
      <c r="K125" s="257"/>
    </row>
    <row r="126" spans="2:11">
      <c r="B126" s="257"/>
      <c r="C126" s="257"/>
      <c r="D126" s="257"/>
      <c r="E126" s="257"/>
      <c r="F126" s="257"/>
      <c r="G126" s="257"/>
      <c r="H126" s="257"/>
      <c r="I126" s="257"/>
      <c r="J126" s="257"/>
      <c r="K126" s="257"/>
    </row>
    <row r="127" spans="2:11">
      <c r="B127" s="257"/>
      <c r="C127" s="257"/>
      <c r="D127" s="257"/>
      <c r="E127" s="257"/>
      <c r="F127" s="257"/>
      <c r="G127" s="257"/>
      <c r="H127" s="257"/>
      <c r="I127" s="257"/>
      <c r="J127" s="257"/>
      <c r="K127" s="257"/>
    </row>
    <row r="128" spans="2:11">
      <c r="B128" s="257"/>
      <c r="C128" s="257"/>
      <c r="D128" s="257"/>
      <c r="E128" s="257"/>
      <c r="F128" s="257"/>
      <c r="G128" s="257"/>
      <c r="H128" s="257"/>
      <c r="I128" s="257"/>
      <c r="J128" s="257"/>
      <c r="K128" s="257"/>
    </row>
    <row r="129" spans="2:11">
      <c r="B129" s="257"/>
      <c r="C129" s="257"/>
      <c r="D129" s="257"/>
      <c r="E129" s="257"/>
      <c r="F129" s="257"/>
      <c r="G129" s="257"/>
      <c r="H129" s="257"/>
      <c r="I129" s="257"/>
      <c r="J129" s="257"/>
      <c r="K129" s="257"/>
    </row>
    <row r="130" spans="2:11">
      <c r="B130" s="257"/>
      <c r="C130" s="257"/>
      <c r="D130" s="257"/>
      <c r="E130" s="257"/>
      <c r="F130" s="257"/>
      <c r="G130" s="257"/>
      <c r="H130" s="257"/>
      <c r="I130" s="257"/>
      <c r="J130" s="257"/>
      <c r="K130" s="257"/>
    </row>
    <row r="131" spans="2:11">
      <c r="B131" s="257"/>
      <c r="C131" s="257"/>
      <c r="D131" s="257"/>
      <c r="E131" s="257"/>
      <c r="F131" s="257"/>
      <c r="G131" s="257"/>
      <c r="H131" s="257"/>
      <c r="I131" s="257"/>
      <c r="J131" s="257"/>
      <c r="K131" s="257"/>
    </row>
    <row r="132" spans="2:11">
      <c r="B132" s="257"/>
      <c r="C132" s="257"/>
      <c r="D132" s="257"/>
      <c r="E132" s="257"/>
      <c r="F132" s="257"/>
      <c r="G132" s="257"/>
      <c r="H132" s="257"/>
      <c r="I132" s="257"/>
      <c r="J132" s="257"/>
      <c r="K132" s="257"/>
    </row>
    <row r="133" spans="2:11">
      <c r="B133" s="257"/>
      <c r="C133" s="257"/>
      <c r="D133" s="257"/>
      <c r="E133" s="257"/>
      <c r="F133" s="257"/>
      <c r="G133" s="257"/>
      <c r="H133" s="257"/>
      <c r="I133" s="257"/>
      <c r="J133" s="257"/>
      <c r="K133" s="257"/>
    </row>
    <row r="134" spans="2:11">
      <c r="B134" s="257"/>
      <c r="C134" s="257"/>
      <c r="D134" s="257"/>
      <c r="E134" s="257"/>
      <c r="F134" s="257"/>
      <c r="G134" s="257"/>
      <c r="H134" s="257"/>
      <c r="I134" s="257"/>
      <c r="J134" s="257"/>
      <c r="K134" s="257"/>
    </row>
    <row r="135" spans="2:11">
      <c r="B135" s="257"/>
      <c r="C135" s="257"/>
      <c r="D135" s="257"/>
      <c r="E135" s="257"/>
      <c r="F135" s="257"/>
      <c r="G135" s="257"/>
      <c r="H135" s="257"/>
      <c r="I135" s="257"/>
      <c r="J135" s="257"/>
      <c r="K135" s="257"/>
    </row>
    <row r="136" spans="2:11">
      <c r="B136" s="257"/>
      <c r="C136" s="257"/>
      <c r="D136" s="257"/>
      <c r="E136" s="257"/>
      <c r="F136" s="257"/>
      <c r="G136" s="257"/>
      <c r="H136" s="257"/>
      <c r="I136" s="257"/>
      <c r="J136" s="257"/>
      <c r="K136" s="257"/>
    </row>
    <row r="137" spans="2:11">
      <c r="B137" s="257"/>
      <c r="C137" s="257"/>
      <c r="D137" s="257"/>
      <c r="E137" s="257"/>
      <c r="F137" s="257"/>
      <c r="G137" s="257"/>
      <c r="H137" s="257"/>
      <c r="I137" s="257"/>
      <c r="J137" s="257"/>
      <c r="K137" s="257"/>
    </row>
    <row r="138" spans="2:11">
      <c r="B138" s="257"/>
      <c r="C138" s="257"/>
      <c r="D138" s="257"/>
      <c r="E138" s="257"/>
      <c r="F138" s="257"/>
      <c r="G138" s="257"/>
      <c r="H138" s="257"/>
      <c r="I138" s="257"/>
      <c r="J138" s="257"/>
      <c r="K138" s="257"/>
    </row>
    <row r="139" spans="2:11">
      <c r="B139" s="257"/>
      <c r="C139" s="257"/>
      <c r="D139" s="257"/>
      <c r="E139" s="257"/>
      <c r="F139" s="257"/>
      <c r="G139" s="257"/>
      <c r="H139" s="257"/>
      <c r="I139" s="257"/>
      <c r="J139" s="257"/>
      <c r="K139" s="257"/>
    </row>
    <row r="140" spans="2:11">
      <c r="B140" s="257"/>
      <c r="C140" s="257"/>
      <c r="D140" s="257"/>
      <c r="E140" s="257"/>
      <c r="F140" s="257"/>
      <c r="G140" s="257"/>
      <c r="H140" s="257"/>
      <c r="I140" s="257"/>
      <c r="J140" s="257"/>
      <c r="K140" s="257"/>
    </row>
    <row r="141" spans="2:11">
      <c r="B141" s="257"/>
      <c r="C141" s="257"/>
      <c r="D141" s="257"/>
      <c r="E141" s="257"/>
      <c r="F141" s="257"/>
      <c r="G141" s="257"/>
      <c r="H141" s="257"/>
      <c r="I141" s="257"/>
      <c r="J141" s="257"/>
      <c r="K141" s="257"/>
    </row>
    <row r="142" spans="2:11">
      <c r="B142" s="257"/>
      <c r="C142" s="257"/>
      <c r="D142" s="257"/>
      <c r="E142" s="257"/>
      <c r="F142" s="257"/>
      <c r="G142" s="257"/>
      <c r="H142" s="257"/>
      <c r="I142" s="257"/>
      <c r="J142" s="257"/>
      <c r="K142" s="257"/>
    </row>
    <row r="143" spans="2:11">
      <c r="B143" s="257"/>
      <c r="C143" s="257"/>
      <c r="D143" s="257"/>
      <c r="E143" s="257"/>
      <c r="F143" s="257"/>
      <c r="G143" s="257"/>
      <c r="H143" s="257"/>
      <c r="I143" s="257"/>
      <c r="J143" s="257"/>
      <c r="K143" s="257"/>
    </row>
    <row r="144" spans="2:11">
      <c r="B144" s="257"/>
      <c r="C144" s="257"/>
      <c r="D144" s="257"/>
      <c r="E144" s="257"/>
      <c r="F144" s="257"/>
      <c r="G144" s="257"/>
      <c r="H144" s="257"/>
      <c r="I144" s="257"/>
      <c r="J144" s="257"/>
      <c r="K144" s="257"/>
    </row>
    <row r="145" spans="2:11">
      <c r="B145" s="257"/>
      <c r="C145" s="257"/>
      <c r="D145" s="257"/>
      <c r="E145" s="257"/>
      <c r="F145" s="257"/>
      <c r="G145" s="257"/>
      <c r="H145" s="257"/>
      <c r="I145" s="257"/>
      <c r="J145" s="257"/>
      <c r="K145" s="257"/>
    </row>
    <row r="146" spans="2:11">
      <c r="B146" s="257"/>
      <c r="C146" s="257"/>
      <c r="D146" s="257"/>
      <c r="E146" s="257"/>
      <c r="F146" s="257"/>
      <c r="G146" s="257"/>
      <c r="H146" s="257"/>
      <c r="I146" s="257"/>
      <c r="J146" s="257"/>
      <c r="K146" s="257"/>
    </row>
    <row r="147" spans="2:11">
      <c r="B147" s="257"/>
      <c r="C147" s="257"/>
      <c r="D147" s="257"/>
      <c r="E147" s="257"/>
      <c r="F147" s="257"/>
      <c r="G147" s="257"/>
      <c r="H147" s="257"/>
      <c r="I147" s="257"/>
      <c r="J147" s="257"/>
      <c r="K147" s="257"/>
    </row>
    <row r="148" spans="2:11">
      <c r="B148" s="257"/>
      <c r="C148" s="257"/>
      <c r="D148" s="257"/>
      <c r="E148" s="257"/>
      <c r="F148" s="257"/>
      <c r="G148" s="257"/>
      <c r="H148" s="257"/>
      <c r="I148" s="257"/>
      <c r="J148" s="257"/>
      <c r="K148" s="257"/>
    </row>
    <row r="149" spans="2:11">
      <c r="B149" s="257"/>
      <c r="C149" s="257"/>
      <c r="D149" s="257"/>
      <c r="E149" s="257"/>
      <c r="F149" s="257"/>
      <c r="G149" s="257"/>
      <c r="H149" s="257"/>
      <c r="I149" s="257"/>
      <c r="J149" s="257"/>
      <c r="K149" s="257"/>
    </row>
    <row r="150" spans="2:11">
      <c r="B150" s="257"/>
      <c r="C150" s="257"/>
      <c r="D150" s="257"/>
      <c r="E150" s="257"/>
      <c r="F150" s="257"/>
      <c r="G150" s="257"/>
      <c r="H150" s="257"/>
      <c r="I150" s="257"/>
      <c r="J150" s="257"/>
      <c r="K150" s="257"/>
    </row>
    <row r="151" spans="2:11">
      <c r="B151" s="257"/>
      <c r="C151" s="257"/>
      <c r="D151" s="257"/>
      <c r="E151" s="257"/>
      <c r="F151" s="257"/>
      <c r="G151" s="257"/>
      <c r="H151" s="257"/>
      <c r="I151" s="257"/>
      <c r="J151" s="257"/>
      <c r="K151" s="257"/>
    </row>
    <row r="152" spans="2:11">
      <c r="B152" s="257"/>
      <c r="C152" s="257"/>
      <c r="D152" s="257"/>
      <c r="E152" s="257"/>
      <c r="F152" s="257"/>
      <c r="G152" s="257"/>
      <c r="H152" s="257"/>
      <c r="I152" s="257"/>
      <c r="J152" s="257"/>
      <c r="K152" s="257"/>
    </row>
    <row r="153" spans="2:11">
      <c r="B153" s="257"/>
      <c r="C153" s="257"/>
      <c r="D153" s="257"/>
      <c r="E153" s="257"/>
      <c r="F153" s="257"/>
      <c r="G153" s="257"/>
      <c r="H153" s="257"/>
      <c r="I153" s="257"/>
      <c r="J153" s="257"/>
      <c r="K153" s="257"/>
    </row>
    <row r="154" spans="2:11">
      <c r="B154" s="257"/>
      <c r="C154" s="257"/>
      <c r="D154" s="257"/>
      <c r="E154" s="257"/>
      <c r="F154" s="257"/>
      <c r="G154" s="257"/>
      <c r="H154" s="257"/>
      <c r="I154" s="257"/>
      <c r="J154" s="257"/>
      <c r="K154" s="257"/>
    </row>
    <row r="155" spans="2:11">
      <c r="B155" s="257"/>
      <c r="C155" s="257"/>
      <c r="D155" s="257"/>
      <c r="E155" s="257"/>
      <c r="F155" s="257"/>
      <c r="G155" s="257"/>
      <c r="H155" s="257"/>
      <c r="I155" s="257"/>
      <c r="J155" s="257"/>
      <c r="K155" s="257"/>
    </row>
    <row r="156" spans="2:11">
      <c r="B156" s="257"/>
      <c r="C156" s="257"/>
      <c r="D156" s="257"/>
      <c r="E156" s="257"/>
      <c r="F156" s="257"/>
      <c r="G156" s="257"/>
      <c r="H156" s="257"/>
      <c r="I156" s="257"/>
      <c r="J156" s="257"/>
      <c r="K156" s="257"/>
    </row>
    <row r="157" spans="2:11">
      <c r="B157" s="257"/>
      <c r="C157" s="257"/>
      <c r="D157" s="257"/>
      <c r="E157" s="257"/>
      <c r="F157" s="257"/>
      <c r="G157" s="257"/>
      <c r="H157" s="257"/>
      <c r="I157" s="257"/>
      <c r="J157" s="257"/>
      <c r="K157" s="257"/>
    </row>
    <row r="158" spans="2:11">
      <c r="B158" s="257"/>
      <c r="C158" s="257"/>
      <c r="D158" s="257"/>
      <c r="E158" s="257"/>
      <c r="F158" s="257"/>
      <c r="G158" s="257"/>
      <c r="H158" s="257"/>
      <c r="I158" s="257"/>
      <c r="J158" s="257"/>
      <c r="K158" s="257"/>
    </row>
    <row r="159" spans="2:11">
      <c r="B159" s="257"/>
      <c r="C159" s="257"/>
      <c r="D159" s="257"/>
      <c r="E159" s="257"/>
      <c r="F159" s="257"/>
      <c r="G159" s="257"/>
      <c r="H159" s="257"/>
      <c r="I159" s="257"/>
      <c r="J159" s="257"/>
      <c r="K159" s="257"/>
    </row>
    <row r="160" spans="2:11">
      <c r="B160" s="257"/>
      <c r="C160" s="257"/>
      <c r="D160" s="257"/>
      <c r="E160" s="257"/>
      <c r="F160" s="257"/>
      <c r="G160" s="257"/>
      <c r="H160" s="257"/>
      <c r="I160" s="257"/>
      <c r="J160" s="257"/>
      <c r="K160" s="257"/>
    </row>
    <row r="161" spans="2:11">
      <c r="B161" s="257"/>
      <c r="C161" s="257"/>
      <c r="D161" s="257"/>
      <c r="E161" s="257"/>
      <c r="F161" s="257"/>
      <c r="G161" s="257"/>
      <c r="H161" s="257"/>
      <c r="I161" s="257"/>
      <c r="J161" s="257"/>
      <c r="K161" s="257"/>
    </row>
    <row r="162" spans="2:11">
      <c r="B162" s="257"/>
      <c r="C162" s="257"/>
      <c r="D162" s="257"/>
      <c r="E162" s="257"/>
      <c r="F162" s="257"/>
      <c r="G162" s="257"/>
      <c r="H162" s="257"/>
      <c r="I162" s="257"/>
      <c r="J162" s="257"/>
      <c r="K162" s="257"/>
    </row>
    <row r="163" spans="2:11">
      <c r="B163" s="257"/>
      <c r="C163" s="257"/>
      <c r="D163" s="257"/>
      <c r="E163" s="257"/>
      <c r="F163" s="257"/>
      <c r="G163" s="257"/>
      <c r="H163" s="257"/>
      <c r="I163" s="257"/>
      <c r="J163" s="257"/>
      <c r="K163" s="257"/>
    </row>
    <row r="164" spans="2:11">
      <c r="B164" s="257"/>
      <c r="C164" s="257"/>
      <c r="D164" s="257"/>
      <c r="E164" s="257"/>
      <c r="F164" s="257"/>
      <c r="G164" s="257"/>
      <c r="H164" s="257"/>
      <c r="I164" s="257"/>
      <c r="J164" s="257"/>
      <c r="K164" s="257"/>
    </row>
    <row r="165" spans="2:11">
      <c r="B165" s="257"/>
      <c r="C165" s="257"/>
      <c r="D165" s="257"/>
      <c r="E165" s="257"/>
      <c r="F165" s="257"/>
      <c r="G165" s="257"/>
      <c r="H165" s="257"/>
      <c r="I165" s="257"/>
      <c r="J165" s="257"/>
      <c r="K165" s="257"/>
    </row>
    <row r="166" spans="2:11">
      <c r="B166" s="257"/>
      <c r="C166" s="257"/>
      <c r="D166" s="257"/>
      <c r="E166" s="257"/>
      <c r="F166" s="257"/>
      <c r="G166" s="257"/>
      <c r="H166" s="257"/>
      <c r="I166" s="257"/>
      <c r="J166" s="257"/>
      <c r="K166" s="257"/>
    </row>
    <row r="167" spans="2:11">
      <c r="B167" s="257"/>
      <c r="C167" s="257"/>
      <c r="D167" s="257"/>
      <c r="E167" s="257"/>
      <c r="F167" s="257"/>
      <c r="G167" s="257"/>
      <c r="H167" s="257"/>
      <c r="I167" s="257"/>
      <c r="J167" s="257"/>
      <c r="K167" s="257"/>
    </row>
    <row r="168" spans="2:11">
      <c r="B168" s="257"/>
      <c r="C168" s="257"/>
      <c r="D168" s="257"/>
      <c r="E168" s="257"/>
      <c r="F168" s="257"/>
      <c r="G168" s="257"/>
      <c r="H168" s="257"/>
      <c r="I168" s="257"/>
      <c r="J168" s="257"/>
      <c r="K168" s="257"/>
    </row>
    <row r="169" spans="2:11">
      <c r="B169" s="257"/>
      <c r="C169" s="257"/>
      <c r="D169" s="257"/>
      <c r="E169" s="257"/>
      <c r="F169" s="257"/>
      <c r="G169" s="257"/>
      <c r="H169" s="257"/>
      <c r="I169" s="257"/>
      <c r="J169" s="257"/>
      <c r="K169" s="257"/>
    </row>
    <row r="170" spans="2:11">
      <c r="B170" s="257"/>
      <c r="C170" s="257"/>
      <c r="D170" s="257"/>
      <c r="E170" s="257"/>
      <c r="F170" s="257"/>
      <c r="G170" s="257"/>
      <c r="H170" s="257"/>
      <c r="I170" s="257"/>
      <c r="J170" s="257"/>
      <c r="K170" s="257"/>
    </row>
    <row r="171" spans="2:11">
      <c r="B171" s="257"/>
      <c r="C171" s="257"/>
      <c r="D171" s="257"/>
      <c r="E171" s="257"/>
      <c r="F171" s="257"/>
      <c r="G171" s="257"/>
      <c r="H171" s="257"/>
      <c r="I171" s="257"/>
      <c r="J171" s="257"/>
      <c r="K171" s="257"/>
    </row>
    <row r="172" spans="2:11">
      <c r="B172" s="257"/>
      <c r="C172" s="257"/>
      <c r="D172" s="257"/>
      <c r="E172" s="257"/>
      <c r="F172" s="257"/>
      <c r="G172" s="257"/>
      <c r="H172" s="257"/>
      <c r="I172" s="257"/>
      <c r="J172" s="257"/>
      <c r="K172" s="257"/>
    </row>
    <row r="173" spans="2:11">
      <c r="B173" s="257"/>
      <c r="C173" s="257"/>
      <c r="D173" s="257"/>
      <c r="E173" s="257"/>
      <c r="F173" s="257"/>
      <c r="G173" s="257"/>
      <c r="H173" s="257"/>
      <c r="I173" s="257"/>
      <c r="J173" s="257"/>
      <c r="K173" s="257"/>
    </row>
    <row r="174" spans="2:11">
      <c r="B174" s="257"/>
      <c r="C174" s="257"/>
      <c r="D174" s="257"/>
      <c r="E174" s="257"/>
      <c r="F174" s="257"/>
      <c r="G174" s="257"/>
      <c r="H174" s="257"/>
      <c r="I174" s="257"/>
      <c r="J174" s="257"/>
      <c r="K174" s="257"/>
    </row>
    <row r="175" spans="2:11">
      <c r="B175" s="257"/>
      <c r="C175" s="257"/>
      <c r="D175" s="257"/>
      <c r="E175" s="257"/>
      <c r="F175" s="257"/>
      <c r="G175" s="257"/>
      <c r="H175" s="257"/>
      <c r="I175" s="257"/>
      <c r="J175" s="257"/>
      <c r="K175" s="257"/>
    </row>
    <row r="176" spans="2:11">
      <c r="B176" s="257"/>
      <c r="C176" s="257"/>
      <c r="D176" s="257"/>
      <c r="E176" s="257"/>
      <c r="F176" s="257"/>
      <c r="G176" s="257"/>
      <c r="H176" s="257"/>
      <c r="I176" s="257"/>
      <c r="J176" s="257"/>
      <c r="K176" s="257"/>
    </row>
    <row r="177" spans="2:11">
      <c r="B177" s="257"/>
      <c r="C177" s="257"/>
      <c r="D177" s="257"/>
      <c r="E177" s="257"/>
      <c r="F177" s="257"/>
      <c r="G177" s="257"/>
      <c r="H177" s="257"/>
      <c r="I177" s="257"/>
      <c r="J177" s="257"/>
      <c r="K177" s="257"/>
    </row>
    <row r="178" spans="2:11">
      <c r="B178" s="257"/>
      <c r="C178" s="257"/>
      <c r="D178" s="257"/>
      <c r="E178" s="257"/>
      <c r="F178" s="257"/>
      <c r="G178" s="257"/>
      <c r="H178" s="257"/>
      <c r="I178" s="257"/>
      <c r="J178" s="257"/>
      <c r="K178" s="257"/>
    </row>
    <row r="179" spans="2:11">
      <c r="B179" s="257"/>
      <c r="C179" s="257"/>
      <c r="D179" s="257"/>
      <c r="E179" s="257"/>
      <c r="F179" s="257"/>
      <c r="G179" s="257"/>
      <c r="H179" s="257"/>
      <c r="I179" s="257"/>
      <c r="J179" s="257"/>
      <c r="K179" s="257"/>
    </row>
    <row r="180" spans="2:11">
      <c r="B180" s="257"/>
      <c r="C180" s="257"/>
      <c r="D180" s="257"/>
      <c r="E180" s="257"/>
      <c r="F180" s="257"/>
      <c r="G180" s="257"/>
      <c r="H180" s="257"/>
      <c r="I180" s="257"/>
      <c r="J180" s="257"/>
      <c r="K180" s="257"/>
    </row>
    <row r="181" spans="2:11">
      <c r="B181" s="257"/>
      <c r="C181" s="257"/>
      <c r="D181" s="257"/>
      <c r="E181" s="257"/>
      <c r="F181" s="257"/>
      <c r="G181" s="257"/>
      <c r="H181" s="257"/>
      <c r="I181" s="257"/>
      <c r="J181" s="257"/>
      <c r="K181" s="257"/>
    </row>
    <row r="182" spans="2:11">
      <c r="B182" s="257"/>
      <c r="C182" s="257"/>
      <c r="D182" s="257"/>
      <c r="E182" s="257"/>
      <c r="F182" s="257"/>
      <c r="G182" s="257"/>
      <c r="H182" s="257"/>
      <c r="I182" s="257"/>
      <c r="J182" s="257"/>
      <c r="K182" s="257"/>
    </row>
    <row r="183" spans="2:11">
      <c r="B183" s="257"/>
      <c r="C183" s="257"/>
      <c r="D183" s="257"/>
      <c r="E183" s="257"/>
      <c r="F183" s="257"/>
      <c r="G183" s="257"/>
      <c r="H183" s="257"/>
      <c r="I183" s="257"/>
      <c r="J183" s="257"/>
      <c r="K183" s="257"/>
    </row>
    <row r="184" spans="2:11">
      <c r="B184" s="257"/>
      <c r="C184" s="257"/>
      <c r="D184" s="257"/>
      <c r="E184" s="257"/>
      <c r="F184" s="257"/>
      <c r="G184" s="257"/>
      <c r="H184" s="257"/>
      <c r="I184" s="257"/>
      <c r="J184" s="257"/>
      <c r="K184" s="257"/>
    </row>
    <row r="185" spans="2:11">
      <c r="B185" s="257"/>
      <c r="C185" s="257"/>
      <c r="D185" s="257"/>
      <c r="E185" s="257"/>
      <c r="F185" s="257"/>
      <c r="G185" s="257"/>
      <c r="H185" s="257"/>
      <c r="I185" s="257"/>
      <c r="J185" s="257"/>
      <c r="K185" s="257"/>
    </row>
    <row r="186" spans="2:11">
      <c r="B186" s="257"/>
      <c r="C186" s="257"/>
      <c r="D186" s="257"/>
      <c r="E186" s="257"/>
      <c r="F186" s="257"/>
      <c r="G186" s="257"/>
      <c r="H186" s="257"/>
      <c r="I186" s="257"/>
      <c r="J186" s="257"/>
      <c r="K186" s="257"/>
    </row>
    <row r="187" spans="2:11">
      <c r="B187" s="257"/>
      <c r="C187" s="257"/>
      <c r="D187" s="257"/>
      <c r="E187" s="257"/>
      <c r="F187" s="257"/>
      <c r="G187" s="257"/>
      <c r="H187" s="257"/>
      <c r="I187" s="257"/>
      <c r="J187" s="257"/>
      <c r="K187" s="257"/>
    </row>
    <row r="188" spans="2:11">
      <c r="B188" s="257"/>
      <c r="C188" s="257"/>
      <c r="D188" s="257"/>
      <c r="E188" s="257"/>
      <c r="F188" s="257"/>
      <c r="G188" s="257"/>
      <c r="H188" s="257"/>
      <c r="I188" s="257"/>
      <c r="J188" s="257"/>
      <c r="K188" s="257"/>
    </row>
    <row r="189" spans="2:11">
      <c r="B189" s="257"/>
      <c r="C189" s="257"/>
      <c r="D189" s="257"/>
      <c r="E189" s="257"/>
      <c r="F189" s="257"/>
      <c r="G189" s="257"/>
      <c r="H189" s="257"/>
      <c r="I189" s="257"/>
      <c r="J189" s="257"/>
      <c r="K189" s="257"/>
    </row>
    <row r="190" spans="2:11">
      <c r="B190" s="257"/>
      <c r="C190" s="257"/>
      <c r="D190" s="257"/>
      <c r="E190" s="257"/>
      <c r="F190" s="257"/>
      <c r="G190" s="257"/>
      <c r="H190" s="257"/>
      <c r="I190" s="257"/>
      <c r="J190" s="257"/>
      <c r="K190" s="257"/>
    </row>
    <row r="191" spans="2:11">
      <c r="B191" s="257"/>
      <c r="C191" s="257"/>
      <c r="D191" s="257"/>
      <c r="E191" s="257"/>
      <c r="F191" s="257"/>
      <c r="G191" s="257"/>
      <c r="H191" s="257"/>
      <c r="I191" s="257"/>
      <c r="J191" s="257"/>
      <c r="K191" s="257"/>
    </row>
    <row r="192" spans="2:11">
      <c r="B192" s="257"/>
      <c r="C192" s="257"/>
      <c r="D192" s="257"/>
      <c r="E192" s="257"/>
      <c r="F192" s="257"/>
      <c r="G192" s="257"/>
      <c r="H192" s="257"/>
      <c r="I192" s="257"/>
      <c r="J192" s="257"/>
      <c r="K192" s="257"/>
    </row>
    <row r="193" spans="2:11">
      <c r="B193" s="257"/>
      <c r="C193" s="257"/>
      <c r="D193" s="257"/>
      <c r="E193" s="257"/>
      <c r="F193" s="257"/>
      <c r="G193" s="257"/>
      <c r="H193" s="257"/>
      <c r="I193" s="257"/>
      <c r="J193" s="257"/>
      <c r="K193" s="257"/>
    </row>
    <row r="194" spans="2:11">
      <c r="B194" s="257"/>
      <c r="C194" s="257"/>
      <c r="D194" s="257"/>
      <c r="E194" s="257"/>
      <c r="F194" s="257"/>
      <c r="G194" s="257"/>
      <c r="H194" s="257"/>
      <c r="I194" s="257"/>
      <c r="J194" s="257"/>
      <c r="K194" s="257"/>
    </row>
    <row r="195" spans="2:11">
      <c r="B195" s="257"/>
      <c r="C195" s="257"/>
      <c r="D195" s="257"/>
      <c r="E195" s="257"/>
      <c r="F195" s="257"/>
      <c r="G195" s="257"/>
      <c r="H195" s="257"/>
      <c r="I195" s="257"/>
      <c r="J195" s="257"/>
      <c r="K195" s="257"/>
    </row>
    <row r="196" spans="2:11">
      <c r="B196" s="257"/>
      <c r="C196" s="257"/>
      <c r="D196" s="257"/>
      <c r="E196" s="257"/>
      <c r="F196" s="257"/>
      <c r="G196" s="257"/>
      <c r="H196" s="257"/>
      <c r="I196" s="257"/>
      <c r="J196" s="257"/>
      <c r="K196" s="257"/>
    </row>
    <row r="197" spans="2:11">
      <c r="B197" s="257"/>
      <c r="C197" s="257"/>
      <c r="D197" s="257"/>
      <c r="E197" s="257"/>
      <c r="F197" s="257"/>
      <c r="G197" s="257"/>
      <c r="H197" s="257"/>
      <c r="I197" s="257"/>
      <c r="J197" s="257"/>
      <c r="K197" s="257"/>
    </row>
    <row r="198" spans="2:11">
      <c r="B198" s="257"/>
      <c r="C198" s="257"/>
      <c r="D198" s="257"/>
      <c r="E198" s="257"/>
      <c r="F198" s="257"/>
      <c r="G198" s="257"/>
      <c r="H198" s="257"/>
      <c r="I198" s="257"/>
      <c r="J198" s="257"/>
      <c r="K198" s="257"/>
    </row>
    <row r="199" spans="2:11">
      <c r="B199" s="257"/>
      <c r="C199" s="257"/>
      <c r="D199" s="257"/>
      <c r="E199" s="257"/>
      <c r="F199" s="257"/>
      <c r="G199" s="257"/>
      <c r="H199" s="257"/>
      <c r="I199" s="257"/>
      <c r="J199" s="257"/>
      <c r="K199" s="257"/>
    </row>
    <row r="200" spans="2:11">
      <c r="B200" s="257"/>
      <c r="C200" s="257"/>
      <c r="D200" s="257"/>
      <c r="E200" s="257"/>
      <c r="F200" s="257"/>
      <c r="G200" s="257"/>
      <c r="H200" s="257"/>
      <c r="I200" s="257"/>
      <c r="J200" s="257"/>
      <c r="K200" s="257"/>
    </row>
    <row r="201" spans="2:11">
      <c r="B201" s="257"/>
      <c r="C201" s="257"/>
      <c r="D201" s="257"/>
      <c r="E201" s="257"/>
      <c r="F201" s="257"/>
      <c r="G201" s="257"/>
      <c r="H201" s="257"/>
      <c r="I201" s="257"/>
      <c r="J201" s="257"/>
      <c r="K201" s="257"/>
    </row>
    <row r="202" spans="2:11">
      <c r="B202" s="257"/>
      <c r="C202" s="257"/>
      <c r="D202" s="257"/>
      <c r="E202" s="257"/>
      <c r="F202" s="257"/>
      <c r="G202" s="257"/>
      <c r="H202" s="257"/>
      <c r="I202" s="257"/>
      <c r="J202" s="257"/>
      <c r="K202" s="257"/>
    </row>
    <row r="203" spans="2:11">
      <c r="B203" s="257"/>
      <c r="C203" s="257"/>
      <c r="D203" s="257"/>
      <c r="E203" s="257"/>
      <c r="F203" s="257"/>
      <c r="G203" s="257"/>
      <c r="H203" s="257"/>
      <c r="I203" s="257"/>
      <c r="J203" s="257"/>
      <c r="K203" s="257"/>
    </row>
    <row r="204" spans="2:11">
      <c r="B204" s="257"/>
      <c r="C204" s="257"/>
      <c r="D204" s="257"/>
      <c r="E204" s="257"/>
      <c r="F204" s="257"/>
      <c r="G204" s="257"/>
      <c r="H204" s="257"/>
      <c r="I204" s="257"/>
      <c r="J204" s="257"/>
      <c r="K204" s="257"/>
    </row>
    <row r="205" spans="2:11">
      <c r="B205" s="257"/>
      <c r="C205" s="257"/>
      <c r="D205" s="257"/>
      <c r="E205" s="257"/>
      <c r="F205" s="257"/>
      <c r="G205" s="257"/>
      <c r="H205" s="257"/>
      <c r="I205" s="257"/>
      <c r="J205" s="257"/>
      <c r="K205" s="257"/>
    </row>
    <row r="206" spans="2:11">
      <c r="B206" s="257"/>
      <c r="C206" s="257"/>
      <c r="D206" s="257"/>
      <c r="E206" s="257"/>
      <c r="F206" s="257"/>
      <c r="G206" s="257"/>
      <c r="H206" s="257"/>
      <c r="I206" s="257"/>
      <c r="J206" s="257"/>
      <c r="K206" s="257"/>
    </row>
    <row r="207" spans="2:11">
      <c r="B207" s="257"/>
      <c r="C207" s="257"/>
      <c r="D207" s="257"/>
      <c r="E207" s="257"/>
      <c r="F207" s="257"/>
      <c r="G207" s="257"/>
      <c r="H207" s="257"/>
      <c r="I207" s="257"/>
      <c r="J207" s="257"/>
      <c r="K207" s="257"/>
    </row>
    <row r="208" spans="2:11">
      <c r="B208" s="257"/>
      <c r="C208" s="257"/>
      <c r="D208" s="257"/>
      <c r="E208" s="257"/>
      <c r="F208" s="257"/>
      <c r="G208" s="257"/>
      <c r="H208" s="257"/>
      <c r="I208" s="257"/>
      <c r="J208" s="257"/>
      <c r="K208" s="257"/>
    </row>
    <row r="209" spans="2:11">
      <c r="B209" s="257"/>
      <c r="C209" s="257"/>
      <c r="D209" s="257"/>
      <c r="E209" s="257"/>
      <c r="F209" s="257"/>
      <c r="G209" s="257"/>
      <c r="H209" s="257"/>
      <c r="I209" s="257"/>
      <c r="J209" s="257"/>
      <c r="K209" s="257"/>
    </row>
    <row r="210" spans="2:11">
      <c r="B210" s="257"/>
      <c r="C210" s="257"/>
      <c r="D210" s="257"/>
      <c r="E210" s="257"/>
      <c r="F210" s="257"/>
      <c r="G210" s="257"/>
      <c r="H210" s="257"/>
      <c r="I210" s="257"/>
      <c r="J210" s="257"/>
      <c r="K210" s="257"/>
    </row>
    <row r="211" spans="2:11">
      <c r="B211" s="257"/>
      <c r="C211" s="257"/>
      <c r="D211" s="257"/>
      <c r="E211" s="257"/>
      <c r="F211" s="257"/>
      <c r="G211" s="257"/>
      <c r="H211" s="257"/>
      <c r="I211" s="257"/>
      <c r="J211" s="257"/>
      <c r="K211" s="257"/>
    </row>
    <row r="212" spans="2:11">
      <c r="B212" s="257"/>
      <c r="C212" s="257"/>
      <c r="D212" s="257"/>
      <c r="E212" s="257"/>
      <c r="F212" s="257"/>
      <c r="G212" s="257"/>
      <c r="H212" s="257"/>
      <c r="I212" s="257"/>
      <c r="J212" s="257"/>
      <c r="K212" s="257"/>
    </row>
    <row r="213" spans="2:11">
      <c r="B213" s="257"/>
      <c r="C213" s="257"/>
      <c r="D213" s="257"/>
      <c r="E213" s="257"/>
      <c r="F213" s="257"/>
      <c r="G213" s="257"/>
      <c r="H213" s="257"/>
      <c r="I213" s="257"/>
      <c r="J213" s="257"/>
      <c r="K213" s="257"/>
    </row>
    <row r="214" spans="2:11">
      <c r="B214" s="257"/>
      <c r="C214" s="257"/>
      <c r="D214" s="257"/>
      <c r="E214" s="257"/>
      <c r="F214" s="257"/>
      <c r="G214" s="257"/>
      <c r="H214" s="257"/>
      <c r="I214" s="257"/>
      <c r="J214" s="257"/>
      <c r="K214" s="257"/>
    </row>
    <row r="215" spans="2:11">
      <c r="B215" s="257"/>
      <c r="C215" s="257"/>
      <c r="D215" s="257"/>
      <c r="E215" s="257"/>
      <c r="F215" s="257"/>
      <c r="G215" s="257"/>
      <c r="H215" s="257"/>
      <c r="I215" s="257"/>
      <c r="J215" s="257"/>
      <c r="K215" s="257"/>
    </row>
    <row r="216" spans="2:11">
      <c r="B216" s="257"/>
      <c r="C216" s="257"/>
      <c r="D216" s="257"/>
      <c r="E216" s="257"/>
      <c r="F216" s="257"/>
      <c r="G216" s="257"/>
      <c r="H216" s="257"/>
      <c r="I216" s="257"/>
      <c r="J216" s="257"/>
      <c r="K216" s="257"/>
    </row>
    <row r="217" spans="2:11">
      <c r="B217" s="257"/>
      <c r="C217" s="257"/>
      <c r="D217" s="257"/>
      <c r="E217" s="257"/>
      <c r="F217" s="257"/>
      <c r="G217" s="257"/>
      <c r="H217" s="257"/>
      <c r="I217" s="257"/>
      <c r="J217" s="257"/>
      <c r="K217" s="257"/>
    </row>
    <row r="218" spans="2:11">
      <c r="B218" s="257"/>
      <c r="C218" s="257"/>
      <c r="D218" s="257"/>
      <c r="E218" s="257"/>
      <c r="F218" s="257"/>
      <c r="G218" s="257"/>
      <c r="H218" s="257"/>
      <c r="I218" s="257"/>
      <c r="J218" s="257"/>
      <c r="K218" s="257"/>
    </row>
    <row r="219" spans="2:11">
      <c r="B219" s="257"/>
      <c r="C219" s="257"/>
      <c r="D219" s="257"/>
      <c r="E219" s="257"/>
      <c r="F219" s="257"/>
      <c r="G219" s="257"/>
      <c r="H219" s="257"/>
      <c r="I219" s="257"/>
      <c r="J219" s="257"/>
      <c r="K219" s="257"/>
    </row>
    <row r="220" spans="2:11">
      <c r="B220" s="257"/>
      <c r="C220" s="257"/>
      <c r="D220" s="257"/>
      <c r="E220" s="257"/>
      <c r="F220" s="257"/>
      <c r="G220" s="257"/>
      <c r="H220" s="257"/>
      <c r="I220" s="257"/>
      <c r="J220" s="257"/>
      <c r="K220" s="257"/>
    </row>
    <row r="221" spans="2:11">
      <c r="B221" s="257"/>
      <c r="C221" s="257"/>
      <c r="D221" s="257"/>
      <c r="E221" s="257"/>
      <c r="F221" s="257"/>
      <c r="G221" s="257"/>
      <c r="H221" s="257"/>
      <c r="I221" s="257"/>
      <c r="J221" s="257"/>
      <c r="K221" s="257"/>
    </row>
    <row r="222" spans="2:11">
      <c r="B222" s="257"/>
      <c r="C222" s="257"/>
      <c r="D222" s="257"/>
      <c r="E222" s="257"/>
      <c r="F222" s="257"/>
      <c r="G222" s="257"/>
      <c r="H222" s="257"/>
      <c r="I222" s="257"/>
      <c r="J222" s="257"/>
      <c r="K222" s="257"/>
    </row>
    <row r="223" spans="2:11">
      <c r="B223" s="257"/>
      <c r="C223" s="257"/>
      <c r="D223" s="257"/>
      <c r="E223" s="257"/>
      <c r="F223" s="257"/>
      <c r="G223" s="257"/>
      <c r="H223" s="257"/>
      <c r="I223" s="257"/>
      <c r="J223" s="257"/>
      <c r="K223" s="257"/>
    </row>
    <row r="224" spans="2:11">
      <c r="B224" s="257"/>
      <c r="C224" s="257"/>
      <c r="D224" s="257"/>
      <c r="E224" s="257"/>
      <c r="F224" s="257"/>
      <c r="G224" s="257"/>
      <c r="H224" s="257"/>
      <c r="I224" s="257"/>
      <c r="J224" s="257"/>
      <c r="K224" s="257"/>
    </row>
    <row r="225" spans="2:11">
      <c r="B225" s="257"/>
      <c r="C225" s="257"/>
      <c r="D225" s="257"/>
      <c r="E225" s="257"/>
      <c r="F225" s="257"/>
      <c r="G225" s="257"/>
      <c r="H225" s="257"/>
      <c r="I225" s="257"/>
      <c r="J225" s="257"/>
      <c r="K225" s="257"/>
    </row>
    <row r="226" spans="2:11">
      <c r="B226" s="257"/>
      <c r="C226" s="257"/>
      <c r="D226" s="257"/>
      <c r="E226" s="257"/>
      <c r="F226" s="257"/>
      <c r="G226" s="257"/>
      <c r="H226" s="257"/>
      <c r="I226" s="257"/>
      <c r="J226" s="257"/>
      <c r="K226" s="257"/>
    </row>
    <row r="227" spans="2:11">
      <c r="B227" s="257"/>
      <c r="C227" s="257"/>
      <c r="D227" s="257"/>
      <c r="E227" s="257"/>
      <c r="F227" s="257"/>
      <c r="G227" s="257"/>
      <c r="H227" s="257"/>
      <c r="I227" s="257"/>
      <c r="J227" s="257"/>
      <c r="K227" s="257"/>
    </row>
    <row r="228" spans="2:11">
      <c r="B228" s="257"/>
      <c r="C228" s="257"/>
      <c r="D228" s="257"/>
      <c r="E228" s="257"/>
      <c r="F228" s="257"/>
      <c r="G228" s="257"/>
      <c r="H228" s="257"/>
      <c r="I228" s="257"/>
      <c r="J228" s="257"/>
      <c r="K228" s="257"/>
    </row>
    <row r="229" spans="2:11">
      <c r="B229" s="257"/>
      <c r="C229" s="257"/>
      <c r="D229" s="257"/>
      <c r="E229" s="257"/>
      <c r="F229" s="257"/>
      <c r="G229" s="257"/>
      <c r="H229" s="257"/>
      <c r="I229" s="257"/>
      <c r="J229" s="257"/>
      <c r="K229" s="257"/>
    </row>
    <row r="230" spans="2:11">
      <c r="B230" s="257"/>
      <c r="C230" s="257"/>
      <c r="D230" s="257"/>
      <c r="E230" s="257"/>
      <c r="F230" s="257"/>
      <c r="G230" s="257"/>
      <c r="H230" s="257"/>
      <c r="I230" s="257"/>
      <c r="J230" s="257"/>
      <c r="K230" s="257"/>
    </row>
    <row r="231" spans="2:11">
      <c r="B231" s="257"/>
      <c r="C231" s="257"/>
      <c r="D231" s="257"/>
      <c r="E231" s="257"/>
      <c r="F231" s="257"/>
      <c r="G231" s="257"/>
      <c r="H231" s="257"/>
      <c r="I231" s="257"/>
      <c r="J231" s="257"/>
      <c r="K231" s="257"/>
    </row>
    <row r="232" spans="2:11">
      <c r="B232" s="257"/>
      <c r="C232" s="257"/>
      <c r="D232" s="257"/>
      <c r="E232" s="257"/>
      <c r="F232" s="257"/>
      <c r="G232" s="257"/>
      <c r="H232" s="257"/>
      <c r="I232" s="257"/>
      <c r="J232" s="257"/>
      <c r="K232" s="257"/>
    </row>
    <row r="233" spans="2:11">
      <c r="B233" s="257"/>
      <c r="C233" s="257"/>
      <c r="D233" s="257"/>
      <c r="E233" s="257"/>
      <c r="F233" s="257"/>
      <c r="G233" s="257"/>
      <c r="H233" s="257"/>
      <c r="I233" s="257"/>
      <c r="J233" s="257"/>
      <c r="K233" s="257"/>
    </row>
    <row r="234" spans="2:11">
      <c r="B234" s="257"/>
      <c r="C234" s="257"/>
      <c r="D234" s="257"/>
      <c r="E234" s="257"/>
      <c r="F234" s="257"/>
      <c r="G234" s="257"/>
      <c r="H234" s="257"/>
      <c r="I234" s="257"/>
      <c r="J234" s="257"/>
      <c r="K234" s="257"/>
    </row>
    <row r="235" spans="2:11">
      <c r="B235" s="257"/>
      <c r="C235" s="257"/>
      <c r="D235" s="257"/>
      <c r="E235" s="257"/>
      <c r="F235" s="257"/>
      <c r="G235" s="257"/>
      <c r="H235" s="257"/>
      <c r="I235" s="257"/>
      <c r="J235" s="257"/>
      <c r="K235" s="257"/>
    </row>
    <row r="236" spans="2:11">
      <c r="B236" s="257"/>
      <c r="C236" s="257"/>
      <c r="D236" s="257"/>
      <c r="E236" s="257"/>
      <c r="F236" s="257"/>
      <c r="G236" s="257"/>
      <c r="H236" s="257"/>
      <c r="I236" s="257"/>
      <c r="J236" s="257"/>
      <c r="K236" s="257"/>
    </row>
    <row r="237" spans="2:11">
      <c r="B237" s="257"/>
      <c r="C237" s="257"/>
      <c r="D237" s="257"/>
      <c r="E237" s="257"/>
      <c r="F237" s="257"/>
      <c r="G237" s="257"/>
      <c r="H237" s="257"/>
      <c r="I237" s="257"/>
      <c r="J237" s="257"/>
      <c r="K237" s="257"/>
    </row>
    <row r="238" spans="2:11">
      <c r="B238" s="257"/>
      <c r="C238" s="257"/>
      <c r="D238" s="257"/>
      <c r="E238" s="257"/>
      <c r="F238" s="257"/>
      <c r="G238" s="257"/>
      <c r="H238" s="257"/>
      <c r="I238" s="257"/>
      <c r="J238" s="257"/>
      <c r="K238" s="257"/>
    </row>
    <row r="239" spans="2:11">
      <c r="B239" s="257"/>
      <c r="C239" s="257"/>
      <c r="D239" s="257"/>
      <c r="E239" s="257"/>
      <c r="F239" s="257"/>
      <c r="G239" s="257"/>
      <c r="H239" s="257"/>
      <c r="I239" s="257"/>
      <c r="J239" s="257"/>
      <c r="K239" s="257"/>
    </row>
    <row r="240" spans="2:11">
      <c r="B240" s="257"/>
      <c r="C240" s="257"/>
      <c r="D240" s="257"/>
      <c r="E240" s="257"/>
      <c r="F240" s="257"/>
      <c r="G240" s="257"/>
      <c r="H240" s="257"/>
      <c r="I240" s="257"/>
      <c r="J240" s="257"/>
      <c r="K240" s="257"/>
    </row>
    <row r="241" spans="2:11">
      <c r="B241" s="257"/>
      <c r="C241" s="257"/>
      <c r="D241" s="257"/>
      <c r="E241" s="257"/>
      <c r="F241" s="257"/>
      <c r="G241" s="257"/>
      <c r="H241" s="257"/>
      <c r="I241" s="257"/>
      <c r="J241" s="257"/>
      <c r="K241" s="257"/>
    </row>
    <row r="242" spans="2:11">
      <c r="B242" s="257"/>
      <c r="C242" s="257"/>
      <c r="D242" s="257"/>
      <c r="E242" s="257"/>
      <c r="F242" s="257"/>
      <c r="G242" s="257"/>
      <c r="H242" s="257"/>
      <c r="I242" s="257"/>
      <c r="J242" s="257"/>
      <c r="K242" s="257"/>
    </row>
    <row r="243" spans="2:11">
      <c r="B243" s="257"/>
      <c r="C243" s="257"/>
      <c r="D243" s="257"/>
      <c r="E243" s="257"/>
      <c r="F243" s="257"/>
      <c r="G243" s="257"/>
      <c r="H243" s="257"/>
      <c r="I243" s="257"/>
      <c r="J243" s="257"/>
      <c r="K243" s="257"/>
    </row>
    <row r="244" spans="2:11">
      <c r="B244" s="257"/>
      <c r="C244" s="257"/>
      <c r="D244" s="257"/>
      <c r="E244" s="257"/>
      <c r="F244" s="257"/>
      <c r="G244" s="257"/>
      <c r="H244" s="257"/>
      <c r="I244" s="257"/>
      <c r="J244" s="257"/>
      <c r="K244" s="257"/>
    </row>
    <row r="245" spans="2:11">
      <c r="B245" s="257"/>
      <c r="C245" s="257"/>
      <c r="D245" s="257"/>
      <c r="E245" s="257"/>
      <c r="F245" s="257"/>
      <c r="G245" s="257"/>
      <c r="H245" s="257"/>
      <c r="I245" s="257"/>
      <c r="J245" s="257"/>
      <c r="K245" s="257"/>
    </row>
    <row r="246" spans="2:11">
      <c r="B246" s="257"/>
      <c r="C246" s="257"/>
      <c r="D246" s="257"/>
      <c r="E246" s="257"/>
      <c r="F246" s="257"/>
      <c r="G246" s="257"/>
      <c r="H246" s="257"/>
      <c r="I246" s="257"/>
      <c r="J246" s="257"/>
      <c r="K246" s="257"/>
    </row>
    <row r="247" spans="2:11">
      <c r="B247" s="257"/>
      <c r="C247" s="257"/>
      <c r="D247" s="257"/>
      <c r="E247" s="257"/>
      <c r="F247" s="257"/>
      <c r="G247" s="257"/>
      <c r="H247" s="257"/>
      <c r="I247" s="257"/>
      <c r="J247" s="257"/>
      <c r="K247" s="257"/>
    </row>
    <row r="248" spans="2:11">
      <c r="B248" s="257"/>
      <c r="C248" s="257"/>
      <c r="D248" s="257"/>
      <c r="E248" s="257"/>
      <c r="F248" s="257"/>
      <c r="G248" s="257"/>
      <c r="H248" s="257"/>
      <c r="I248" s="257"/>
      <c r="J248" s="257"/>
      <c r="K248" s="257"/>
    </row>
    <row r="249" spans="2:11">
      <c r="B249" s="257"/>
      <c r="C249" s="257"/>
      <c r="D249" s="257"/>
      <c r="E249" s="257"/>
      <c r="F249" s="257"/>
      <c r="G249" s="257"/>
      <c r="H249" s="257"/>
      <c r="I249" s="257"/>
      <c r="J249" s="257"/>
      <c r="K249" s="257"/>
    </row>
    <row r="250" spans="2:11">
      <c r="B250" s="257"/>
      <c r="C250" s="257"/>
      <c r="D250" s="257"/>
      <c r="E250" s="257"/>
      <c r="F250" s="257"/>
      <c r="G250" s="257"/>
      <c r="H250" s="257"/>
      <c r="I250" s="257"/>
      <c r="J250" s="257"/>
      <c r="K250" s="257"/>
    </row>
    <row r="251" spans="2:11">
      <c r="B251" s="257"/>
      <c r="C251" s="257"/>
      <c r="D251" s="257"/>
      <c r="E251" s="257"/>
      <c r="F251" s="257"/>
      <c r="G251" s="257"/>
      <c r="H251" s="257"/>
      <c r="I251" s="257"/>
      <c r="J251" s="257"/>
      <c r="K251" s="257"/>
    </row>
    <row r="252" spans="2:11">
      <c r="B252" s="257"/>
      <c r="C252" s="257"/>
      <c r="D252" s="257"/>
      <c r="E252" s="257"/>
      <c r="F252" s="257"/>
      <c r="G252" s="257"/>
      <c r="H252" s="257"/>
      <c r="I252" s="257"/>
      <c r="J252" s="257"/>
      <c r="K252" s="257"/>
    </row>
    <row r="253" spans="2:11">
      <c r="B253" s="257"/>
      <c r="C253" s="257"/>
      <c r="D253" s="257"/>
      <c r="E253" s="257"/>
      <c r="F253" s="257"/>
      <c r="G253" s="257"/>
      <c r="H253" s="257"/>
      <c r="I253" s="257"/>
      <c r="J253" s="257"/>
      <c r="K253" s="257"/>
    </row>
    <row r="254" spans="2:11">
      <c r="B254" s="257"/>
      <c r="C254" s="257"/>
      <c r="D254" s="257"/>
      <c r="E254" s="257"/>
      <c r="F254" s="257"/>
      <c r="G254" s="257"/>
      <c r="H254" s="257"/>
      <c r="I254" s="257"/>
      <c r="J254" s="257"/>
      <c r="K254" s="257"/>
    </row>
    <row r="255" spans="2:11">
      <c r="B255" s="257"/>
      <c r="C255" s="257"/>
      <c r="D255" s="257"/>
      <c r="E255" s="257"/>
      <c r="F255" s="257"/>
      <c r="G255" s="257"/>
      <c r="H255" s="257"/>
      <c r="I255" s="257"/>
      <c r="J255" s="257"/>
      <c r="K255" s="257"/>
    </row>
    <row r="256" spans="2:11">
      <c r="B256" s="257"/>
      <c r="C256" s="257"/>
      <c r="D256" s="257"/>
      <c r="E256" s="257"/>
      <c r="F256" s="257"/>
      <c r="G256" s="257"/>
      <c r="H256" s="257"/>
      <c r="I256" s="257"/>
      <c r="J256" s="257"/>
      <c r="K256" s="257"/>
    </row>
    <row r="257" spans="2:11">
      <c r="B257" s="257"/>
      <c r="C257" s="257"/>
      <c r="D257" s="257"/>
      <c r="E257" s="257"/>
      <c r="F257" s="257"/>
      <c r="G257" s="257"/>
      <c r="H257" s="257"/>
      <c r="I257" s="257"/>
      <c r="J257" s="257"/>
      <c r="K257" s="257"/>
    </row>
    <row r="258" spans="2:11">
      <c r="B258" s="257"/>
      <c r="C258" s="257"/>
      <c r="D258" s="257"/>
      <c r="E258" s="257"/>
      <c r="F258" s="257"/>
      <c r="G258" s="257"/>
      <c r="H258" s="257"/>
      <c r="I258" s="257"/>
      <c r="J258" s="257"/>
      <c r="K258" s="257"/>
    </row>
    <row r="259" spans="2:11">
      <c r="B259" s="257"/>
      <c r="C259" s="257"/>
      <c r="D259" s="257"/>
      <c r="E259" s="257"/>
      <c r="F259" s="257"/>
      <c r="G259" s="257"/>
      <c r="H259" s="257"/>
      <c r="I259" s="257"/>
      <c r="J259" s="257"/>
      <c r="K259" s="257"/>
    </row>
    <row r="260" spans="2:11">
      <c r="B260" s="257"/>
      <c r="C260" s="257"/>
      <c r="D260" s="257"/>
      <c r="E260" s="257"/>
      <c r="F260" s="257"/>
      <c r="G260" s="257"/>
      <c r="H260" s="257"/>
      <c r="I260" s="257"/>
      <c r="J260" s="257"/>
      <c r="K260" s="257"/>
    </row>
    <row r="261" spans="2:11">
      <c r="B261" s="257"/>
      <c r="C261" s="257"/>
      <c r="D261" s="257"/>
      <c r="E261" s="257"/>
      <c r="F261" s="257"/>
      <c r="G261" s="257"/>
      <c r="H261" s="257"/>
      <c r="I261" s="257"/>
      <c r="J261" s="257"/>
      <c r="K261" s="257"/>
    </row>
    <row r="262" spans="2:11">
      <c r="B262" s="257"/>
      <c r="C262" s="257"/>
      <c r="D262" s="257"/>
      <c r="E262" s="257"/>
      <c r="F262" s="257"/>
      <c r="G262" s="257"/>
      <c r="H262" s="257"/>
      <c r="I262" s="257"/>
      <c r="J262" s="257"/>
      <c r="K262" s="257"/>
    </row>
    <row r="263" spans="2:11">
      <c r="B263" s="257"/>
      <c r="C263" s="257"/>
      <c r="D263" s="257"/>
      <c r="E263" s="257"/>
      <c r="F263" s="257"/>
      <c r="G263" s="257"/>
      <c r="H263" s="257"/>
      <c r="I263" s="257"/>
      <c r="J263" s="257"/>
      <c r="K263" s="257"/>
    </row>
    <row r="264" spans="2:11">
      <c r="B264" s="257"/>
      <c r="C264" s="257"/>
      <c r="D264" s="257"/>
      <c r="E264" s="257"/>
      <c r="F264" s="257"/>
      <c r="G264" s="257"/>
      <c r="H264" s="257"/>
      <c r="I264" s="257"/>
      <c r="J264" s="257"/>
      <c r="K264" s="257"/>
    </row>
    <row r="265" spans="2:11">
      <c r="B265" s="257"/>
      <c r="C265" s="257"/>
      <c r="D265" s="257"/>
      <c r="E265" s="257"/>
      <c r="F265" s="257"/>
      <c r="G265" s="257"/>
      <c r="H265" s="257"/>
      <c r="I265" s="257"/>
      <c r="J265" s="257"/>
      <c r="K265" s="257"/>
    </row>
    <row r="266" spans="2:11">
      <c r="B266" s="257"/>
      <c r="C266" s="257"/>
      <c r="D266" s="257"/>
      <c r="E266" s="257"/>
      <c r="F266" s="257"/>
      <c r="G266" s="257"/>
      <c r="H266" s="257"/>
      <c r="I266" s="257"/>
      <c r="J266" s="257"/>
      <c r="K266" s="257"/>
    </row>
    <row r="267" spans="2:11">
      <c r="B267" s="257"/>
      <c r="C267" s="257"/>
      <c r="D267" s="257"/>
      <c r="E267" s="257"/>
      <c r="F267" s="257"/>
      <c r="G267" s="257"/>
      <c r="H267" s="257"/>
      <c r="I267" s="257"/>
      <c r="J267" s="257"/>
      <c r="K267" s="257"/>
    </row>
    <row r="268" spans="2:11">
      <c r="B268" s="257"/>
      <c r="C268" s="257"/>
      <c r="D268" s="257"/>
      <c r="E268" s="257"/>
      <c r="F268" s="257"/>
      <c r="G268" s="257"/>
      <c r="H268" s="257"/>
      <c r="I268" s="257"/>
      <c r="J268" s="257"/>
      <c r="K268" s="257"/>
    </row>
    <row r="269" spans="2:11">
      <c r="B269" s="257"/>
      <c r="C269" s="257"/>
      <c r="D269" s="257"/>
      <c r="E269" s="257"/>
      <c r="F269" s="257"/>
      <c r="G269" s="257"/>
      <c r="H269" s="257"/>
      <c r="I269" s="257"/>
      <c r="J269" s="257"/>
      <c r="K269" s="257"/>
    </row>
    <row r="270" spans="2:11">
      <c r="B270" s="257"/>
      <c r="C270" s="257"/>
      <c r="D270" s="257"/>
      <c r="E270" s="257"/>
      <c r="F270" s="257"/>
      <c r="G270" s="257"/>
      <c r="H270" s="257"/>
      <c r="I270" s="257"/>
      <c r="J270" s="257"/>
      <c r="K270" s="257"/>
    </row>
    <row r="271" spans="2:11">
      <c r="B271" s="257"/>
      <c r="C271" s="257"/>
      <c r="D271" s="257"/>
      <c r="E271" s="257"/>
      <c r="F271" s="257"/>
      <c r="G271" s="257"/>
      <c r="H271" s="257"/>
      <c r="I271" s="257"/>
      <c r="J271" s="257"/>
      <c r="K271" s="257"/>
    </row>
    <row r="272" spans="2:11">
      <c r="B272" s="257"/>
      <c r="C272" s="257"/>
      <c r="D272" s="257"/>
      <c r="E272" s="257"/>
      <c r="F272" s="257"/>
      <c r="G272" s="257"/>
      <c r="H272" s="257"/>
      <c r="I272" s="257"/>
      <c r="J272" s="257"/>
      <c r="K272" s="257"/>
    </row>
    <row r="273" spans="2:11">
      <c r="B273" s="257"/>
      <c r="C273" s="257"/>
      <c r="D273" s="257"/>
      <c r="E273" s="257"/>
      <c r="F273" s="257"/>
      <c r="G273" s="257"/>
      <c r="H273" s="257"/>
      <c r="I273" s="257"/>
      <c r="J273" s="257"/>
      <c r="K273" s="257"/>
    </row>
    <row r="274" spans="2:11">
      <c r="B274" s="257"/>
      <c r="C274" s="257"/>
      <c r="D274" s="257"/>
      <c r="E274" s="257"/>
      <c r="F274" s="257"/>
      <c r="G274" s="257"/>
      <c r="H274" s="257"/>
      <c r="I274" s="257"/>
      <c r="J274" s="257"/>
      <c r="K274" s="257"/>
    </row>
    <row r="275" spans="2:11">
      <c r="B275" s="257"/>
      <c r="C275" s="257"/>
      <c r="D275" s="257"/>
      <c r="E275" s="257"/>
      <c r="F275" s="257"/>
      <c r="G275" s="257"/>
      <c r="H275" s="257"/>
      <c r="I275" s="257"/>
      <c r="J275" s="257"/>
      <c r="K275" s="257"/>
    </row>
    <row r="276" spans="2:11">
      <c r="B276" s="270"/>
      <c r="C276" s="270"/>
      <c r="D276" s="270"/>
      <c r="E276" s="270"/>
      <c r="F276" s="270"/>
      <c r="G276" s="270"/>
      <c r="H276" s="270"/>
      <c r="I276" s="270"/>
      <c r="J276" s="270"/>
      <c r="K276" s="270"/>
    </row>
    <row r="277" spans="2:11">
      <c r="B277" s="270"/>
      <c r="C277" s="270"/>
      <c r="D277" s="270"/>
      <c r="E277" s="270"/>
      <c r="F277" s="270"/>
      <c r="G277" s="270"/>
      <c r="H277" s="270"/>
      <c r="I277" s="270"/>
      <c r="J277" s="270"/>
      <c r="K277" s="270"/>
    </row>
    <row r="278" spans="2:11">
      <c r="B278" s="270"/>
      <c r="C278" s="270"/>
      <c r="D278" s="270"/>
      <c r="E278" s="270"/>
      <c r="F278" s="270"/>
      <c r="G278" s="270"/>
      <c r="H278" s="270"/>
      <c r="I278" s="270"/>
      <c r="J278" s="270"/>
      <c r="K278" s="270"/>
    </row>
    <row r="279" spans="2:11">
      <c r="B279" s="270"/>
      <c r="C279" s="270"/>
      <c r="D279" s="270"/>
      <c r="E279" s="270"/>
      <c r="F279" s="270"/>
      <c r="G279" s="270"/>
      <c r="H279" s="270"/>
      <c r="I279" s="270"/>
      <c r="J279" s="270"/>
      <c r="K279" s="270"/>
    </row>
    <row r="280" spans="2:11">
      <c r="B280" s="270"/>
      <c r="C280" s="270"/>
      <c r="D280" s="270"/>
      <c r="E280" s="270"/>
      <c r="F280" s="270"/>
      <c r="G280" s="270"/>
      <c r="H280" s="270"/>
      <c r="I280" s="270"/>
      <c r="J280" s="270"/>
      <c r="K280" s="270"/>
    </row>
    <row r="281" spans="2:11">
      <c r="B281" s="270"/>
      <c r="C281" s="270"/>
      <c r="D281" s="270"/>
      <c r="E281" s="270"/>
      <c r="F281" s="270"/>
      <c r="G281" s="270"/>
      <c r="H281" s="270"/>
      <c r="I281" s="270"/>
      <c r="J281" s="270"/>
      <c r="K281" s="270"/>
    </row>
    <row r="282" spans="2:11">
      <c r="B282" s="270"/>
      <c r="C282" s="270"/>
      <c r="D282" s="270"/>
      <c r="E282" s="270"/>
      <c r="F282" s="270"/>
      <c r="G282" s="270"/>
      <c r="H282" s="270"/>
      <c r="I282" s="270"/>
      <c r="J282" s="270"/>
      <c r="K282" s="270"/>
    </row>
    <row r="283" spans="2:11">
      <c r="B283" s="270"/>
      <c r="C283" s="270"/>
      <c r="D283" s="270"/>
      <c r="E283" s="270"/>
      <c r="F283" s="270"/>
      <c r="G283" s="270"/>
      <c r="H283" s="270"/>
      <c r="I283" s="270"/>
      <c r="J283" s="270"/>
      <c r="K283" s="270"/>
    </row>
    <row r="284" spans="2:11">
      <c r="B284" s="270"/>
      <c r="C284" s="270"/>
      <c r="D284" s="270"/>
      <c r="E284" s="270"/>
      <c r="F284" s="270"/>
      <c r="G284" s="270"/>
      <c r="H284" s="270"/>
      <c r="I284" s="270"/>
      <c r="J284" s="270"/>
      <c r="K284" s="270"/>
    </row>
    <row r="285" spans="2:11">
      <c r="B285" s="270"/>
      <c r="C285" s="270"/>
      <c r="D285" s="270"/>
      <c r="E285" s="270"/>
      <c r="F285" s="270"/>
      <c r="G285" s="270"/>
      <c r="H285" s="270"/>
      <c r="I285" s="270"/>
      <c r="J285" s="270"/>
      <c r="K285" s="270"/>
    </row>
    <row r="286" spans="2:11">
      <c r="B286" s="270"/>
      <c r="C286" s="270"/>
      <c r="D286" s="270"/>
      <c r="E286" s="270"/>
      <c r="F286" s="270"/>
      <c r="G286" s="270"/>
      <c r="H286" s="270"/>
      <c r="I286" s="270"/>
      <c r="J286" s="270"/>
      <c r="K286" s="270"/>
    </row>
    <row r="287" spans="2:11">
      <c r="B287" s="270"/>
      <c r="C287" s="270"/>
      <c r="D287" s="270"/>
      <c r="E287" s="270"/>
      <c r="F287" s="270"/>
      <c r="G287" s="270"/>
      <c r="H287" s="270"/>
      <c r="I287" s="270"/>
      <c r="J287" s="270"/>
      <c r="K287" s="270"/>
    </row>
    <row r="288" spans="2:11">
      <c r="B288" s="270"/>
      <c r="C288" s="270"/>
      <c r="D288" s="270"/>
      <c r="E288" s="270"/>
      <c r="F288" s="270"/>
      <c r="G288" s="270"/>
      <c r="H288" s="270"/>
      <c r="I288" s="270"/>
      <c r="J288" s="270"/>
      <c r="K288" s="270"/>
    </row>
    <row r="289" spans="2:11">
      <c r="B289" s="270"/>
      <c r="C289" s="270"/>
      <c r="D289" s="270"/>
      <c r="E289" s="270"/>
      <c r="F289" s="270"/>
      <c r="G289" s="270"/>
      <c r="H289" s="270"/>
      <c r="I289" s="270"/>
      <c r="J289" s="270"/>
      <c r="K289" s="270"/>
    </row>
    <row r="290" spans="2:11">
      <c r="B290" s="270"/>
      <c r="C290" s="270"/>
      <c r="D290" s="270"/>
      <c r="E290" s="270"/>
      <c r="F290" s="270"/>
      <c r="G290" s="270"/>
      <c r="H290" s="270"/>
      <c r="I290" s="270"/>
      <c r="J290" s="270"/>
      <c r="K290" s="270"/>
    </row>
    <row r="291" spans="2:11">
      <c r="B291" s="270"/>
      <c r="C291" s="270"/>
      <c r="D291" s="270"/>
      <c r="E291" s="270"/>
      <c r="F291" s="270"/>
      <c r="G291" s="270"/>
      <c r="H291" s="270"/>
      <c r="I291" s="270"/>
      <c r="J291" s="270"/>
      <c r="K291" s="270"/>
    </row>
    <row r="292" spans="2:11">
      <c r="B292" s="270"/>
      <c r="C292" s="270"/>
      <c r="D292" s="270"/>
      <c r="E292" s="270"/>
      <c r="F292" s="270"/>
      <c r="G292" s="270"/>
      <c r="H292" s="270"/>
      <c r="I292" s="270"/>
      <c r="J292" s="270"/>
      <c r="K292" s="270"/>
    </row>
    <row r="293" spans="2:11">
      <c r="B293" s="270"/>
      <c r="C293" s="270"/>
      <c r="D293" s="270"/>
      <c r="E293" s="270"/>
      <c r="F293" s="270"/>
      <c r="G293" s="270"/>
      <c r="H293" s="270"/>
      <c r="I293" s="270"/>
      <c r="J293" s="270"/>
      <c r="K293" s="270"/>
    </row>
    <row r="294" spans="2:11">
      <c r="B294" s="270"/>
      <c r="C294" s="270"/>
      <c r="D294" s="270"/>
      <c r="E294" s="270"/>
      <c r="F294" s="270"/>
      <c r="G294" s="270"/>
      <c r="H294" s="270"/>
      <c r="I294" s="270"/>
      <c r="J294" s="270"/>
      <c r="K294" s="270"/>
    </row>
    <row r="295" spans="2:11">
      <c r="B295" s="270"/>
      <c r="C295" s="270"/>
      <c r="D295" s="270"/>
      <c r="E295" s="270"/>
      <c r="F295" s="270"/>
      <c r="G295" s="270"/>
      <c r="H295" s="270"/>
      <c r="I295" s="270"/>
      <c r="J295" s="270"/>
      <c r="K295" s="270"/>
    </row>
    <row r="296" spans="2:11">
      <c r="B296" s="270"/>
      <c r="C296" s="270"/>
      <c r="D296" s="270"/>
      <c r="E296" s="270"/>
      <c r="F296" s="270"/>
      <c r="G296" s="270"/>
      <c r="H296" s="270"/>
      <c r="I296" s="270"/>
      <c r="J296" s="270"/>
      <c r="K296" s="270"/>
    </row>
    <row r="297" spans="2:11">
      <c r="B297" s="270"/>
      <c r="C297" s="270"/>
      <c r="D297" s="270"/>
      <c r="E297" s="270"/>
      <c r="F297" s="270"/>
      <c r="G297" s="270"/>
      <c r="H297" s="270"/>
      <c r="I297" s="270"/>
      <c r="J297" s="270"/>
      <c r="K297" s="270"/>
    </row>
    <row r="298" spans="2:11">
      <c r="B298" s="270"/>
      <c r="C298" s="270"/>
      <c r="D298" s="270"/>
      <c r="E298" s="270"/>
      <c r="F298" s="270"/>
      <c r="G298" s="270"/>
      <c r="H298" s="270"/>
      <c r="I298" s="270"/>
      <c r="J298" s="270"/>
      <c r="K298" s="270"/>
    </row>
    <row r="299" spans="2:11">
      <c r="B299" s="270"/>
      <c r="C299" s="270"/>
      <c r="D299" s="270"/>
      <c r="E299" s="270"/>
      <c r="F299" s="270"/>
      <c r="G299" s="270"/>
      <c r="H299" s="270"/>
      <c r="I299" s="270"/>
      <c r="J299" s="270"/>
      <c r="K299" s="270"/>
    </row>
    <row r="300" spans="2:11">
      <c r="B300" s="270"/>
      <c r="C300" s="270"/>
      <c r="D300" s="270"/>
      <c r="E300" s="270"/>
      <c r="F300" s="270"/>
      <c r="G300" s="270"/>
      <c r="H300" s="270"/>
      <c r="I300" s="270"/>
      <c r="J300" s="270"/>
      <c r="K300" s="270"/>
    </row>
    <row r="301" spans="2:11">
      <c r="B301" s="270"/>
      <c r="C301" s="270"/>
      <c r="D301" s="270"/>
      <c r="E301" s="270"/>
      <c r="F301" s="270"/>
      <c r="G301" s="270"/>
      <c r="H301" s="270"/>
      <c r="I301" s="270"/>
      <c r="J301" s="270"/>
      <c r="K301" s="270"/>
    </row>
    <row r="302" spans="2:11">
      <c r="B302" s="270"/>
      <c r="C302" s="270"/>
      <c r="D302" s="270"/>
      <c r="E302" s="270"/>
      <c r="F302" s="270"/>
      <c r="G302" s="270"/>
      <c r="H302" s="270"/>
      <c r="I302" s="270"/>
      <c r="J302" s="270"/>
      <c r="K302" s="270"/>
    </row>
    <row r="303" spans="2:11">
      <c r="B303" s="270"/>
      <c r="C303" s="270"/>
      <c r="D303" s="270"/>
      <c r="E303" s="270"/>
      <c r="F303" s="270"/>
      <c r="G303" s="270"/>
      <c r="H303" s="270"/>
      <c r="I303" s="270"/>
      <c r="J303" s="270"/>
      <c r="K303" s="270"/>
    </row>
    <row r="304" spans="2:11">
      <c r="B304" s="270"/>
      <c r="C304" s="270"/>
      <c r="D304" s="270"/>
      <c r="E304" s="270"/>
      <c r="F304" s="270"/>
      <c r="G304" s="270"/>
      <c r="H304" s="270"/>
      <c r="I304" s="270"/>
      <c r="J304" s="270"/>
      <c r="K304" s="270"/>
    </row>
    <row r="305" spans="2:11">
      <c r="B305" s="270"/>
      <c r="C305" s="270"/>
      <c r="D305" s="270"/>
      <c r="E305" s="270"/>
      <c r="F305" s="270"/>
      <c r="G305" s="270"/>
      <c r="H305" s="270"/>
      <c r="I305" s="270"/>
      <c r="J305" s="270"/>
      <c r="K305" s="270"/>
    </row>
    <row r="306" spans="2:11">
      <c r="B306" s="270"/>
      <c r="C306" s="270"/>
      <c r="D306" s="270"/>
      <c r="E306" s="270"/>
      <c r="F306" s="270"/>
      <c r="G306" s="270"/>
      <c r="H306" s="270"/>
      <c r="I306" s="270"/>
      <c r="J306" s="270"/>
      <c r="K306" s="270"/>
    </row>
    <row r="307" spans="2:11">
      <c r="B307" s="270"/>
      <c r="C307" s="270"/>
      <c r="D307" s="270"/>
      <c r="E307" s="270"/>
      <c r="F307" s="270"/>
      <c r="G307" s="270"/>
      <c r="H307" s="270"/>
      <c r="I307" s="270"/>
      <c r="J307" s="270"/>
      <c r="K307" s="270"/>
    </row>
    <row r="308" spans="2:11">
      <c r="B308" s="270"/>
      <c r="C308" s="270"/>
      <c r="D308" s="270"/>
      <c r="E308" s="270"/>
      <c r="F308" s="270"/>
      <c r="G308" s="270"/>
      <c r="H308" s="270"/>
      <c r="I308" s="270"/>
      <c r="J308" s="270"/>
      <c r="K308" s="270"/>
    </row>
    <row r="309" spans="2:11">
      <c r="B309" s="270"/>
      <c r="C309" s="270"/>
      <c r="D309" s="270"/>
      <c r="E309" s="270"/>
      <c r="F309" s="270"/>
      <c r="G309" s="270"/>
      <c r="H309" s="270"/>
      <c r="I309" s="270"/>
      <c r="J309" s="270"/>
      <c r="K309" s="270"/>
    </row>
    <row r="310" spans="2:11">
      <c r="B310" s="270"/>
      <c r="C310" s="270"/>
      <c r="D310" s="270"/>
      <c r="E310" s="270"/>
      <c r="F310" s="270"/>
      <c r="G310" s="270"/>
      <c r="H310" s="270"/>
      <c r="I310" s="270"/>
      <c r="J310" s="270"/>
      <c r="K310" s="270"/>
    </row>
    <row r="311" spans="2:11">
      <c r="B311" s="270"/>
      <c r="C311" s="270"/>
      <c r="D311" s="270"/>
      <c r="E311" s="270"/>
      <c r="F311" s="270"/>
      <c r="G311" s="270"/>
      <c r="H311" s="270"/>
      <c r="I311" s="270"/>
      <c r="J311" s="270"/>
      <c r="K311" s="270"/>
    </row>
    <row r="312" spans="2:11">
      <c r="B312" s="270"/>
      <c r="C312" s="270"/>
      <c r="D312" s="270"/>
      <c r="E312" s="270"/>
      <c r="F312" s="270"/>
      <c r="G312" s="270"/>
      <c r="H312" s="270"/>
      <c r="I312" s="270"/>
      <c r="J312" s="270"/>
      <c r="K312" s="270"/>
    </row>
    <row r="313" spans="2:11">
      <c r="B313" s="270"/>
      <c r="C313" s="270"/>
      <c r="D313" s="270"/>
      <c r="E313" s="270"/>
      <c r="F313" s="270"/>
      <c r="G313" s="270"/>
      <c r="H313" s="270"/>
      <c r="I313" s="270"/>
      <c r="J313" s="270"/>
      <c r="K313" s="270"/>
    </row>
    <row r="314" spans="2:11">
      <c r="B314" s="270"/>
      <c r="C314" s="270"/>
      <c r="D314" s="270"/>
      <c r="E314" s="270"/>
      <c r="F314" s="270"/>
      <c r="G314" s="270"/>
      <c r="H314" s="270"/>
      <c r="I314" s="270"/>
      <c r="J314" s="270"/>
      <c r="K314" s="270"/>
    </row>
    <row r="315" spans="2:11">
      <c r="B315" s="270"/>
      <c r="C315" s="270"/>
      <c r="D315" s="270"/>
      <c r="E315" s="270"/>
      <c r="F315" s="270"/>
      <c r="G315" s="270"/>
      <c r="H315" s="270"/>
      <c r="I315" s="270"/>
      <c r="J315" s="270"/>
      <c r="K315" s="270"/>
    </row>
  </sheetData>
  <mergeCells count="50">
    <mergeCell ref="B59:J59"/>
    <mergeCell ref="B48:J48"/>
    <mergeCell ref="C49:J49"/>
    <mergeCell ref="B50:J50"/>
    <mergeCell ref="C51:J51"/>
    <mergeCell ref="B52:J52"/>
    <mergeCell ref="C53:J53"/>
    <mergeCell ref="B54:J54"/>
    <mergeCell ref="C55:J55"/>
    <mergeCell ref="B56:J56"/>
    <mergeCell ref="B57:J57"/>
    <mergeCell ref="C58:J58"/>
    <mergeCell ref="C47:J47"/>
    <mergeCell ref="I37:K37"/>
    <mergeCell ref="D38:E38"/>
    <mergeCell ref="J38:K38"/>
    <mergeCell ref="D39:I39"/>
    <mergeCell ref="B40:J40"/>
    <mergeCell ref="C41:G41"/>
    <mergeCell ref="C42:J42"/>
    <mergeCell ref="B43:J43"/>
    <mergeCell ref="C44:J44"/>
    <mergeCell ref="B45:J45"/>
    <mergeCell ref="B46:J46"/>
    <mergeCell ref="I36:K36"/>
    <mergeCell ref="A25:B25"/>
    <mergeCell ref="E25:K25"/>
    <mergeCell ref="E27:K27"/>
    <mergeCell ref="A29:B29"/>
    <mergeCell ref="E29:K29"/>
    <mergeCell ref="E31:K31"/>
    <mergeCell ref="G32:I32"/>
    <mergeCell ref="J32:K32"/>
    <mergeCell ref="B33:J33"/>
    <mergeCell ref="I34:J34"/>
    <mergeCell ref="I35:K35"/>
    <mergeCell ref="E23:F23"/>
    <mergeCell ref="A1:D1"/>
    <mergeCell ref="B2:D2"/>
    <mergeCell ref="B3:G3"/>
    <mergeCell ref="C5:D5"/>
    <mergeCell ref="C6:D6"/>
    <mergeCell ref="A8:B10"/>
    <mergeCell ref="C9:D9"/>
    <mergeCell ref="C10:D10"/>
    <mergeCell ref="C15:D15"/>
    <mergeCell ref="E18:J18"/>
    <mergeCell ref="E19:K19"/>
    <mergeCell ref="E21:K21"/>
    <mergeCell ref="A22:B22"/>
  </mergeCells>
  <printOptions horizontalCentered="1"/>
  <pageMargins left="0.63" right="0.35" top="0.17" bottom="0.31" header="0.17" footer="0.16"/>
  <pageSetup paperSize="9" scale="9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38</vt:i4>
      </vt:variant>
      <vt:variant>
        <vt:lpstr>Named Ranges</vt:lpstr>
      </vt:variant>
      <vt:variant>
        <vt:i4>47</vt:i4>
      </vt:variant>
    </vt:vector>
  </HeadingPairs>
  <TitlesOfParts>
    <vt:vector size="85" baseType="lpstr">
      <vt:lpstr>COVER</vt:lpstr>
      <vt:lpstr>SPE</vt:lpstr>
      <vt:lpstr>A.M</vt:lpstr>
      <vt:lpstr>input data</vt:lpstr>
      <vt:lpstr>Abstract</vt:lpstr>
      <vt:lpstr>MAIN</vt:lpstr>
      <vt:lpstr>SUB-1</vt:lpstr>
      <vt:lpstr>SUB-2</vt:lpstr>
      <vt:lpstr>SUB-3</vt:lpstr>
      <vt:lpstr>SUB-4</vt:lpstr>
      <vt:lpstr>sub-5</vt:lpstr>
      <vt:lpstr>sub-6</vt:lpstr>
      <vt:lpstr>seigneorage</vt:lpstr>
      <vt:lpstr>lead 2025-26</vt:lpstr>
      <vt:lpstr>data 2025-26</vt:lpstr>
      <vt:lpstr>CD WORK DATA</vt:lpstr>
      <vt:lpstr>field notes</vt:lpstr>
      <vt:lpstr>Data Road safety</vt:lpstr>
      <vt:lpstr>CS</vt:lpstr>
      <vt:lpstr>CR</vt:lpstr>
      <vt:lpstr>R-1</vt:lpstr>
      <vt:lpstr>R-2</vt:lpstr>
      <vt:lpstr>C-1</vt:lpstr>
      <vt:lpstr>CC f -2</vt:lpstr>
      <vt:lpstr>ccbc  (2)</vt:lpstr>
      <vt:lpstr>seigneorage (2)</vt:lpstr>
      <vt:lpstr>CERTI </vt:lpstr>
      <vt:lpstr>RE-DE</vt:lpstr>
      <vt:lpstr>voucer part</vt:lpstr>
      <vt:lpstr>1</vt:lpstr>
      <vt:lpstr>2</vt:lpstr>
      <vt:lpstr>3</vt:lpstr>
      <vt:lpstr>M-1 </vt:lpstr>
      <vt:lpstr>M-2</vt:lpstr>
      <vt:lpstr>work list</vt:lpstr>
      <vt:lpstr>CON 2025-26</vt:lpstr>
      <vt:lpstr>CC f</vt:lpstr>
      <vt:lpstr>ccbc </vt:lpstr>
      <vt:lpstr>'1'!Print_Area</vt:lpstr>
      <vt:lpstr>'2'!Print_Area</vt:lpstr>
      <vt:lpstr>'3'!Print_Area</vt:lpstr>
      <vt:lpstr>A.M!Print_Area</vt:lpstr>
      <vt:lpstr>Abstract!Print_Area</vt:lpstr>
      <vt:lpstr>'C-1'!Print_Area</vt:lpstr>
      <vt:lpstr>'CC f'!Print_Area</vt:lpstr>
      <vt:lpstr>'CC f -2'!Print_Area</vt:lpstr>
      <vt:lpstr>'CD WORK DATA'!Print_Area</vt:lpstr>
      <vt:lpstr>'CON 2025-26'!Print_Area</vt:lpstr>
      <vt:lpstr>CR!Print_Area</vt:lpstr>
      <vt:lpstr>CS!Print_Area</vt:lpstr>
      <vt:lpstr>'data 2025-26'!Print_Area</vt:lpstr>
      <vt:lpstr>'Data Road safety'!Print_Area</vt:lpstr>
      <vt:lpstr>'input data'!Print_Area</vt:lpstr>
      <vt:lpstr>'lead 2025-26'!Print_Area</vt:lpstr>
      <vt:lpstr>MAIN!Print_Area</vt:lpstr>
      <vt:lpstr>'R-1'!Print_Area</vt:lpstr>
      <vt:lpstr>'R-2'!Print_Area</vt:lpstr>
      <vt:lpstr>seigneorage!Print_Area</vt:lpstr>
      <vt:lpstr>'seigneorage (2)'!Print_Area</vt:lpstr>
      <vt:lpstr>SPE!Print_Area</vt:lpstr>
      <vt:lpstr>'SUB-1'!Print_Area</vt:lpstr>
      <vt:lpstr>'SUB-2'!Print_Area</vt:lpstr>
      <vt:lpstr>'SUB-3'!Print_Area</vt:lpstr>
      <vt:lpstr>'SUB-4'!Print_Area</vt:lpstr>
      <vt:lpstr>'sub-5'!Print_Area</vt:lpstr>
      <vt:lpstr>'sub-6'!Print_Area</vt:lpstr>
      <vt:lpstr>'voucer part'!Print_Area</vt:lpstr>
      <vt:lpstr>A.M!Print_Titles</vt:lpstr>
      <vt:lpstr>Abstract!Print_Titles</vt:lpstr>
      <vt:lpstr>'CC f'!Print_Titles</vt:lpstr>
      <vt:lpstr>'CD WORK DATA'!Print_Titles</vt:lpstr>
      <vt:lpstr>CR!Print_Titles</vt:lpstr>
      <vt:lpstr>CS!Print_Titles</vt:lpstr>
      <vt:lpstr>'data 2025-26'!Print_Titles</vt:lpstr>
      <vt:lpstr>'Data Road safety'!Print_Titles</vt:lpstr>
      <vt:lpstr>'lead 2025-26'!Print_Titles</vt:lpstr>
      <vt:lpstr>MAIN!Print_Titles</vt:lpstr>
      <vt:lpstr>'R-1'!Print_Titles</vt:lpstr>
      <vt:lpstr>'R-2'!Print_Titles</vt:lpstr>
      <vt:lpstr>'SUB-1'!Print_Titles</vt:lpstr>
      <vt:lpstr>'SUB-2'!Print_Titles</vt:lpstr>
      <vt:lpstr>'SUB-3'!Print_Titles</vt:lpstr>
      <vt:lpstr>'SUB-4'!Print_Titles</vt:lpstr>
      <vt:lpstr>'sub-5'!Print_Titles</vt:lpstr>
      <vt:lpstr>'sub-6'!Print_Titles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eepr</dc:creator>
  <cp:lastModifiedBy>welcome</cp:lastModifiedBy>
  <cp:lastPrinted>2026-01-10T07:52:51Z</cp:lastPrinted>
  <dcterms:created xsi:type="dcterms:W3CDTF">2009-12-16T06:22:15Z</dcterms:created>
  <dcterms:modified xsi:type="dcterms:W3CDTF">2026-01-10T07:58:06Z</dcterms:modified>
</cp:coreProperties>
</file>